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00" yWindow="345" windowWidth="21165" windowHeight="11370"/>
  </bookViews>
  <sheets>
    <sheet name="SAPKNA7020_notes" sheetId="1" r:id="rId1"/>
  </sheets>
  <definedNames>
    <definedName name="_xlnm._FilterDatabase" localSheetId="0" hidden="1">SAPKNA7020_notes!$A$1:$A$206</definedName>
  </definedNames>
  <calcPr calcId="144525"/>
</workbook>
</file>

<file path=xl/calcChain.xml><?xml version="1.0" encoding="utf-8"?>
<calcChain xmlns="http://schemas.openxmlformats.org/spreadsheetml/2006/main">
  <c r="D8434" i="1" l="1"/>
  <c r="D8432" i="1"/>
  <c r="D8431" i="1"/>
  <c r="D8430" i="1"/>
  <c r="D8428" i="1"/>
  <c r="D8427" i="1"/>
  <c r="D8425" i="1"/>
  <c r="D8424" i="1"/>
  <c r="D8422" i="1"/>
  <c r="D8421" i="1"/>
  <c r="D8419" i="1"/>
  <c r="D8417" i="1"/>
  <c r="D8416" i="1"/>
  <c r="D8415" i="1"/>
  <c r="D8414" i="1"/>
  <c r="D8413" i="1"/>
  <c r="D8412" i="1"/>
  <c r="D8411" i="1"/>
  <c r="D8410" i="1"/>
  <c r="D8409" i="1"/>
  <c r="D8408" i="1"/>
  <c r="D8407" i="1"/>
  <c r="D8406" i="1"/>
  <c r="D8405" i="1"/>
  <c r="D8404" i="1"/>
  <c r="D8403" i="1"/>
  <c r="D8402" i="1"/>
  <c r="D8401" i="1"/>
  <c r="D8400" i="1"/>
  <c r="D8399" i="1"/>
  <c r="D8398" i="1"/>
  <c r="D8397" i="1"/>
  <c r="D8396" i="1"/>
  <c r="D8395" i="1"/>
  <c r="D8394" i="1"/>
  <c r="D8393" i="1"/>
  <c r="D8392" i="1"/>
  <c r="D8391" i="1"/>
  <c r="D8390" i="1"/>
  <c r="D8389" i="1"/>
  <c r="D8388" i="1"/>
  <c r="D8387" i="1"/>
  <c r="D8386" i="1"/>
  <c r="D8385" i="1"/>
  <c r="D8384" i="1"/>
  <c r="D8383" i="1"/>
  <c r="D8382" i="1"/>
  <c r="D8381" i="1"/>
  <c r="D8380" i="1"/>
  <c r="D8379" i="1"/>
  <c r="D8378" i="1"/>
  <c r="D8377" i="1"/>
  <c r="D8376" i="1"/>
  <c r="D8375" i="1"/>
  <c r="D8374" i="1"/>
  <c r="D8373" i="1"/>
  <c r="D8372" i="1"/>
  <c r="D8371" i="1"/>
  <c r="D8370" i="1"/>
  <c r="D8369" i="1"/>
  <c r="D8368" i="1"/>
  <c r="D8367" i="1"/>
  <c r="D8366" i="1"/>
  <c r="D8365" i="1"/>
  <c r="D8364" i="1"/>
  <c r="D8363" i="1"/>
  <c r="D8362" i="1"/>
  <c r="D8361" i="1"/>
  <c r="D8360" i="1"/>
  <c r="D8359" i="1"/>
  <c r="D8358" i="1"/>
  <c r="D8357" i="1"/>
  <c r="D8356" i="1"/>
  <c r="D8355" i="1"/>
  <c r="D8354" i="1"/>
  <c r="D8353" i="1"/>
  <c r="D8352" i="1"/>
  <c r="D8351" i="1"/>
  <c r="D8350" i="1"/>
  <c r="D8349" i="1"/>
  <c r="D8348" i="1"/>
  <c r="D8347" i="1"/>
  <c r="D8346" i="1"/>
  <c r="D8345" i="1"/>
  <c r="D8344" i="1"/>
  <c r="D8343" i="1"/>
  <c r="D8342" i="1"/>
  <c r="D8341" i="1"/>
  <c r="D8340" i="1"/>
  <c r="D8339" i="1"/>
  <c r="D8338" i="1"/>
  <c r="D8337" i="1"/>
  <c r="D8336" i="1"/>
  <c r="D8335" i="1"/>
  <c r="D8334" i="1"/>
  <c r="D8333" i="1"/>
  <c r="D8332" i="1"/>
  <c r="D8331" i="1"/>
  <c r="D8330" i="1"/>
  <c r="D8329" i="1"/>
  <c r="D8328" i="1"/>
  <c r="D8327" i="1"/>
  <c r="D8326" i="1"/>
  <c r="D8325" i="1"/>
  <c r="D8324" i="1"/>
  <c r="D8323" i="1"/>
  <c r="D8322" i="1"/>
  <c r="D8321" i="1"/>
  <c r="D8320" i="1"/>
  <c r="D8319" i="1"/>
  <c r="D8318" i="1"/>
  <c r="D8317" i="1"/>
  <c r="D8316" i="1"/>
  <c r="D8315" i="1"/>
  <c r="D8314" i="1"/>
  <c r="D8313" i="1"/>
  <c r="D8312" i="1"/>
  <c r="D8311" i="1"/>
  <c r="D8310" i="1"/>
  <c r="D8309" i="1"/>
  <c r="D8308" i="1"/>
  <c r="D8307" i="1"/>
  <c r="D8306" i="1"/>
  <c r="D8305" i="1"/>
  <c r="D8304" i="1"/>
  <c r="D8303" i="1"/>
  <c r="D8301" i="1"/>
  <c r="D8300" i="1"/>
  <c r="D8299" i="1"/>
  <c r="D8298" i="1"/>
  <c r="D8297" i="1"/>
  <c r="D8296" i="1"/>
  <c r="D8295" i="1"/>
  <c r="D8294" i="1"/>
  <c r="D8293" i="1"/>
  <c r="D8292" i="1"/>
  <c r="D8291" i="1"/>
  <c r="D8290" i="1"/>
  <c r="D8289" i="1"/>
  <c r="D8288" i="1"/>
  <c r="D8287" i="1"/>
  <c r="D8286" i="1"/>
  <c r="D8285" i="1"/>
  <c r="D8284" i="1"/>
  <c r="D8283" i="1"/>
  <c r="D8282" i="1"/>
  <c r="D8281" i="1"/>
  <c r="D8280" i="1"/>
  <c r="D8279" i="1"/>
  <c r="D8278" i="1"/>
  <c r="D8277" i="1"/>
  <c r="D8276" i="1"/>
  <c r="D8275" i="1"/>
  <c r="D8274" i="1"/>
  <c r="D8273" i="1"/>
  <c r="D8272" i="1"/>
  <c r="D8271" i="1"/>
  <c r="D8270" i="1"/>
  <c r="D8269" i="1"/>
  <c r="D8268" i="1"/>
  <c r="D8267" i="1"/>
  <c r="D8266" i="1"/>
  <c r="D8265" i="1"/>
  <c r="D8264" i="1"/>
  <c r="D8263" i="1"/>
  <c r="D8262" i="1"/>
  <c r="D8261" i="1"/>
  <c r="D8260" i="1"/>
  <c r="D8259" i="1"/>
  <c r="D8258" i="1"/>
  <c r="D8257" i="1"/>
  <c r="D8256" i="1"/>
  <c r="D8255" i="1"/>
  <c r="D8254" i="1"/>
  <c r="D8253" i="1"/>
  <c r="D8252" i="1"/>
  <c r="D8251" i="1"/>
  <c r="D8250" i="1"/>
  <c r="D8249" i="1"/>
  <c r="D8248" i="1"/>
  <c r="D8247" i="1"/>
  <c r="D8246" i="1"/>
  <c r="D8244" i="1"/>
  <c r="D8243" i="1"/>
  <c r="D8242" i="1"/>
  <c r="D8241" i="1"/>
  <c r="D8240" i="1"/>
  <c r="D8239" i="1"/>
  <c r="D8238" i="1"/>
  <c r="D8237" i="1"/>
  <c r="D8236" i="1"/>
  <c r="D8235" i="1"/>
  <c r="D8234" i="1"/>
  <c r="D8233" i="1"/>
  <c r="D8232" i="1"/>
  <c r="D8231" i="1"/>
  <c r="D8230" i="1"/>
  <c r="D8229" i="1"/>
  <c r="D8228" i="1"/>
  <c r="D8227" i="1"/>
  <c r="D8226" i="1"/>
  <c r="D8225" i="1"/>
  <c r="D8224" i="1"/>
  <c r="D8223" i="1"/>
  <c r="D8222" i="1"/>
  <c r="D8221" i="1"/>
  <c r="D8220" i="1"/>
  <c r="D8219" i="1"/>
  <c r="D8218" i="1"/>
  <c r="D8217" i="1"/>
  <c r="D8216" i="1"/>
  <c r="D8215" i="1"/>
  <c r="D8214" i="1"/>
  <c r="D8213" i="1"/>
  <c r="D8212" i="1"/>
  <c r="D8211" i="1"/>
  <c r="D8210" i="1"/>
  <c r="D8209" i="1"/>
  <c r="D8208" i="1"/>
  <c r="D8207" i="1"/>
  <c r="D8206" i="1"/>
  <c r="D8205" i="1"/>
  <c r="D8204" i="1"/>
  <c r="D8203" i="1"/>
  <c r="D8202" i="1"/>
  <c r="D8201" i="1"/>
  <c r="D8200" i="1"/>
  <c r="D8199" i="1"/>
  <c r="D8198" i="1"/>
  <c r="D8197" i="1"/>
  <c r="D8196" i="1"/>
  <c r="D8195" i="1"/>
  <c r="D8194" i="1"/>
  <c r="D8193" i="1"/>
  <c r="D8192" i="1"/>
  <c r="D8191" i="1"/>
  <c r="D8190" i="1"/>
  <c r="D8189" i="1"/>
  <c r="D8188" i="1"/>
  <c r="D8187" i="1"/>
  <c r="D8186" i="1"/>
  <c r="D8185" i="1"/>
  <c r="D8184" i="1"/>
  <c r="D8183" i="1"/>
  <c r="D8182" i="1"/>
  <c r="D8181" i="1"/>
  <c r="D8180" i="1"/>
  <c r="D8179" i="1"/>
  <c r="D8178" i="1"/>
  <c r="D8177" i="1"/>
  <c r="D8176" i="1"/>
  <c r="D8175" i="1"/>
  <c r="D8174" i="1"/>
  <c r="D8173" i="1"/>
  <c r="D8172" i="1"/>
  <c r="D8171" i="1"/>
  <c r="D8170" i="1"/>
  <c r="D8169" i="1"/>
  <c r="D8168" i="1"/>
  <c r="D8167" i="1"/>
  <c r="D8166" i="1"/>
  <c r="D8165" i="1"/>
  <c r="D8164" i="1"/>
  <c r="D8163" i="1"/>
  <c r="D8162" i="1"/>
  <c r="D8161" i="1"/>
  <c r="D8160" i="1"/>
  <c r="D8159" i="1"/>
  <c r="D8156" i="1"/>
  <c r="D8155" i="1"/>
  <c r="D8154" i="1"/>
  <c r="D8153" i="1"/>
  <c r="D8152" i="1"/>
  <c r="D8151" i="1"/>
  <c r="D8150" i="1"/>
  <c r="D8149" i="1"/>
  <c r="D8148" i="1"/>
  <c r="D8147" i="1"/>
  <c r="D8145" i="1"/>
  <c r="D8144" i="1"/>
  <c r="D8143" i="1"/>
  <c r="D8140" i="1"/>
  <c r="D8139" i="1"/>
  <c r="D8138" i="1"/>
  <c r="D8137" i="1"/>
  <c r="D8136" i="1"/>
  <c r="D8135" i="1"/>
  <c r="D8134" i="1"/>
  <c r="D8133" i="1"/>
  <c r="D8132" i="1"/>
  <c r="D8131" i="1"/>
  <c r="D8130" i="1"/>
  <c r="D8129" i="1"/>
  <c r="D8128" i="1"/>
  <c r="D8127" i="1"/>
  <c r="D8126" i="1"/>
  <c r="D8125" i="1"/>
  <c r="D8124" i="1"/>
  <c r="D8123" i="1"/>
  <c r="D8122" i="1"/>
  <c r="D8118" i="1"/>
  <c r="D8117" i="1"/>
  <c r="D8115" i="1"/>
  <c r="D8114" i="1"/>
  <c r="D8113" i="1"/>
  <c r="D8112" i="1"/>
  <c r="D8111" i="1"/>
  <c r="D8110" i="1"/>
  <c r="D8109" i="1"/>
  <c r="D8108" i="1"/>
  <c r="D8107" i="1"/>
  <c r="D8106" i="1"/>
  <c r="D8105" i="1"/>
  <c r="D8104" i="1"/>
  <c r="D8102" i="1"/>
  <c r="D8098" i="1"/>
  <c r="D8097" i="1"/>
  <c r="D8096" i="1"/>
  <c r="D8095" i="1"/>
  <c r="D8094" i="1"/>
  <c r="D8093" i="1"/>
  <c r="D8092" i="1"/>
  <c r="D8091" i="1"/>
  <c r="D8090" i="1"/>
  <c r="D8089" i="1"/>
  <c r="D8088" i="1"/>
  <c r="D8087" i="1"/>
  <c r="D8085" i="1"/>
  <c r="D8084" i="1"/>
  <c r="D8083" i="1"/>
  <c r="D8082" i="1"/>
  <c r="D8081" i="1"/>
  <c r="D8080" i="1"/>
  <c r="D8079" i="1"/>
  <c r="D8078" i="1"/>
  <c r="D8077" i="1"/>
  <c r="D8076" i="1"/>
  <c r="D8075" i="1"/>
  <c r="D8074" i="1"/>
  <c r="D8073" i="1"/>
  <c r="D8072" i="1"/>
  <c r="D8071" i="1"/>
  <c r="D8070" i="1"/>
  <c r="D8069" i="1"/>
  <c r="D8068" i="1"/>
  <c r="D8067" i="1"/>
  <c r="D8066" i="1"/>
  <c r="D8065" i="1"/>
  <c r="D8064" i="1"/>
  <c r="D8063" i="1"/>
  <c r="D8062" i="1"/>
  <c r="D8061" i="1"/>
  <c r="D8060" i="1"/>
  <c r="D8059" i="1"/>
  <c r="D8058" i="1"/>
  <c r="D8057" i="1"/>
  <c r="D8056" i="1"/>
  <c r="D8055" i="1"/>
  <c r="D8054" i="1"/>
  <c r="D8053" i="1"/>
  <c r="D8052" i="1"/>
  <c r="D8051" i="1"/>
  <c r="D8050" i="1"/>
  <c r="D8049" i="1"/>
  <c r="D8048" i="1"/>
  <c r="D8047" i="1"/>
  <c r="D8046" i="1"/>
  <c r="D8045" i="1"/>
  <c r="D8043" i="1"/>
  <c r="D8042" i="1"/>
  <c r="D8040" i="1"/>
  <c r="D8039" i="1"/>
  <c r="D8038" i="1"/>
  <c r="D8037" i="1"/>
  <c r="D8036" i="1"/>
  <c r="D8035" i="1"/>
  <c r="D8034" i="1"/>
  <c r="D8032" i="1"/>
  <c r="D8031" i="1"/>
  <c r="D8030" i="1"/>
  <c r="D8029" i="1"/>
  <c r="D8028" i="1"/>
  <c r="D8027" i="1"/>
  <c r="D8026" i="1"/>
  <c r="D8025" i="1"/>
  <c r="D8024" i="1"/>
  <c r="D8023" i="1"/>
  <c r="D8022" i="1"/>
  <c r="D8021" i="1"/>
  <c r="D8020" i="1"/>
  <c r="D8019" i="1"/>
  <c r="D8018" i="1"/>
  <c r="D8017" i="1"/>
  <c r="D8016" i="1"/>
  <c r="D8013" i="1"/>
  <c r="D8012" i="1"/>
  <c r="D8011" i="1"/>
  <c r="D8010" i="1"/>
  <c r="D8009" i="1"/>
  <c r="D8008" i="1"/>
  <c r="D8007" i="1"/>
  <c r="D8006" i="1"/>
  <c r="D8005" i="1"/>
  <c r="D8004" i="1"/>
  <c r="D8003" i="1"/>
  <c r="D8000" i="1"/>
  <c r="D7999" i="1"/>
  <c r="D7998" i="1"/>
  <c r="D7997" i="1"/>
  <c r="D7996" i="1"/>
  <c r="D7995" i="1"/>
  <c r="D7994" i="1"/>
  <c r="D7993" i="1"/>
  <c r="D7991" i="1"/>
  <c r="D7990" i="1"/>
  <c r="D7989" i="1"/>
  <c r="D7988" i="1"/>
  <c r="D7987" i="1"/>
  <c r="D7986" i="1"/>
  <c r="D7985" i="1"/>
  <c r="D7984" i="1"/>
  <c r="D7983" i="1"/>
  <c r="D7982" i="1"/>
  <c r="D7981" i="1"/>
  <c r="D7980" i="1"/>
  <c r="D7979" i="1"/>
  <c r="D7978" i="1"/>
  <c r="D7977" i="1"/>
  <c r="D7976" i="1"/>
  <c r="D7975" i="1"/>
  <c r="D7974" i="1"/>
  <c r="D7973" i="1"/>
  <c r="D7972" i="1"/>
  <c r="D7970" i="1"/>
  <c r="D7967" i="1"/>
  <c r="D7965" i="1"/>
  <c r="D7964" i="1"/>
  <c r="D7963" i="1"/>
  <c r="D7962" i="1"/>
  <c r="D7961" i="1"/>
  <c r="D7960" i="1"/>
  <c r="D7959" i="1"/>
  <c r="D7958" i="1"/>
  <c r="D7957" i="1"/>
  <c r="D7956" i="1"/>
  <c r="D7955" i="1"/>
  <c r="D7954" i="1"/>
  <c r="D7953" i="1"/>
  <c r="D7952" i="1"/>
  <c r="D7951" i="1"/>
  <c r="D7950" i="1"/>
  <c r="D7949" i="1"/>
  <c r="D7948" i="1"/>
  <c r="D7947" i="1"/>
  <c r="D7946" i="1"/>
  <c r="D7945" i="1"/>
  <c r="D7944" i="1"/>
  <c r="D7943" i="1"/>
  <c r="D7942" i="1"/>
  <c r="D7941" i="1"/>
  <c r="D7940" i="1"/>
  <c r="D7939" i="1"/>
  <c r="D7938" i="1"/>
  <c r="D7937" i="1"/>
  <c r="D7936" i="1"/>
  <c r="D7935" i="1"/>
  <c r="D7933" i="1"/>
  <c r="D7932" i="1"/>
  <c r="D7931" i="1"/>
  <c r="D7930" i="1"/>
  <c r="D7929" i="1"/>
  <c r="D7928" i="1"/>
  <c r="D7927" i="1"/>
  <c r="D7922" i="1"/>
  <c r="D7921" i="1"/>
  <c r="D7920" i="1"/>
  <c r="D7918" i="1"/>
  <c r="D7917" i="1"/>
  <c r="D7916" i="1"/>
  <c r="D7915" i="1"/>
  <c r="D7913" i="1"/>
  <c r="D7911" i="1"/>
  <c r="D7910" i="1"/>
  <c r="D7909" i="1"/>
  <c r="D7908" i="1"/>
  <c r="D7907" i="1"/>
  <c r="D7906" i="1"/>
  <c r="D7905" i="1"/>
  <c r="D7904" i="1"/>
  <c r="D7903" i="1"/>
  <c r="D7902" i="1"/>
  <c r="D7901" i="1"/>
  <c r="D7900" i="1"/>
  <c r="D7899" i="1"/>
  <c r="D7898" i="1"/>
  <c r="D7897" i="1"/>
  <c r="D7895" i="1"/>
  <c r="D7894" i="1"/>
  <c r="D7893" i="1"/>
  <c r="D7892" i="1"/>
  <c r="D7891" i="1"/>
  <c r="D7890" i="1"/>
  <c r="D7889" i="1"/>
  <c r="D7888" i="1"/>
  <c r="D7887" i="1"/>
  <c r="D7886" i="1"/>
  <c r="D7885" i="1"/>
  <c r="D7884" i="1"/>
  <c r="D7883" i="1"/>
  <c r="D7881" i="1"/>
  <c r="D7880" i="1"/>
  <c r="D7879" i="1"/>
  <c r="D7878" i="1"/>
  <c r="D7877" i="1"/>
  <c r="D7876" i="1"/>
  <c r="D7875" i="1"/>
  <c r="D7874" i="1"/>
  <c r="D7873" i="1"/>
  <c r="D7871" i="1"/>
  <c r="D7870" i="1"/>
  <c r="D7869" i="1"/>
  <c r="D7868" i="1"/>
  <c r="D7867" i="1"/>
  <c r="D7866" i="1"/>
  <c r="D7864" i="1"/>
  <c r="D7863" i="1"/>
  <c r="D7862" i="1"/>
  <c r="D7861" i="1"/>
  <c r="D7860" i="1"/>
  <c r="D7859" i="1"/>
  <c r="D7858" i="1"/>
  <c r="D7856" i="1"/>
  <c r="D7854" i="1"/>
  <c r="D7853" i="1"/>
  <c r="D7852" i="1"/>
  <c r="D7851" i="1"/>
  <c r="D7850" i="1"/>
  <c r="D7849" i="1"/>
  <c r="D7848" i="1"/>
  <c r="D7847" i="1"/>
  <c r="D7846" i="1"/>
  <c r="D7845" i="1"/>
  <c r="D7844" i="1"/>
  <c r="D7843" i="1"/>
  <c r="D7842" i="1"/>
  <c r="D7841" i="1"/>
  <c r="D7840" i="1"/>
  <c r="D7839" i="1"/>
  <c r="D7838" i="1"/>
  <c r="D7836" i="1"/>
  <c r="D7835" i="1"/>
  <c r="D7834" i="1"/>
  <c r="D7833" i="1"/>
  <c r="D7832" i="1"/>
  <c r="D7831" i="1"/>
  <c r="D7830" i="1"/>
  <c r="D7829" i="1"/>
  <c r="D7827" i="1"/>
  <c r="D7826" i="1"/>
  <c r="D7825" i="1"/>
  <c r="D7824" i="1"/>
  <c r="D7823" i="1"/>
  <c r="D7822" i="1"/>
  <c r="D7821" i="1"/>
  <c r="D7820" i="1"/>
  <c r="D7819" i="1"/>
  <c r="D7817" i="1"/>
  <c r="D7816" i="1"/>
  <c r="D7815" i="1"/>
  <c r="D7814" i="1"/>
  <c r="D7813" i="1"/>
  <c r="D7811" i="1"/>
  <c r="D7809" i="1"/>
  <c r="D7808" i="1"/>
  <c r="D7806" i="1"/>
  <c r="D7803" i="1"/>
  <c r="D7802" i="1"/>
  <c r="D7801" i="1"/>
  <c r="D7800" i="1"/>
  <c r="D7799" i="1"/>
  <c r="D7796" i="1"/>
  <c r="D7792" i="1"/>
  <c r="D7791" i="1"/>
  <c r="D7790" i="1"/>
  <c r="D7789" i="1"/>
  <c r="D7788" i="1"/>
  <c r="D7787" i="1"/>
  <c r="D7786" i="1"/>
  <c r="D7785" i="1"/>
  <c r="D7784" i="1"/>
  <c r="D7783" i="1"/>
  <c r="D7782" i="1"/>
  <c r="D7781" i="1"/>
  <c r="D7780" i="1"/>
  <c r="D7779" i="1"/>
  <c r="D7778" i="1"/>
  <c r="D7777" i="1"/>
  <c r="D7776" i="1"/>
  <c r="D7775" i="1"/>
  <c r="D7774" i="1"/>
  <c r="D7773" i="1"/>
  <c r="D7772" i="1"/>
  <c r="D7771" i="1"/>
  <c r="D7770" i="1"/>
  <c r="D7769" i="1"/>
  <c r="D7768" i="1"/>
  <c r="D7767" i="1"/>
  <c r="D7766" i="1"/>
  <c r="D7765" i="1"/>
  <c r="D7764" i="1"/>
  <c r="D7762" i="1"/>
  <c r="D7761" i="1"/>
  <c r="D7760" i="1"/>
  <c r="D7759" i="1"/>
  <c r="D7758" i="1"/>
  <c r="D7757" i="1"/>
  <c r="D7756" i="1"/>
  <c r="D7755" i="1"/>
  <c r="D7754" i="1"/>
  <c r="D7753" i="1"/>
  <c r="D7752" i="1"/>
  <c r="D7751" i="1"/>
  <c r="D7750" i="1"/>
  <c r="D7748" i="1"/>
  <c r="D7746" i="1"/>
  <c r="D7745" i="1"/>
  <c r="D7744" i="1"/>
  <c r="D7743" i="1"/>
  <c r="D7742" i="1"/>
  <c r="D7741" i="1"/>
  <c r="D7740" i="1"/>
  <c r="D7739" i="1"/>
  <c r="D7738" i="1"/>
  <c r="D7737" i="1"/>
  <c r="D7736" i="1"/>
  <c r="D7735" i="1"/>
  <c r="D7734" i="1"/>
  <c r="D7733" i="1"/>
  <c r="D7732" i="1"/>
  <c r="D7731" i="1"/>
  <c r="D7730" i="1"/>
  <c r="D7729" i="1"/>
  <c r="D7728" i="1"/>
  <c r="D7726" i="1"/>
  <c r="D7725" i="1"/>
  <c r="D7724" i="1"/>
  <c r="D7723" i="1"/>
  <c r="D7722" i="1"/>
  <c r="D7721" i="1"/>
  <c r="D7720" i="1"/>
  <c r="D7719" i="1"/>
  <c r="D7718" i="1"/>
  <c r="D7717" i="1"/>
  <c r="D7716" i="1"/>
  <c r="D7715" i="1"/>
  <c r="D7713" i="1"/>
  <c r="D7711" i="1"/>
  <c r="D7709" i="1"/>
  <c r="D7708" i="1"/>
  <c r="D7707" i="1"/>
  <c r="D7706" i="1"/>
  <c r="D7705" i="1"/>
  <c r="D7704" i="1"/>
  <c r="D7703" i="1"/>
  <c r="D7702" i="1"/>
  <c r="D7701" i="1"/>
  <c r="D7700" i="1"/>
  <c r="D7699" i="1"/>
  <c r="D7698" i="1"/>
  <c r="D7697" i="1"/>
  <c r="D7696" i="1"/>
  <c r="D7695" i="1"/>
  <c r="D7694" i="1"/>
  <c r="D7693" i="1"/>
  <c r="D7692" i="1"/>
  <c r="D7691" i="1"/>
  <c r="D7690" i="1"/>
  <c r="D7689" i="1"/>
  <c r="D7688" i="1"/>
  <c r="D7687" i="1"/>
  <c r="D7686" i="1"/>
  <c r="D7685" i="1"/>
  <c r="D7684" i="1"/>
  <c r="D7683" i="1"/>
  <c r="D7682" i="1"/>
  <c r="D7681" i="1"/>
  <c r="D7680" i="1"/>
  <c r="D7679" i="1"/>
  <c r="D7678" i="1"/>
  <c r="D7677" i="1"/>
  <c r="D7676" i="1"/>
  <c r="D7675" i="1"/>
  <c r="D7674" i="1"/>
  <c r="D7673" i="1"/>
  <c r="D7672" i="1"/>
  <c r="D7671" i="1"/>
  <c r="D7670" i="1"/>
  <c r="D7669" i="1"/>
  <c r="D7668" i="1"/>
  <c r="D7667" i="1"/>
  <c r="D7666" i="1"/>
  <c r="D7665" i="1"/>
  <c r="D7664" i="1"/>
  <c r="D7663" i="1"/>
  <c r="D7662" i="1"/>
  <c r="D7661" i="1"/>
  <c r="D7660" i="1"/>
  <c r="D7659" i="1"/>
  <c r="D7658" i="1"/>
  <c r="D7657" i="1"/>
  <c r="D7656" i="1"/>
  <c r="D7654" i="1"/>
  <c r="D7653" i="1"/>
  <c r="D7652" i="1"/>
  <c r="D7651" i="1"/>
  <c r="D7650" i="1"/>
  <c r="D7648" i="1"/>
  <c r="D7647" i="1"/>
  <c r="D7646" i="1"/>
  <c r="D7645" i="1"/>
  <c r="D7644" i="1"/>
  <c r="D7643" i="1"/>
  <c r="D7642" i="1"/>
  <c r="D7641" i="1"/>
  <c r="D7640" i="1"/>
  <c r="D7639" i="1"/>
  <c r="D7635" i="1"/>
  <c r="D7634" i="1"/>
  <c r="D7633" i="1"/>
  <c r="D7632" i="1"/>
  <c r="D7631" i="1"/>
  <c r="D7630" i="1"/>
  <c r="D7629" i="1"/>
  <c r="D7628" i="1"/>
  <c r="D7627" i="1"/>
  <c r="D7626" i="1"/>
  <c r="D7625" i="1"/>
  <c r="D7624" i="1"/>
  <c r="D7623" i="1"/>
  <c r="D7622" i="1"/>
  <c r="D7620" i="1"/>
  <c r="D7619" i="1"/>
  <c r="D7618" i="1"/>
  <c r="D7617" i="1"/>
  <c r="D7616" i="1"/>
  <c r="D7615" i="1"/>
  <c r="D7614" i="1"/>
  <c r="D7612" i="1"/>
  <c r="D7611" i="1"/>
  <c r="D7610" i="1"/>
  <c r="D7609" i="1"/>
  <c r="D7608" i="1"/>
  <c r="D7607" i="1"/>
  <c r="D7606" i="1"/>
  <c r="D7605" i="1"/>
  <c r="D7604" i="1"/>
  <c r="D7603" i="1"/>
  <c r="D7602" i="1"/>
  <c r="D7601" i="1"/>
  <c r="D7600" i="1"/>
  <c r="D7599" i="1"/>
  <c r="D7598" i="1"/>
  <c r="D7597" i="1"/>
  <c r="D7596" i="1"/>
  <c r="D7595" i="1"/>
  <c r="D7594" i="1"/>
  <c r="D7593" i="1"/>
  <c r="D7592" i="1"/>
  <c r="D7591" i="1"/>
  <c r="D7590" i="1"/>
  <c r="D7589" i="1"/>
  <c r="D7588" i="1"/>
  <c r="D7587" i="1"/>
  <c r="D7585" i="1"/>
  <c r="D7584" i="1"/>
  <c r="D7583" i="1"/>
  <c r="D7582" i="1"/>
  <c r="D7581" i="1"/>
  <c r="D7580" i="1"/>
  <c r="D7579" i="1"/>
  <c r="D7578" i="1"/>
  <c r="D7577" i="1"/>
  <c r="D7576" i="1"/>
  <c r="D7575" i="1"/>
  <c r="D7574" i="1"/>
  <c r="D7573" i="1"/>
  <c r="D7572" i="1"/>
  <c r="D7571" i="1"/>
  <c r="D7570" i="1"/>
  <c r="D7569" i="1"/>
  <c r="D7568" i="1"/>
  <c r="D7567" i="1"/>
  <c r="D7566" i="1"/>
  <c r="D7565" i="1"/>
  <c r="D7564" i="1"/>
  <c r="D7563" i="1"/>
  <c r="D7562" i="1"/>
  <c r="D7561" i="1"/>
  <c r="D7560" i="1"/>
  <c r="D7559" i="1"/>
  <c r="D7558" i="1"/>
  <c r="D7557" i="1"/>
  <c r="D7556" i="1"/>
  <c r="D7555" i="1"/>
  <c r="D7554" i="1"/>
  <c r="D7553" i="1"/>
  <c r="D7552" i="1"/>
  <c r="D7551" i="1"/>
  <c r="D7550" i="1"/>
  <c r="D7549" i="1"/>
  <c r="D7548" i="1"/>
  <c r="D7547" i="1"/>
  <c r="D7546" i="1"/>
  <c r="D7545" i="1"/>
  <c r="D7544" i="1"/>
  <c r="D7543" i="1"/>
  <c r="D7542" i="1"/>
  <c r="D7541" i="1"/>
  <c r="D7540" i="1"/>
  <c r="D7539" i="1"/>
  <c r="D7538" i="1"/>
  <c r="D7537" i="1"/>
  <c r="D7536" i="1"/>
  <c r="D7535" i="1"/>
  <c r="D7534" i="1"/>
  <c r="D7533" i="1"/>
  <c r="D7532" i="1"/>
  <c r="D7531" i="1"/>
  <c r="D7530" i="1"/>
  <c r="D7529" i="1"/>
  <c r="D7528" i="1"/>
  <c r="D7527" i="1"/>
  <c r="D7526" i="1"/>
  <c r="D7525" i="1"/>
  <c r="D7524" i="1"/>
  <c r="D7523" i="1"/>
  <c r="D7522" i="1"/>
  <c r="D7520" i="1"/>
  <c r="D7519" i="1"/>
  <c r="D7518" i="1"/>
  <c r="D7517" i="1"/>
  <c r="D7516" i="1"/>
  <c r="D7515" i="1"/>
  <c r="D7514" i="1"/>
  <c r="D7513" i="1"/>
  <c r="D7512" i="1"/>
  <c r="D7509" i="1"/>
  <c r="D7508" i="1"/>
  <c r="D7507" i="1"/>
  <c r="D7506" i="1"/>
  <c r="D7505" i="1"/>
  <c r="D7504" i="1"/>
  <c r="D7503" i="1"/>
  <c r="D7502" i="1"/>
  <c r="D7501" i="1"/>
  <c r="D7500" i="1"/>
  <c r="D7499" i="1"/>
  <c r="D7498" i="1"/>
  <c r="D7497" i="1"/>
  <c r="D7496" i="1"/>
  <c r="D7495" i="1"/>
  <c r="D7494" i="1"/>
  <c r="D7493" i="1"/>
  <c r="D7492" i="1"/>
  <c r="D7491" i="1"/>
  <c r="D7490" i="1"/>
  <c r="D7489" i="1"/>
  <c r="D7488" i="1"/>
  <c r="D7487" i="1"/>
  <c r="D7485" i="1"/>
  <c r="D7484" i="1"/>
  <c r="D7483" i="1"/>
  <c r="D7481" i="1"/>
  <c r="D7480" i="1"/>
  <c r="D7479" i="1"/>
  <c r="D7478" i="1"/>
  <c r="D7477" i="1"/>
  <c r="D7474" i="1"/>
  <c r="D7473" i="1"/>
  <c r="D7472" i="1"/>
  <c r="D7471" i="1"/>
  <c r="D7469" i="1"/>
  <c r="D7468" i="1"/>
  <c r="D7467" i="1"/>
  <c r="D7465" i="1"/>
  <c r="D7463" i="1"/>
  <c r="D7462" i="1"/>
  <c r="D7461" i="1"/>
  <c r="D7460" i="1"/>
  <c r="D7459" i="1"/>
  <c r="D7458" i="1"/>
  <c r="D7457" i="1"/>
  <c r="D7456" i="1"/>
  <c r="D7455" i="1"/>
  <c r="D7454" i="1"/>
  <c r="D7453" i="1"/>
  <c r="D7452" i="1"/>
  <c r="D7451" i="1"/>
  <c r="D7450" i="1"/>
  <c r="D7449" i="1"/>
  <c r="D7448" i="1"/>
  <c r="D7447" i="1"/>
  <c r="D7446" i="1"/>
  <c r="D7445" i="1"/>
  <c r="D7444" i="1"/>
  <c r="D7443" i="1"/>
  <c r="D7442" i="1"/>
  <c r="D7441" i="1"/>
  <c r="D7440" i="1"/>
  <c r="D7439" i="1"/>
  <c r="D7438" i="1"/>
  <c r="D7436" i="1"/>
  <c r="D7433" i="1"/>
  <c r="D7431" i="1"/>
  <c r="D7430" i="1"/>
  <c r="D7429" i="1"/>
  <c r="D7428" i="1"/>
  <c r="D7427" i="1"/>
  <c r="D7426" i="1"/>
  <c r="D7425" i="1"/>
  <c r="D7424" i="1"/>
  <c r="D7423" i="1"/>
  <c r="D7422" i="1"/>
  <c r="D7421" i="1"/>
  <c r="D7420" i="1"/>
  <c r="D7419" i="1"/>
  <c r="D7418" i="1"/>
  <c r="D7417" i="1"/>
  <c r="D7416" i="1"/>
  <c r="D7415" i="1"/>
  <c r="D7414" i="1"/>
  <c r="D7413" i="1"/>
  <c r="D7412" i="1"/>
  <c r="D7411" i="1"/>
  <c r="D7410" i="1"/>
  <c r="D7409" i="1"/>
  <c r="D7408" i="1"/>
  <c r="D7407" i="1"/>
  <c r="D7406" i="1"/>
  <c r="D7405" i="1"/>
  <c r="D7404" i="1"/>
  <c r="D7403" i="1"/>
  <c r="D7402" i="1"/>
  <c r="D7401" i="1"/>
  <c r="D7400" i="1"/>
  <c r="D7399" i="1"/>
  <c r="D7398" i="1"/>
  <c r="D7397" i="1"/>
  <c r="D7396" i="1"/>
  <c r="D7395" i="1"/>
  <c r="D7394" i="1"/>
  <c r="D7393" i="1"/>
  <c r="D7392" i="1"/>
  <c r="D7391" i="1"/>
  <c r="D7390" i="1"/>
  <c r="D7389" i="1"/>
  <c r="D7388" i="1"/>
  <c r="D7387" i="1"/>
  <c r="D7386" i="1"/>
  <c r="D7385" i="1"/>
  <c r="D7384" i="1"/>
  <c r="D7383" i="1"/>
  <c r="D7382" i="1"/>
  <c r="D7381" i="1"/>
  <c r="D7379" i="1"/>
  <c r="D7377" i="1"/>
  <c r="D7376" i="1"/>
  <c r="D7375" i="1"/>
  <c r="D7372" i="1"/>
  <c r="D7371" i="1"/>
  <c r="D7370" i="1"/>
  <c r="D7368" i="1"/>
  <c r="D7367" i="1"/>
  <c r="D7366" i="1"/>
  <c r="D7365" i="1"/>
  <c r="D7364" i="1"/>
  <c r="D7363" i="1"/>
  <c r="D7362" i="1"/>
  <c r="D7361" i="1"/>
  <c r="D7360" i="1"/>
  <c r="D7359" i="1"/>
  <c r="D7358" i="1"/>
  <c r="D7357" i="1"/>
  <c r="D7356" i="1"/>
  <c r="D7355" i="1"/>
  <c r="D7354" i="1"/>
  <c r="D7353" i="1"/>
  <c r="D7352" i="1"/>
  <c r="D7351" i="1"/>
  <c r="D7350" i="1"/>
  <c r="D7349" i="1"/>
  <c r="D7348" i="1"/>
  <c r="D7347" i="1"/>
  <c r="D7346" i="1"/>
  <c r="D7345" i="1"/>
  <c r="D7344" i="1"/>
  <c r="D7343" i="1"/>
  <c r="D7342" i="1"/>
  <c r="D7341" i="1"/>
  <c r="D7340" i="1"/>
  <c r="D7339" i="1"/>
  <c r="D7338" i="1"/>
  <c r="D7337" i="1"/>
  <c r="D7336" i="1"/>
  <c r="D7335" i="1"/>
  <c r="D7334" i="1"/>
  <c r="D7333" i="1"/>
  <c r="D7332" i="1"/>
  <c r="D7331" i="1"/>
  <c r="D7330" i="1"/>
  <c r="D7329" i="1"/>
  <c r="D7328" i="1"/>
  <c r="D7327" i="1"/>
  <c r="D7326" i="1"/>
  <c r="D7325" i="1"/>
  <c r="D7324" i="1"/>
  <c r="D7323" i="1"/>
  <c r="D7322" i="1"/>
  <c r="D7321" i="1"/>
  <c r="D7320" i="1"/>
  <c r="D7319" i="1"/>
  <c r="D7318" i="1"/>
  <c r="D7317" i="1"/>
  <c r="D7316" i="1"/>
  <c r="D7315" i="1"/>
  <c r="D7314" i="1"/>
  <c r="D7313" i="1"/>
  <c r="D7312" i="1"/>
  <c r="D7310" i="1"/>
  <c r="D7309" i="1"/>
  <c r="D7308" i="1"/>
  <c r="D7306" i="1"/>
  <c r="D7305" i="1"/>
  <c r="D7304" i="1"/>
  <c r="D7303" i="1"/>
  <c r="D7302" i="1"/>
  <c r="D7301" i="1"/>
  <c r="D7300" i="1"/>
  <c r="D7299" i="1"/>
  <c r="D7298" i="1"/>
  <c r="D7297" i="1"/>
  <c r="D7296" i="1"/>
  <c r="D7295" i="1"/>
  <c r="D7294" i="1"/>
  <c r="D7292" i="1"/>
  <c r="D7291" i="1"/>
  <c r="D7290" i="1"/>
  <c r="D7289" i="1"/>
  <c r="D7288" i="1"/>
  <c r="D7287" i="1"/>
  <c r="D7286" i="1"/>
  <c r="D7285" i="1"/>
  <c r="D7283" i="1"/>
  <c r="D7282" i="1"/>
  <c r="D7281" i="1"/>
  <c r="D7280" i="1"/>
  <c r="D7279" i="1"/>
  <c r="D7277" i="1"/>
  <c r="D7276" i="1"/>
  <c r="D7275" i="1"/>
  <c r="D7274" i="1"/>
  <c r="D7273" i="1"/>
  <c r="D7272" i="1"/>
  <c r="D7271" i="1"/>
  <c r="D7270" i="1"/>
  <c r="D7269" i="1"/>
  <c r="D7268" i="1"/>
  <c r="D7267" i="1"/>
  <c r="D7266" i="1"/>
  <c r="D7265" i="1"/>
  <c r="D7264" i="1"/>
  <c r="D7263" i="1"/>
  <c r="D7262" i="1"/>
  <c r="D7261" i="1"/>
  <c r="D7260" i="1"/>
  <c r="D7259" i="1"/>
  <c r="D7258" i="1"/>
  <c r="D7257" i="1"/>
  <c r="D7256" i="1"/>
  <c r="D7255" i="1"/>
  <c r="D7254" i="1"/>
  <c r="D7253" i="1"/>
  <c r="D7252" i="1"/>
  <c r="D7251" i="1"/>
  <c r="D7250" i="1"/>
  <c r="D7249" i="1"/>
  <c r="D7248" i="1"/>
  <c r="D7247" i="1"/>
  <c r="D7246" i="1"/>
  <c r="D7245" i="1"/>
  <c r="D7244" i="1"/>
  <c r="D7243" i="1"/>
  <c r="D7242" i="1"/>
  <c r="D7241" i="1"/>
  <c r="D7240" i="1"/>
  <c r="D7239" i="1"/>
  <c r="D7238" i="1"/>
  <c r="D7237" i="1"/>
  <c r="D7236" i="1"/>
  <c r="D7235" i="1"/>
  <c r="D7234" i="1"/>
  <c r="D7233" i="1"/>
  <c r="D7232" i="1"/>
  <c r="D7231" i="1"/>
  <c r="D7230" i="1"/>
  <c r="D7229" i="1"/>
  <c r="D7228" i="1"/>
  <c r="D7227" i="1"/>
  <c r="D7226" i="1"/>
  <c r="D7225" i="1"/>
  <c r="D7224" i="1"/>
  <c r="D7223" i="1"/>
  <c r="D7222" i="1"/>
  <c r="D7221" i="1"/>
  <c r="D7220" i="1"/>
  <c r="D7219" i="1"/>
  <c r="D7218" i="1"/>
  <c r="D7217" i="1"/>
  <c r="D7216" i="1"/>
  <c r="D7215" i="1"/>
  <c r="D7214" i="1"/>
  <c r="D7213" i="1"/>
  <c r="D7212" i="1"/>
  <c r="D7211" i="1"/>
  <c r="D7210" i="1"/>
  <c r="D7209" i="1"/>
  <c r="D7208" i="1"/>
  <c r="D7207" i="1"/>
  <c r="D7206" i="1"/>
  <c r="D7205" i="1"/>
  <c r="D7204" i="1"/>
  <c r="D7202" i="1"/>
  <c r="D7201" i="1"/>
  <c r="D7200" i="1"/>
  <c r="D7199" i="1"/>
  <c r="D7197" i="1"/>
  <c r="D7196" i="1"/>
  <c r="D7195" i="1"/>
  <c r="D7194" i="1"/>
  <c r="D7193" i="1"/>
  <c r="D7192" i="1"/>
  <c r="D7191" i="1"/>
  <c r="D7190" i="1"/>
  <c r="D7189" i="1"/>
  <c r="D7188" i="1"/>
  <c r="D7187" i="1"/>
  <c r="D7185" i="1"/>
  <c r="D7184" i="1"/>
  <c r="D7183" i="1"/>
  <c r="D7182" i="1"/>
  <c r="D7181" i="1"/>
  <c r="D7180" i="1"/>
  <c r="D7179" i="1"/>
  <c r="D7178" i="1"/>
  <c r="D7177" i="1"/>
  <c r="D7176" i="1"/>
  <c r="D7175" i="1"/>
  <c r="D7174" i="1"/>
  <c r="D7173" i="1"/>
  <c r="D7172" i="1"/>
  <c r="D7171" i="1"/>
  <c r="D7170" i="1"/>
  <c r="D7169" i="1"/>
  <c r="D7168" i="1"/>
  <c r="D7167" i="1"/>
  <c r="D7166" i="1"/>
  <c r="D7165" i="1"/>
  <c r="D7164" i="1"/>
  <c r="D7163" i="1"/>
  <c r="D7162" i="1"/>
  <c r="D7161" i="1"/>
  <c r="D7160" i="1"/>
  <c r="D7159" i="1"/>
  <c r="D7158" i="1"/>
  <c r="D7157" i="1"/>
  <c r="D7156" i="1"/>
  <c r="D7155" i="1"/>
  <c r="D7154" i="1"/>
  <c r="D7153" i="1"/>
  <c r="D7152" i="1"/>
  <c r="D7151" i="1"/>
  <c r="D7150" i="1"/>
  <c r="D7149" i="1"/>
  <c r="D7148" i="1"/>
  <c r="D7147" i="1"/>
  <c r="D7146" i="1"/>
  <c r="D7145" i="1"/>
  <c r="D7144" i="1"/>
  <c r="D7143" i="1"/>
  <c r="D7142" i="1"/>
  <c r="D7140" i="1"/>
  <c r="D7139" i="1"/>
  <c r="D7137" i="1"/>
  <c r="D7134" i="1"/>
  <c r="D7133" i="1"/>
  <c r="D7132" i="1"/>
  <c r="D7131" i="1"/>
  <c r="D7130" i="1"/>
  <c r="D7129" i="1"/>
  <c r="D7128" i="1"/>
  <c r="D7127" i="1"/>
  <c r="D7126" i="1"/>
  <c r="D7124" i="1"/>
  <c r="D7123" i="1"/>
  <c r="D7122" i="1"/>
  <c r="D7121" i="1"/>
  <c r="D7120" i="1"/>
  <c r="D7118" i="1"/>
  <c r="D7117" i="1"/>
  <c r="D7115" i="1"/>
  <c r="D7114" i="1"/>
  <c r="D7113" i="1"/>
  <c r="D7111" i="1"/>
  <c r="D7110" i="1"/>
  <c r="D7109" i="1"/>
  <c r="D7108" i="1"/>
  <c r="D7107" i="1"/>
  <c r="D7106" i="1"/>
  <c r="D7105" i="1"/>
  <c r="D7104" i="1"/>
  <c r="D7103" i="1"/>
  <c r="D7102" i="1"/>
  <c r="D7101" i="1"/>
  <c r="D7100" i="1"/>
  <c r="D7098" i="1"/>
  <c r="D7097" i="1"/>
  <c r="D7096" i="1"/>
  <c r="D7094" i="1"/>
  <c r="D7092" i="1"/>
  <c r="D7090" i="1"/>
  <c r="D7088" i="1"/>
  <c r="D7087" i="1"/>
  <c r="D7086" i="1"/>
  <c r="D7085" i="1"/>
  <c r="D7084" i="1"/>
  <c r="D7083" i="1"/>
  <c r="D7082" i="1"/>
  <c r="D7081" i="1"/>
  <c r="D7080" i="1"/>
  <c r="D7079" i="1"/>
  <c r="D7078" i="1"/>
  <c r="D7077" i="1"/>
  <c r="D7076" i="1"/>
  <c r="D7074" i="1"/>
  <c r="D7073" i="1"/>
  <c r="D7072" i="1"/>
  <c r="D7071" i="1"/>
  <c r="D7070" i="1"/>
  <c r="D7069" i="1"/>
  <c r="D7068" i="1"/>
  <c r="D7067" i="1"/>
  <c r="D7066" i="1"/>
  <c r="D7063" i="1"/>
  <c r="D7062" i="1"/>
  <c r="D7061" i="1"/>
  <c r="D7058" i="1"/>
  <c r="D7057" i="1"/>
  <c r="D7056" i="1"/>
  <c r="D7054" i="1"/>
  <c r="D7053" i="1"/>
  <c r="D7052" i="1"/>
  <c r="D7051" i="1"/>
  <c r="D7050" i="1"/>
  <c r="D7048" i="1"/>
  <c r="D7047" i="1"/>
  <c r="D7046" i="1"/>
  <c r="D7045" i="1"/>
  <c r="D7044" i="1"/>
  <c r="D7043" i="1"/>
  <c r="D7042" i="1"/>
  <c r="D7041" i="1"/>
  <c r="D7040" i="1"/>
  <c r="D7039" i="1"/>
  <c r="D7038" i="1"/>
  <c r="D7037" i="1"/>
  <c r="D7036" i="1"/>
  <c r="D7035" i="1"/>
  <c r="D7034" i="1"/>
  <c r="D7033" i="1"/>
  <c r="D7032" i="1"/>
  <c r="D7031" i="1"/>
  <c r="D7030" i="1"/>
  <c r="D7029" i="1"/>
  <c r="D7028" i="1"/>
  <c r="D7027" i="1"/>
  <c r="D7026" i="1"/>
  <c r="D7025" i="1"/>
  <c r="D7024" i="1"/>
  <c r="D7023" i="1"/>
  <c r="D7022" i="1"/>
  <c r="D7021" i="1"/>
  <c r="D7020" i="1"/>
  <c r="D7019" i="1"/>
  <c r="D7018" i="1"/>
  <c r="D7017" i="1"/>
  <c r="D7016" i="1"/>
  <c r="D7015" i="1"/>
  <c r="D7014" i="1"/>
  <c r="D7013" i="1"/>
  <c r="D7010" i="1"/>
  <c r="D7008" i="1"/>
  <c r="D7007" i="1"/>
  <c r="D7006" i="1"/>
  <c r="D7005" i="1"/>
  <c r="D7004" i="1"/>
  <c r="D7003" i="1"/>
  <c r="D7002" i="1"/>
  <c r="D7001" i="1"/>
  <c r="D7000" i="1"/>
  <c r="D6999" i="1"/>
  <c r="D6998" i="1"/>
  <c r="D6997" i="1"/>
  <c r="D6996" i="1"/>
  <c r="D6995" i="1"/>
  <c r="D6994" i="1"/>
  <c r="D6993" i="1"/>
  <c r="D6992" i="1"/>
  <c r="D6991" i="1"/>
  <c r="D6990" i="1"/>
  <c r="D6989" i="1"/>
  <c r="D6988" i="1"/>
  <c r="D6987" i="1"/>
  <c r="D6986" i="1"/>
  <c r="D6985" i="1"/>
  <c r="D6984" i="1"/>
  <c r="D6983" i="1"/>
  <c r="D6982" i="1"/>
  <c r="D6981" i="1"/>
  <c r="D6980" i="1"/>
  <c r="D6979" i="1"/>
  <c r="D6978" i="1"/>
  <c r="D6977" i="1"/>
  <c r="D6976" i="1"/>
  <c r="D6975" i="1"/>
  <c r="D6974" i="1"/>
  <c r="D6972" i="1"/>
  <c r="D6971" i="1"/>
  <c r="D6970" i="1"/>
  <c r="D6969" i="1"/>
  <c r="D6968" i="1"/>
  <c r="D6967" i="1"/>
  <c r="D6966" i="1"/>
  <c r="D6965" i="1"/>
  <c r="D6964" i="1"/>
  <c r="D6963" i="1"/>
  <c r="D6962" i="1"/>
  <c r="D6961" i="1"/>
  <c r="D6960" i="1"/>
  <c r="D6959" i="1"/>
  <c r="D6958" i="1"/>
  <c r="D6957" i="1"/>
  <c r="D6956" i="1"/>
  <c r="D6955" i="1"/>
  <c r="D6954" i="1"/>
  <c r="D6953" i="1"/>
  <c r="D6951" i="1"/>
  <c r="D6950" i="1"/>
  <c r="D6949" i="1"/>
  <c r="D6948" i="1"/>
  <c r="D6947" i="1"/>
  <c r="D6946" i="1"/>
  <c r="D6945" i="1"/>
  <c r="D6944" i="1"/>
  <c r="D6943" i="1"/>
  <c r="D6942" i="1"/>
  <c r="D6941" i="1"/>
  <c r="D6940" i="1"/>
  <c r="D6939" i="1"/>
  <c r="D6938" i="1"/>
  <c r="D6937" i="1"/>
  <c r="D6936" i="1"/>
  <c r="D6935" i="1"/>
  <c r="D6934" i="1"/>
  <c r="D6933" i="1"/>
  <c r="D6932" i="1"/>
  <c r="D6931" i="1"/>
  <c r="D6930" i="1"/>
  <c r="D6929" i="1"/>
  <c r="D6928" i="1"/>
  <c r="D6927" i="1"/>
  <c r="D6926" i="1"/>
  <c r="D6925" i="1"/>
  <c r="D6924" i="1"/>
  <c r="D6923" i="1"/>
  <c r="D6922" i="1"/>
  <c r="D6921" i="1"/>
  <c r="D6920" i="1"/>
  <c r="D6919" i="1"/>
  <c r="D6918" i="1"/>
  <c r="D6917" i="1"/>
  <c r="D6916" i="1"/>
  <c r="D6915" i="1"/>
  <c r="D6914" i="1"/>
  <c r="D6913" i="1"/>
  <c r="D6912" i="1"/>
  <c r="D6911" i="1"/>
  <c r="D6910" i="1"/>
  <c r="D6909" i="1"/>
  <c r="D6908" i="1"/>
  <c r="D6907" i="1"/>
  <c r="D6906" i="1"/>
  <c r="D6905" i="1"/>
  <c r="D6904" i="1"/>
  <c r="D6903" i="1"/>
  <c r="D6902" i="1"/>
  <c r="D6901" i="1"/>
  <c r="D6900" i="1"/>
  <c r="D6899" i="1"/>
  <c r="D6898" i="1"/>
  <c r="D6897" i="1"/>
  <c r="D6896" i="1"/>
  <c r="D6895" i="1"/>
  <c r="D6894" i="1"/>
  <c r="D6893" i="1"/>
  <c r="D6892" i="1"/>
  <c r="D6891" i="1"/>
  <c r="D6890" i="1"/>
  <c r="D6889" i="1"/>
  <c r="D6888" i="1"/>
  <c r="D6887" i="1"/>
  <c r="D6886" i="1"/>
  <c r="D6885" i="1"/>
  <c r="D6884" i="1"/>
  <c r="D6883" i="1"/>
  <c r="D6882" i="1"/>
  <c r="D6881" i="1"/>
  <c r="D6880" i="1"/>
  <c r="D6879" i="1"/>
  <c r="D6878" i="1"/>
  <c r="D6877" i="1"/>
  <c r="D6876" i="1"/>
  <c r="D6875" i="1"/>
  <c r="D6874" i="1"/>
  <c r="D6873" i="1"/>
  <c r="D6872" i="1"/>
  <c r="D6871" i="1"/>
  <c r="D6870" i="1"/>
  <c r="D6869" i="1"/>
  <c r="D6868" i="1"/>
  <c r="D6867" i="1"/>
  <c r="D6866" i="1"/>
  <c r="D6865" i="1"/>
  <c r="D6864" i="1"/>
  <c r="D6863" i="1"/>
  <c r="D6862" i="1"/>
  <c r="D6861" i="1"/>
  <c r="D6860" i="1"/>
  <c r="D6859" i="1"/>
  <c r="D6858" i="1"/>
  <c r="D6857" i="1"/>
  <c r="D6856" i="1"/>
  <c r="D6855" i="1"/>
  <c r="D6854" i="1"/>
  <c r="D6853" i="1"/>
  <c r="D6852" i="1"/>
  <c r="D6851" i="1"/>
  <c r="D6850" i="1"/>
  <c r="D6849" i="1"/>
  <c r="D6848" i="1"/>
  <c r="D6847" i="1"/>
  <c r="D6846" i="1"/>
  <c r="D6845" i="1"/>
  <c r="D6844" i="1"/>
  <c r="D6843" i="1"/>
  <c r="D6842" i="1"/>
  <c r="D6841" i="1"/>
  <c r="D6840" i="1"/>
  <c r="D6839" i="1"/>
  <c r="D6838" i="1"/>
  <c r="D6837" i="1"/>
  <c r="D6836" i="1"/>
  <c r="D6835" i="1"/>
  <c r="D6834" i="1"/>
  <c r="D6833" i="1"/>
  <c r="D6832" i="1"/>
  <c r="D6831" i="1"/>
  <c r="D6830" i="1"/>
  <c r="D6829" i="1"/>
  <c r="D6828" i="1"/>
  <c r="D6827" i="1"/>
  <c r="D6826" i="1"/>
  <c r="D6825" i="1"/>
  <c r="D6824" i="1"/>
  <c r="D6823" i="1"/>
  <c r="D6822" i="1"/>
  <c r="D6821" i="1"/>
  <c r="D6820" i="1"/>
  <c r="D6819" i="1"/>
  <c r="D6818" i="1"/>
  <c r="D6817" i="1"/>
  <c r="D6816" i="1"/>
  <c r="D6814" i="1"/>
  <c r="D6813" i="1"/>
  <c r="D6812" i="1"/>
  <c r="D6811" i="1"/>
  <c r="D6810" i="1"/>
  <c r="D6809" i="1"/>
  <c r="D6808" i="1"/>
  <c r="D6807" i="1"/>
  <c r="D6806" i="1"/>
  <c r="D6805" i="1"/>
  <c r="D6804" i="1"/>
  <c r="D6803" i="1"/>
  <c r="D6802" i="1"/>
  <c r="D6801" i="1"/>
  <c r="D6799" i="1"/>
  <c r="D6798" i="1"/>
  <c r="D6797" i="1"/>
  <c r="D6796" i="1"/>
  <c r="D6795" i="1"/>
  <c r="D6794" i="1"/>
  <c r="D6793" i="1"/>
  <c r="D6792" i="1"/>
  <c r="D6791" i="1"/>
  <c r="D6790" i="1"/>
  <c r="D6789" i="1"/>
  <c r="D6788" i="1"/>
  <c r="D6787" i="1"/>
  <c r="D6786" i="1"/>
  <c r="D6785" i="1"/>
  <c r="D6784" i="1"/>
  <c r="D6783" i="1"/>
  <c r="D6782" i="1"/>
  <c r="D6781" i="1"/>
  <c r="D6780" i="1"/>
  <c r="D6779" i="1"/>
  <c r="D6778" i="1"/>
  <c r="D6777" i="1"/>
  <c r="D6776" i="1"/>
  <c r="D6775" i="1"/>
  <c r="D6774" i="1"/>
  <c r="D6773" i="1"/>
  <c r="D6772" i="1"/>
  <c r="D6771" i="1"/>
  <c r="D6770" i="1"/>
  <c r="D6769" i="1"/>
  <c r="D6768" i="1"/>
  <c r="D6767" i="1"/>
  <c r="D6766" i="1"/>
  <c r="D6764" i="1"/>
  <c r="D6762" i="1"/>
  <c r="D6761" i="1"/>
  <c r="D6760" i="1"/>
  <c r="D6759" i="1"/>
  <c r="D6758" i="1"/>
  <c r="D6757" i="1"/>
  <c r="D6756" i="1"/>
  <c r="D6755" i="1"/>
  <c r="D6754" i="1"/>
  <c r="D6753" i="1"/>
  <c r="D6752" i="1"/>
  <c r="D6751" i="1"/>
  <c r="D6750" i="1"/>
  <c r="D6749" i="1"/>
  <c r="D6748" i="1"/>
  <c r="D6747" i="1"/>
  <c r="D6746" i="1"/>
  <c r="D6745" i="1"/>
  <c r="D6744" i="1"/>
  <c r="D6743" i="1"/>
  <c r="D6741" i="1"/>
  <c r="D6740" i="1"/>
  <c r="D6739" i="1"/>
  <c r="D6738" i="1"/>
  <c r="D6737" i="1"/>
  <c r="D6736" i="1"/>
  <c r="D6735" i="1"/>
  <c r="D6734" i="1"/>
  <c r="D6733" i="1"/>
  <c r="D6732" i="1"/>
  <c r="D6731" i="1"/>
  <c r="D6730" i="1"/>
  <c r="D6729" i="1"/>
  <c r="D6728" i="1"/>
  <c r="D6727" i="1"/>
  <c r="D6726" i="1"/>
  <c r="D6725" i="1"/>
  <c r="D6724" i="1"/>
  <c r="D6723" i="1"/>
  <c r="D6722" i="1"/>
  <c r="D6721" i="1"/>
  <c r="D6720" i="1"/>
  <c r="D6719" i="1"/>
  <c r="D6718" i="1"/>
  <c r="D6717" i="1"/>
  <c r="D6716" i="1"/>
  <c r="D6715" i="1"/>
  <c r="D6714" i="1"/>
  <c r="D6713" i="1"/>
  <c r="D6712" i="1"/>
  <c r="D6711" i="1"/>
  <c r="D6710" i="1"/>
  <c r="D6709" i="1"/>
  <c r="D6708" i="1"/>
  <c r="D6707" i="1"/>
  <c r="D6706" i="1"/>
  <c r="D6705" i="1"/>
  <c r="D6704" i="1"/>
  <c r="D6703" i="1"/>
  <c r="D6702" i="1"/>
  <c r="D6701" i="1"/>
  <c r="D6700" i="1"/>
  <c r="D6699" i="1"/>
  <c r="D6698" i="1"/>
  <c r="D6697" i="1"/>
  <c r="D6696" i="1"/>
  <c r="D6695" i="1"/>
  <c r="D6694" i="1"/>
  <c r="D6693" i="1"/>
  <c r="D6692" i="1"/>
  <c r="D6691" i="1"/>
  <c r="D6690" i="1"/>
  <c r="D6689" i="1"/>
  <c r="D6688" i="1"/>
  <c r="D6687" i="1"/>
  <c r="D6686" i="1"/>
  <c r="D6685" i="1"/>
  <c r="D6684" i="1"/>
  <c r="D6683" i="1"/>
  <c r="D6682" i="1"/>
  <c r="D6681" i="1"/>
  <c r="D6680" i="1"/>
  <c r="D6679" i="1"/>
  <c r="D6678" i="1"/>
  <c r="D6677" i="1"/>
  <c r="D6676" i="1"/>
  <c r="D6675" i="1"/>
  <c r="D6674" i="1"/>
  <c r="D6673" i="1"/>
  <c r="D6672" i="1"/>
  <c r="D6671" i="1"/>
  <c r="D6670" i="1"/>
  <c r="D6669" i="1"/>
  <c r="D6668" i="1"/>
  <c r="D6667" i="1"/>
  <c r="D6666" i="1"/>
  <c r="D6665" i="1"/>
  <c r="D6664" i="1"/>
  <c r="D6663" i="1"/>
  <c r="D6662" i="1"/>
  <c r="D6661" i="1"/>
  <c r="D6660" i="1"/>
  <c r="D6659" i="1"/>
  <c r="D6658" i="1"/>
  <c r="D6657" i="1"/>
  <c r="D6656" i="1"/>
  <c r="D6655" i="1"/>
  <c r="D6654" i="1"/>
  <c r="D6653" i="1"/>
  <c r="D6652" i="1"/>
  <c r="D6651" i="1"/>
  <c r="D6650" i="1"/>
  <c r="D6649" i="1"/>
  <c r="D6648" i="1"/>
  <c r="D6644" i="1"/>
  <c r="D6643" i="1"/>
  <c r="D6642" i="1"/>
  <c r="D6641" i="1"/>
  <c r="D6640" i="1"/>
  <c r="D6639" i="1"/>
  <c r="D6638" i="1"/>
  <c r="D6637" i="1"/>
  <c r="D6636" i="1"/>
  <c r="D6635" i="1"/>
  <c r="D6634" i="1"/>
  <c r="D6633" i="1"/>
  <c r="D6632" i="1"/>
  <c r="D6631" i="1"/>
  <c r="D6630" i="1"/>
  <c r="D6629" i="1"/>
  <c r="D6628" i="1"/>
  <c r="D6627" i="1"/>
  <c r="D6626" i="1"/>
  <c r="D6625" i="1"/>
  <c r="D6624" i="1"/>
  <c r="D6622" i="1"/>
  <c r="D6620" i="1"/>
  <c r="D6619" i="1"/>
  <c r="D6618" i="1"/>
  <c r="D6614" i="1"/>
  <c r="D6613" i="1"/>
  <c r="D6612" i="1"/>
  <c r="D6610" i="1"/>
  <c r="D6609" i="1"/>
  <c r="D6608" i="1"/>
  <c r="D6607" i="1"/>
  <c r="D6605" i="1"/>
  <c r="D6604" i="1"/>
  <c r="D6603" i="1"/>
  <c r="D6599" i="1"/>
  <c r="D6598" i="1"/>
  <c r="D6597" i="1"/>
  <c r="D6594" i="1"/>
  <c r="D6591" i="1"/>
  <c r="D6590" i="1"/>
  <c r="D6589" i="1"/>
  <c r="D6588" i="1"/>
  <c r="D6587" i="1"/>
  <c r="D6586" i="1"/>
  <c r="D6583" i="1"/>
  <c r="D6582" i="1"/>
  <c r="D6581" i="1"/>
  <c r="D6580" i="1"/>
  <c r="D6578" i="1"/>
  <c r="D6577" i="1"/>
  <c r="D6575" i="1"/>
  <c r="D6574" i="1"/>
  <c r="D6572" i="1"/>
  <c r="D6571" i="1"/>
  <c r="D6570" i="1"/>
  <c r="D6569" i="1"/>
  <c r="D6566" i="1"/>
  <c r="D6563" i="1"/>
  <c r="D6562" i="1"/>
  <c r="D6561" i="1"/>
  <c r="D6560" i="1"/>
  <c r="D6559" i="1"/>
  <c r="D6558" i="1"/>
  <c r="D6557" i="1"/>
  <c r="D6556" i="1"/>
  <c r="D6555" i="1"/>
  <c r="D6554" i="1"/>
  <c r="D6553" i="1"/>
  <c r="D6552" i="1"/>
  <c r="D6551" i="1"/>
  <c r="D6550" i="1"/>
  <c r="D6549" i="1"/>
  <c r="D6548" i="1"/>
  <c r="D6547" i="1"/>
  <c r="D6546" i="1"/>
  <c r="D6545" i="1"/>
  <c r="D6544" i="1"/>
  <c r="D6543" i="1"/>
  <c r="D6542" i="1"/>
  <c r="D6541" i="1"/>
  <c r="D6540" i="1"/>
  <c r="D6539" i="1"/>
  <c r="D6538" i="1"/>
  <c r="D6537" i="1"/>
  <c r="D6536" i="1"/>
  <c r="D6535" i="1"/>
  <c r="D6534" i="1"/>
  <c r="D6533" i="1"/>
  <c r="D6532" i="1"/>
  <c r="D6531" i="1"/>
  <c r="D6530" i="1"/>
  <c r="D6529" i="1"/>
  <c r="D6528" i="1"/>
  <c r="D6527" i="1"/>
  <c r="D6526" i="1"/>
  <c r="D6525" i="1"/>
  <c r="D6524" i="1"/>
  <c r="D6523" i="1"/>
  <c r="D6522" i="1"/>
  <c r="D6521" i="1"/>
  <c r="D6520" i="1"/>
  <c r="D6519" i="1"/>
  <c r="D6518" i="1"/>
  <c r="D6517" i="1"/>
  <c r="D6516" i="1"/>
  <c r="D6515" i="1"/>
  <c r="D6514" i="1"/>
  <c r="D6513" i="1"/>
  <c r="D6512" i="1"/>
  <c r="D6511" i="1"/>
  <c r="D6510" i="1"/>
  <c r="D6509" i="1"/>
  <c r="D6508" i="1"/>
  <c r="D6507" i="1"/>
  <c r="D6506" i="1"/>
  <c r="D6505" i="1"/>
  <c r="D6504" i="1"/>
  <c r="D6503" i="1"/>
  <c r="D6502" i="1"/>
  <c r="D6501" i="1"/>
  <c r="D6500" i="1"/>
  <c r="D6499" i="1"/>
  <c r="D6498" i="1"/>
  <c r="D6497" i="1"/>
  <c r="D6496" i="1"/>
  <c r="D6495" i="1"/>
  <c r="D6494" i="1"/>
  <c r="D6493" i="1"/>
  <c r="D6492" i="1"/>
  <c r="D6491" i="1"/>
  <c r="D6490" i="1"/>
  <c r="D6489" i="1"/>
  <c r="D6488" i="1"/>
  <c r="D6487" i="1"/>
  <c r="D6486" i="1"/>
  <c r="D6485" i="1"/>
  <c r="D6484" i="1"/>
  <c r="D6483" i="1"/>
  <c r="D6482" i="1"/>
  <c r="D6481" i="1"/>
  <c r="D6480" i="1"/>
  <c r="D6479" i="1"/>
  <c r="D6478" i="1"/>
  <c r="D6477" i="1"/>
  <c r="D6475" i="1"/>
  <c r="D6474" i="1"/>
  <c r="D6473" i="1"/>
  <c r="D6472" i="1"/>
  <c r="D6471" i="1"/>
  <c r="D6470" i="1"/>
  <c r="D6469" i="1"/>
  <c r="D6468" i="1"/>
  <c r="D6467" i="1"/>
  <c r="D6465" i="1"/>
  <c r="D6464" i="1"/>
  <c r="D6463" i="1"/>
  <c r="D6462" i="1"/>
  <c r="D6461" i="1"/>
  <c r="D6460" i="1"/>
  <c r="D6459" i="1"/>
  <c r="D6458" i="1"/>
  <c r="D6457" i="1"/>
  <c r="D6455" i="1"/>
  <c r="D6454" i="1"/>
  <c r="D6453" i="1"/>
  <c r="D6452" i="1"/>
  <c r="D6451" i="1"/>
  <c r="D6450" i="1"/>
  <c r="D6449" i="1"/>
  <c r="D6448" i="1"/>
  <c r="D6447" i="1"/>
  <c r="D6446" i="1"/>
  <c r="D6445" i="1"/>
  <c r="D6444" i="1"/>
  <c r="D6443" i="1"/>
  <c r="D6442" i="1"/>
  <c r="D6441" i="1"/>
  <c r="D6440" i="1"/>
  <c r="D6439" i="1"/>
  <c r="D6437" i="1"/>
  <c r="D6435" i="1"/>
  <c r="D6434" i="1"/>
  <c r="D6433" i="1"/>
  <c r="D6432" i="1"/>
  <c r="D6431" i="1"/>
  <c r="D6430" i="1"/>
  <c r="D6429" i="1"/>
  <c r="D6428" i="1"/>
  <c r="D6427" i="1"/>
  <c r="D6426" i="1"/>
  <c r="D6425" i="1"/>
  <c r="D6424" i="1"/>
  <c r="D6423" i="1"/>
  <c r="D6422" i="1"/>
  <c r="D6421" i="1"/>
  <c r="D6420" i="1"/>
  <c r="D6419" i="1"/>
  <c r="D6418" i="1"/>
  <c r="D6417" i="1"/>
  <c r="D6416" i="1"/>
  <c r="D6413" i="1"/>
  <c r="D6412" i="1"/>
  <c r="D6411" i="1"/>
  <c r="D6410" i="1"/>
  <c r="D6408" i="1"/>
  <c r="D6407" i="1"/>
  <c r="D6406" i="1"/>
  <c r="D6405" i="1"/>
  <c r="D6404" i="1"/>
  <c r="D6403" i="1"/>
  <c r="D6402" i="1"/>
  <c r="D6401" i="1"/>
  <c r="D6400" i="1"/>
  <c r="D6399" i="1"/>
  <c r="D6398" i="1"/>
  <c r="D6397" i="1"/>
  <c r="D6396" i="1"/>
  <c r="D6395" i="1"/>
  <c r="D6394" i="1"/>
  <c r="D6393" i="1"/>
  <c r="D6392" i="1"/>
  <c r="D6391" i="1"/>
  <c r="D6390" i="1"/>
  <c r="D6389" i="1"/>
  <c r="D6388" i="1"/>
  <c r="D6387" i="1"/>
  <c r="D6386" i="1"/>
  <c r="D6385" i="1"/>
  <c r="D6384" i="1"/>
  <c r="D6381" i="1"/>
  <c r="D6380" i="1"/>
  <c r="D6379" i="1"/>
  <c r="D6378" i="1"/>
  <c r="D6377" i="1"/>
  <c r="D6376" i="1"/>
  <c r="D6375" i="1"/>
  <c r="D6374" i="1"/>
  <c r="D6373" i="1"/>
  <c r="D6372" i="1"/>
  <c r="D6371" i="1"/>
  <c r="D6370" i="1"/>
  <c r="D6369" i="1"/>
  <c r="D6368" i="1"/>
  <c r="D6367" i="1"/>
  <c r="D6365" i="1"/>
  <c r="D6364" i="1"/>
  <c r="D6363" i="1"/>
  <c r="D6361" i="1"/>
  <c r="D6359" i="1"/>
  <c r="D6358" i="1"/>
  <c r="D6357" i="1"/>
  <c r="D6356" i="1"/>
  <c r="D6354" i="1"/>
  <c r="D6353" i="1"/>
  <c r="D6351" i="1"/>
  <c r="D6350" i="1"/>
  <c r="D6349" i="1"/>
  <c r="D6348" i="1"/>
  <c r="D6347" i="1"/>
  <c r="D6345" i="1"/>
  <c r="D6343" i="1"/>
  <c r="D6342" i="1"/>
  <c r="D6341" i="1"/>
  <c r="D6340" i="1"/>
  <c r="D6336" i="1"/>
  <c r="D6335" i="1"/>
  <c r="D6334" i="1"/>
  <c r="D6333" i="1"/>
  <c r="D6332" i="1"/>
  <c r="D6331" i="1"/>
  <c r="D6330" i="1"/>
  <c r="D6329" i="1"/>
  <c r="D6328" i="1"/>
  <c r="D6325" i="1"/>
  <c r="D6324" i="1"/>
  <c r="D6321" i="1"/>
  <c r="D6320" i="1"/>
  <c r="D6319" i="1"/>
  <c r="D6318" i="1"/>
  <c r="D6316" i="1"/>
  <c r="D6312" i="1"/>
  <c r="D6311" i="1"/>
  <c r="D6310" i="1"/>
  <c r="D6309" i="1"/>
  <c r="D6308" i="1"/>
  <c r="D6307" i="1"/>
  <c r="D6306" i="1"/>
  <c r="D6305" i="1"/>
  <c r="D6304" i="1"/>
  <c r="D6303" i="1"/>
  <c r="D6302" i="1"/>
  <c r="D6300" i="1" l="1"/>
  <c r="D6299" i="1"/>
  <c r="D6297" i="1"/>
  <c r="D6296" i="1"/>
  <c r="D6294" i="1"/>
  <c r="D6292" i="1"/>
  <c r="D6288" i="1"/>
  <c r="D6287" i="1"/>
  <c r="D6285" i="1"/>
  <c r="D6284" i="1"/>
  <c r="D6283" i="1"/>
  <c r="D6282" i="1"/>
  <c r="D6281" i="1"/>
  <c r="D6280" i="1"/>
  <c r="D6279" i="1"/>
  <c r="D6278" i="1"/>
  <c r="D6277" i="1"/>
  <c r="D6276" i="1"/>
  <c r="D6275" i="1"/>
  <c r="D6274" i="1"/>
  <c r="D6273" i="1"/>
  <c r="D6272" i="1"/>
  <c r="D6271" i="1"/>
  <c r="D6270" i="1"/>
  <c r="D6269" i="1"/>
  <c r="D6268" i="1"/>
  <c r="D6267" i="1"/>
  <c r="D6266" i="1"/>
  <c r="D6265" i="1"/>
  <c r="D6264" i="1"/>
  <c r="D6263" i="1"/>
  <c r="D6262" i="1"/>
  <c r="D6261" i="1"/>
  <c r="D6260" i="1"/>
  <c r="D6259" i="1"/>
  <c r="D6258" i="1"/>
  <c r="D6257" i="1"/>
  <c r="D6256" i="1"/>
  <c r="D6255" i="1"/>
  <c r="D6254" i="1"/>
  <c r="D6253" i="1"/>
  <c r="D6252" i="1"/>
  <c r="D6251" i="1"/>
  <c r="D6250" i="1"/>
  <c r="D6249" i="1"/>
  <c r="D6248" i="1"/>
  <c r="D6247" i="1"/>
  <c r="D6246" i="1"/>
  <c r="D6245" i="1"/>
  <c r="D6244" i="1"/>
  <c r="D6243" i="1"/>
  <c r="D6242" i="1"/>
  <c r="D6241" i="1"/>
  <c r="D6240" i="1"/>
  <c r="D6239" i="1"/>
  <c r="D6238" i="1"/>
  <c r="D6237" i="1"/>
  <c r="D6236" i="1"/>
  <c r="D6235" i="1"/>
  <c r="D6234" i="1"/>
  <c r="D6233" i="1"/>
  <c r="D6232" i="1"/>
  <c r="D6231" i="1"/>
  <c r="D6230" i="1"/>
  <c r="D6229" i="1"/>
  <c r="D6228" i="1"/>
  <c r="D6227" i="1"/>
  <c r="D6226" i="1"/>
  <c r="D6225" i="1"/>
  <c r="D6224" i="1"/>
  <c r="D6223" i="1"/>
  <c r="D6222" i="1"/>
  <c r="D6221" i="1"/>
  <c r="D6220" i="1"/>
  <c r="D6219" i="1"/>
  <c r="D6218" i="1"/>
  <c r="D6217" i="1"/>
  <c r="D6216" i="1"/>
  <c r="D6215" i="1"/>
  <c r="D6214" i="1"/>
  <c r="D6213" i="1"/>
  <c r="D6211" i="1"/>
  <c r="D6210" i="1"/>
  <c r="D6209" i="1"/>
  <c r="D6208" i="1"/>
  <c r="D6207" i="1"/>
  <c r="D6206" i="1"/>
  <c r="D6205" i="1"/>
  <c r="D6204" i="1"/>
  <c r="D6203" i="1"/>
  <c r="D6202" i="1"/>
  <c r="D6201" i="1"/>
  <c r="D6200" i="1"/>
  <c r="D6198" i="1"/>
  <c r="D6197" i="1"/>
  <c r="D6196" i="1"/>
  <c r="D6194" i="1"/>
  <c r="D6193" i="1"/>
  <c r="D6192" i="1"/>
  <c r="D6191" i="1"/>
  <c r="D6190" i="1"/>
  <c r="D6189" i="1"/>
  <c r="D6188" i="1"/>
  <c r="D6187" i="1"/>
  <c r="D6186" i="1"/>
  <c r="D6185" i="1"/>
  <c r="D6184" i="1"/>
  <c r="D6183" i="1"/>
  <c r="D6182" i="1"/>
  <c r="D6181" i="1"/>
  <c r="D6180" i="1"/>
  <c r="D6179" i="1"/>
  <c r="D6178" i="1"/>
  <c r="D6177" i="1"/>
  <c r="D6176" i="1"/>
  <c r="D6175" i="1"/>
  <c r="D6174" i="1"/>
  <c r="D6172" i="1"/>
  <c r="D6171" i="1"/>
  <c r="D6170" i="1"/>
  <c r="D6169" i="1"/>
  <c r="D6168" i="1"/>
  <c r="D6167" i="1"/>
  <c r="D6166" i="1"/>
  <c r="D6165" i="1"/>
  <c r="D6164" i="1"/>
  <c r="D6163" i="1"/>
  <c r="D6162" i="1"/>
  <c r="D6161" i="1"/>
  <c r="D6160" i="1"/>
  <c r="D6158" i="1"/>
  <c r="D6157" i="1"/>
  <c r="D6156" i="1"/>
  <c r="D6155" i="1"/>
  <c r="D6154" i="1"/>
  <c r="D6153" i="1"/>
  <c r="D6152" i="1"/>
  <c r="D6151" i="1"/>
  <c r="D6150" i="1"/>
  <c r="D6149" i="1"/>
  <c r="D6148" i="1"/>
  <c r="D6147" i="1"/>
  <c r="D6146" i="1"/>
  <c r="D6145" i="1"/>
  <c r="D6144" i="1"/>
  <c r="D6143" i="1"/>
  <c r="D6142" i="1"/>
  <c r="D6141" i="1"/>
  <c r="D6140" i="1"/>
  <c r="D6139" i="1"/>
  <c r="D6138" i="1"/>
  <c r="D6137" i="1"/>
  <c r="D6136" i="1"/>
  <c r="D6135" i="1"/>
  <c r="D6134" i="1"/>
  <c r="D6133" i="1"/>
  <c r="D6132" i="1"/>
  <c r="D6131" i="1"/>
  <c r="D6130" i="1"/>
  <c r="D6129" i="1"/>
  <c r="D6128" i="1"/>
  <c r="D6127" i="1"/>
  <c r="D6126" i="1"/>
  <c r="D6125" i="1"/>
  <c r="D6124" i="1"/>
  <c r="D6123" i="1"/>
  <c r="D6122" i="1"/>
  <c r="D6121" i="1"/>
  <c r="D6120" i="1"/>
  <c r="D6119" i="1"/>
  <c r="D6118" i="1"/>
  <c r="D6117" i="1"/>
  <c r="D6116" i="1"/>
  <c r="D6115" i="1"/>
  <c r="D6114" i="1"/>
  <c r="D6113" i="1"/>
  <c r="D6112" i="1"/>
  <c r="D6111" i="1"/>
  <c r="D6110" i="1"/>
  <c r="D6109" i="1"/>
  <c r="D6108" i="1"/>
  <c r="D6107" i="1"/>
  <c r="D6106" i="1"/>
  <c r="D6105" i="1"/>
  <c r="D6104" i="1"/>
  <c r="D6103" i="1"/>
  <c r="D6102" i="1"/>
  <c r="D6101" i="1"/>
  <c r="D6100" i="1"/>
  <c r="D6099" i="1"/>
  <c r="D6098" i="1"/>
  <c r="D6097" i="1"/>
  <c r="D6096" i="1"/>
  <c r="D6095" i="1"/>
  <c r="D6094" i="1"/>
  <c r="D6093" i="1"/>
  <c r="D6092" i="1"/>
  <c r="D6089" i="1"/>
  <c r="D6088" i="1"/>
  <c r="D6087" i="1"/>
  <c r="D6086" i="1"/>
  <c r="D6085" i="1"/>
  <c r="D6084" i="1"/>
  <c r="D6083" i="1"/>
  <c r="D6082" i="1"/>
  <c r="D6081" i="1"/>
  <c r="D6079" i="1"/>
  <c r="D6078" i="1"/>
  <c r="D6077" i="1"/>
  <c r="D6073" i="1"/>
  <c r="D6072" i="1"/>
  <c r="D6071" i="1"/>
  <c r="D6070" i="1"/>
  <c r="D6069" i="1"/>
  <c r="D6068" i="1"/>
  <c r="D6067" i="1"/>
  <c r="D6065" i="1"/>
  <c r="D6064" i="1"/>
  <c r="D6059" i="1"/>
  <c r="D6058" i="1"/>
  <c r="D6057" i="1"/>
  <c r="D6055" i="1"/>
  <c r="D6054" i="1"/>
  <c r="D6053" i="1"/>
  <c r="D6050" i="1"/>
  <c r="D6049" i="1"/>
  <c r="D6048" i="1"/>
  <c r="D6047" i="1"/>
  <c r="D6045" i="1"/>
  <c r="D6044" i="1"/>
  <c r="D6043" i="1"/>
  <c r="D6041" i="1"/>
  <c r="D6040" i="1"/>
  <c r="D6039" i="1"/>
  <c r="D6038" i="1"/>
  <c r="D6037" i="1"/>
  <c r="D6036" i="1"/>
  <c r="D6034" i="1"/>
  <c r="D6032" i="1"/>
  <c r="D6031" i="1"/>
  <c r="D6029" i="1"/>
  <c r="D6027" i="1"/>
  <c r="D6025" i="1"/>
  <c r="D6024" i="1"/>
  <c r="D6023" i="1"/>
  <c r="D6022" i="1"/>
  <c r="D6021" i="1"/>
  <c r="D6020" i="1"/>
  <c r="D6019" i="1"/>
  <c r="D6018" i="1"/>
  <c r="D6017" i="1"/>
  <c r="D6016" i="1"/>
  <c r="D6015" i="1"/>
  <c r="D6014" i="1"/>
  <c r="D6013" i="1"/>
  <c r="D6012" i="1"/>
  <c r="D6011" i="1"/>
  <c r="D6010" i="1"/>
  <c r="D6009" i="1"/>
  <c r="D6008" i="1"/>
  <c r="D6007" i="1"/>
  <c r="D6006" i="1"/>
  <c r="D6005" i="1"/>
  <c r="D6004" i="1"/>
  <c r="D6003" i="1"/>
  <c r="D6002" i="1"/>
  <c r="D6001" i="1"/>
  <c r="D6000" i="1"/>
  <c r="D5999" i="1"/>
  <c r="D5998" i="1"/>
  <c r="D5997" i="1"/>
  <c r="D5996" i="1"/>
  <c r="D5995" i="1"/>
  <c r="D5994" i="1"/>
  <c r="D5993" i="1"/>
  <c r="D5992" i="1"/>
  <c r="D5991" i="1"/>
  <c r="D5990" i="1"/>
  <c r="D5989" i="1"/>
  <c r="D5988" i="1"/>
  <c r="D5987" i="1"/>
  <c r="D5986" i="1"/>
  <c r="D5985" i="1"/>
  <c r="D5984" i="1"/>
  <c r="D5983" i="1"/>
  <c r="D5982" i="1"/>
  <c r="D5981" i="1"/>
  <c r="D5980" i="1"/>
  <c r="D5979" i="1"/>
  <c r="D5978" i="1"/>
  <c r="D5977" i="1"/>
  <c r="D5976" i="1"/>
  <c r="D5975" i="1"/>
  <c r="D5974" i="1"/>
  <c r="D5971" i="1"/>
  <c r="D5970" i="1"/>
  <c r="D5969" i="1"/>
  <c r="D5968" i="1"/>
  <c r="D5967" i="1"/>
  <c r="D5965" i="1"/>
  <c r="D5964" i="1"/>
  <c r="D5963" i="1"/>
  <c r="D5962" i="1"/>
  <c r="D5961" i="1"/>
  <c r="D5960" i="1"/>
  <c r="D5959" i="1"/>
  <c r="D5958" i="1"/>
  <c r="D5957" i="1"/>
  <c r="D5956" i="1"/>
  <c r="D5955" i="1"/>
  <c r="D5954" i="1"/>
  <c r="D5953" i="1"/>
  <c r="D5951" i="1"/>
  <c r="D5950" i="1"/>
  <c r="D5949" i="1"/>
  <c r="D5948" i="1"/>
  <c r="D5947" i="1"/>
  <c r="D5945" i="1"/>
  <c r="D5944" i="1"/>
  <c r="D5943" i="1"/>
  <c r="D5942" i="1"/>
  <c r="D5941" i="1"/>
  <c r="D5940" i="1"/>
  <c r="D5939" i="1"/>
  <c r="D5938" i="1"/>
  <c r="D5936" i="1"/>
  <c r="D5935" i="1"/>
  <c r="D5934" i="1"/>
  <c r="D5933" i="1"/>
  <c r="D5932" i="1"/>
  <c r="D5931" i="1"/>
  <c r="D5930" i="1"/>
  <c r="D5929" i="1"/>
  <c r="D5924" i="1"/>
  <c r="D5922" i="1"/>
  <c r="D5921" i="1"/>
  <c r="D5919" i="1"/>
  <c r="D5917" i="1"/>
  <c r="D5916" i="1"/>
  <c r="D5915" i="1"/>
  <c r="D5914" i="1"/>
  <c r="D5913" i="1"/>
  <c r="D5912" i="1"/>
  <c r="D5910" i="1"/>
  <c r="D5909" i="1"/>
  <c r="D5908" i="1"/>
  <c r="D5907" i="1"/>
  <c r="D5906" i="1"/>
  <c r="D5905" i="1"/>
  <c r="D5903" i="1"/>
  <c r="D5901" i="1"/>
  <c r="D5900" i="1"/>
  <c r="D5898" i="1"/>
  <c r="D5895" i="1"/>
  <c r="D5894" i="1"/>
  <c r="D5893" i="1"/>
  <c r="D5892" i="1"/>
  <c r="D5891" i="1"/>
  <c r="D5890" i="1"/>
  <c r="D5889" i="1"/>
  <c r="D5888" i="1"/>
  <c r="D5886" i="1"/>
  <c r="D5885" i="1"/>
  <c r="D5884" i="1"/>
  <c r="D5883" i="1"/>
  <c r="D5881" i="1"/>
  <c r="D5877" i="1"/>
  <c r="D5876" i="1"/>
  <c r="D5875" i="1"/>
  <c r="D5874" i="1"/>
  <c r="D5873" i="1"/>
  <c r="D5872" i="1"/>
  <c r="D5871" i="1"/>
  <c r="D5870" i="1"/>
  <c r="D5868" i="1"/>
  <c r="D5866" i="1"/>
  <c r="D5865" i="1"/>
  <c r="D5864" i="1"/>
  <c r="D5863" i="1"/>
  <c r="D5862" i="1"/>
  <c r="D5860" i="1"/>
  <c r="D5859" i="1"/>
  <c r="D5858" i="1"/>
  <c r="D5857" i="1"/>
  <c r="D5856" i="1"/>
  <c r="D5855" i="1"/>
  <c r="D5854" i="1"/>
  <c r="D5853" i="1"/>
  <c r="D5852" i="1"/>
  <c r="D5851" i="1"/>
  <c r="D5850" i="1"/>
  <c r="D5849" i="1"/>
  <c r="D5847" i="1"/>
  <c r="D5846" i="1"/>
  <c r="D5845" i="1"/>
  <c r="D5844" i="1"/>
  <c r="D5843" i="1"/>
  <c r="D5840" i="1"/>
  <c r="D5839" i="1"/>
  <c r="D5838" i="1"/>
  <c r="D5837" i="1"/>
  <c r="D5836" i="1"/>
  <c r="D5835" i="1"/>
  <c r="D5834" i="1"/>
  <c r="D5833" i="1"/>
  <c r="D5832" i="1"/>
  <c r="D5831" i="1"/>
  <c r="D5830" i="1"/>
  <c r="D5828" i="1"/>
  <c r="D5827" i="1"/>
  <c r="D5826" i="1"/>
  <c r="D5825" i="1"/>
  <c r="D5824" i="1"/>
  <c r="D5823" i="1"/>
  <c r="D5822" i="1"/>
  <c r="D5821" i="1"/>
  <c r="D5820" i="1"/>
  <c r="D5819" i="1"/>
  <c r="D5818" i="1"/>
  <c r="D5817" i="1"/>
  <c r="D5816" i="1"/>
  <c r="D5815" i="1"/>
  <c r="D5814" i="1"/>
  <c r="D5813" i="1"/>
  <c r="D5812" i="1"/>
  <c r="D5811" i="1"/>
  <c r="D5810" i="1"/>
  <c r="D5809" i="1"/>
  <c r="D5808" i="1"/>
  <c r="D5807" i="1"/>
  <c r="D5806" i="1"/>
  <c r="D5803" i="1"/>
  <c r="D5802" i="1"/>
  <c r="D5801" i="1"/>
  <c r="D5800" i="1"/>
  <c r="D5799" i="1"/>
  <c r="D5798" i="1"/>
  <c r="D5796" i="1"/>
  <c r="D5795" i="1"/>
  <c r="D5794" i="1"/>
  <c r="D5793" i="1"/>
  <c r="D5792" i="1"/>
  <c r="D5791" i="1"/>
  <c r="D5790" i="1"/>
  <c r="D5788" i="1"/>
  <c r="D5787" i="1"/>
  <c r="D5786" i="1"/>
  <c r="D5785" i="1"/>
  <c r="D5784" i="1"/>
  <c r="D5783" i="1"/>
  <c r="D5782" i="1"/>
  <c r="D5780" i="1"/>
  <c r="D5778" i="1"/>
  <c r="D5777" i="1"/>
  <c r="D5776" i="1"/>
  <c r="D5775" i="1"/>
  <c r="D5774" i="1"/>
  <c r="D5773" i="1"/>
  <c r="D5772" i="1"/>
  <c r="D5771" i="1"/>
  <c r="D5770" i="1"/>
  <c r="D5769" i="1"/>
  <c r="D5768" i="1"/>
  <c r="D5767" i="1"/>
  <c r="D5766" i="1"/>
  <c r="D5765" i="1"/>
  <c r="D5764" i="1"/>
  <c r="D5763" i="1"/>
  <c r="D5762" i="1"/>
  <c r="D5761" i="1"/>
  <c r="D5760" i="1"/>
  <c r="D5759" i="1"/>
  <c r="D5758" i="1"/>
  <c r="D5757" i="1"/>
  <c r="D5756" i="1"/>
  <c r="D5755" i="1"/>
  <c r="D5754" i="1"/>
  <c r="D5753" i="1"/>
  <c r="D5752" i="1"/>
  <c r="D5751" i="1"/>
  <c r="D5750" i="1"/>
  <c r="D5749" i="1"/>
  <c r="D5748" i="1"/>
  <c r="D5747" i="1"/>
  <c r="D5746" i="1"/>
  <c r="D5745" i="1"/>
  <c r="D5744" i="1"/>
  <c r="D5742" i="1"/>
  <c r="D5741" i="1"/>
  <c r="D5740" i="1"/>
  <c r="D5739" i="1"/>
  <c r="D5738" i="1"/>
  <c r="D5736" i="1"/>
  <c r="D5735" i="1"/>
  <c r="D5734" i="1"/>
  <c r="D5733" i="1"/>
  <c r="D5732" i="1"/>
  <c r="D5731" i="1"/>
  <c r="D5730" i="1"/>
  <c r="D5729" i="1"/>
  <c r="D5728" i="1"/>
  <c r="D5727" i="1"/>
  <c r="D5726" i="1"/>
  <c r="D5725" i="1"/>
  <c r="D5724" i="1"/>
  <c r="D5723" i="1"/>
  <c r="D5722" i="1"/>
  <c r="D5721" i="1"/>
  <c r="D5720" i="1"/>
  <c r="D5719" i="1"/>
  <c r="D5718" i="1"/>
  <c r="D5717" i="1"/>
  <c r="D5716" i="1"/>
  <c r="D5715" i="1"/>
  <c r="D5714" i="1"/>
  <c r="D5713" i="1"/>
  <c r="D5712" i="1"/>
  <c r="D5711" i="1"/>
  <c r="D5710" i="1"/>
  <c r="D5709" i="1"/>
  <c r="D5708" i="1"/>
  <c r="D5707" i="1"/>
  <c r="D5706" i="1"/>
  <c r="D5705" i="1"/>
  <c r="D5704" i="1"/>
  <c r="D5703" i="1"/>
  <c r="D5702" i="1"/>
  <c r="D5701" i="1"/>
  <c r="D5700" i="1"/>
  <c r="D5699" i="1"/>
  <c r="D5698" i="1"/>
  <c r="D5697" i="1"/>
  <c r="D5696" i="1"/>
  <c r="D5695" i="1"/>
  <c r="D5694" i="1"/>
  <c r="D5693" i="1"/>
  <c r="D5691" i="1"/>
  <c r="D5690" i="1"/>
  <c r="D5689" i="1"/>
  <c r="D5688" i="1"/>
  <c r="D5687" i="1"/>
  <c r="D5686" i="1"/>
  <c r="D5685" i="1"/>
  <c r="D5684" i="1"/>
  <c r="D5683" i="1"/>
  <c r="D5682" i="1"/>
  <c r="D5681" i="1"/>
  <c r="D5680" i="1"/>
  <c r="D5679" i="1"/>
  <c r="D5678" i="1"/>
  <c r="D5677" i="1"/>
  <c r="D5676" i="1"/>
  <c r="D5675" i="1"/>
  <c r="D5674" i="1"/>
  <c r="D5673" i="1"/>
  <c r="D5672" i="1"/>
  <c r="D5671" i="1"/>
  <c r="D5670" i="1"/>
  <c r="D5669" i="1"/>
  <c r="D5668" i="1"/>
  <c r="D5667" i="1"/>
  <c r="D5666" i="1"/>
  <c r="D5665" i="1"/>
  <c r="D5664" i="1"/>
  <c r="D5663" i="1"/>
  <c r="D5662" i="1"/>
  <c r="D5661" i="1"/>
  <c r="D5660" i="1"/>
  <c r="D5659" i="1"/>
  <c r="D5658" i="1"/>
  <c r="D5657" i="1"/>
  <c r="D5656" i="1"/>
  <c r="D5655" i="1"/>
  <c r="D5654" i="1"/>
  <c r="D5653" i="1"/>
  <c r="D5652" i="1"/>
  <c r="D5651" i="1"/>
  <c r="D5650" i="1"/>
  <c r="D5649" i="1"/>
  <c r="D5648" i="1"/>
  <c r="D5647" i="1"/>
  <c r="D5646" i="1"/>
  <c r="D5645" i="1"/>
  <c r="D5644" i="1"/>
  <c r="D5643" i="1"/>
  <c r="D5642" i="1"/>
  <c r="D5641" i="1"/>
  <c r="D5640" i="1"/>
  <c r="D5639" i="1"/>
  <c r="D5638" i="1"/>
  <c r="D5637" i="1"/>
  <c r="D5636" i="1"/>
  <c r="D5635" i="1"/>
  <c r="D5634" i="1"/>
  <c r="D5633" i="1"/>
  <c r="D5632" i="1"/>
  <c r="D5631" i="1"/>
  <c r="D5630" i="1"/>
  <c r="D5629" i="1"/>
  <c r="D5628" i="1"/>
  <c r="D5627" i="1"/>
  <c r="D5626" i="1"/>
  <c r="D5625" i="1"/>
  <c r="D5624" i="1"/>
  <c r="D5623" i="1"/>
  <c r="D5622" i="1"/>
  <c r="D5621" i="1"/>
  <c r="D5620" i="1"/>
  <c r="D5619" i="1"/>
  <c r="D5618" i="1"/>
  <c r="D5617" i="1"/>
  <c r="D5616" i="1"/>
  <c r="D5615" i="1"/>
  <c r="D5614" i="1"/>
  <c r="D5613" i="1"/>
  <c r="D5612" i="1"/>
  <c r="D5611" i="1"/>
  <c r="D5610" i="1"/>
  <c r="D5609" i="1"/>
  <c r="D5608" i="1"/>
  <c r="D5607" i="1"/>
  <c r="D5606" i="1"/>
  <c r="D5605" i="1"/>
  <c r="D5604" i="1"/>
  <c r="D5603" i="1"/>
  <c r="D5602" i="1"/>
  <c r="D5601" i="1"/>
  <c r="D5600" i="1"/>
  <c r="D5599" i="1"/>
  <c r="D5598" i="1"/>
  <c r="D5597" i="1"/>
  <c r="D5596" i="1"/>
  <c r="D5595" i="1"/>
  <c r="D5594" i="1"/>
  <c r="D5593" i="1"/>
  <c r="D5592" i="1"/>
  <c r="D5591" i="1"/>
  <c r="D5589" i="1"/>
  <c r="D5588" i="1"/>
  <c r="D5587" i="1"/>
  <c r="D5586" i="1"/>
  <c r="D5585" i="1"/>
  <c r="D5584" i="1"/>
  <c r="D5583" i="1"/>
  <c r="D5582" i="1"/>
  <c r="D5581" i="1"/>
  <c r="D5578" i="1"/>
  <c r="D5577" i="1"/>
  <c r="D5576" i="1"/>
  <c r="D5575" i="1"/>
  <c r="D5574" i="1"/>
  <c r="D5573" i="1"/>
  <c r="D5572" i="1"/>
  <c r="D5571" i="1"/>
  <c r="D5570" i="1"/>
  <c r="D5569" i="1"/>
  <c r="D5568" i="1"/>
  <c r="D5567" i="1"/>
  <c r="D5566" i="1"/>
  <c r="D5565" i="1"/>
  <c r="D5564" i="1"/>
  <c r="D5563" i="1"/>
  <c r="D5562" i="1"/>
  <c r="D5561" i="1"/>
  <c r="D5560" i="1"/>
  <c r="D5559" i="1"/>
  <c r="D5558" i="1"/>
  <c r="D5557" i="1"/>
  <c r="D5556" i="1"/>
  <c r="D5555" i="1"/>
  <c r="D5554" i="1"/>
  <c r="D5553" i="1"/>
  <c r="D5552" i="1"/>
  <c r="D5550" i="1"/>
  <c r="D5549" i="1"/>
  <c r="D5548" i="1"/>
  <c r="D5547" i="1"/>
  <c r="D5546" i="1"/>
  <c r="D5545" i="1"/>
  <c r="D5544" i="1"/>
  <c r="D5542" i="1"/>
  <c r="D5541" i="1"/>
  <c r="D5540" i="1"/>
  <c r="D5539" i="1"/>
  <c r="D5538" i="1"/>
  <c r="D5537" i="1"/>
  <c r="D5536" i="1"/>
  <c r="D5535" i="1"/>
  <c r="D5534" i="1"/>
  <c r="D5533" i="1"/>
  <c r="D5532" i="1"/>
  <c r="D5530" i="1"/>
  <c r="D5529" i="1"/>
  <c r="D5528" i="1"/>
  <c r="D5526" i="1"/>
  <c r="D5525" i="1"/>
  <c r="D5523" i="1"/>
  <c r="D5522" i="1"/>
  <c r="D5521" i="1"/>
  <c r="D5520" i="1"/>
  <c r="D5519" i="1"/>
  <c r="D5518" i="1"/>
  <c r="D5517" i="1"/>
  <c r="D5516" i="1"/>
  <c r="D5515" i="1"/>
  <c r="D5514" i="1"/>
  <c r="D5513" i="1"/>
  <c r="D5512" i="1"/>
  <c r="D5511" i="1"/>
  <c r="D5510" i="1"/>
  <c r="D5509" i="1"/>
  <c r="D5508" i="1"/>
  <c r="D5506" i="1"/>
  <c r="D5505" i="1"/>
  <c r="D5502" i="1"/>
  <c r="D5501" i="1"/>
  <c r="D5499" i="1"/>
  <c r="D5498" i="1"/>
  <c r="D5497" i="1"/>
  <c r="D5494" i="1"/>
  <c r="D5493" i="1"/>
  <c r="D5492" i="1"/>
  <c r="D5491" i="1"/>
  <c r="D5490" i="1"/>
  <c r="D5489" i="1"/>
  <c r="D5488" i="1"/>
  <c r="D5487" i="1"/>
  <c r="D5486" i="1"/>
  <c r="D5485" i="1"/>
  <c r="D5484" i="1"/>
  <c r="D5483" i="1"/>
  <c r="D5482" i="1"/>
  <c r="D5481" i="1"/>
  <c r="D5480" i="1"/>
  <c r="D5479" i="1"/>
  <c r="D5478" i="1"/>
  <c r="D5477" i="1"/>
  <c r="D5476" i="1"/>
  <c r="D5475" i="1"/>
  <c r="D5474" i="1"/>
  <c r="D5473" i="1"/>
  <c r="D5472" i="1"/>
  <c r="D5471" i="1"/>
  <c r="D5470" i="1"/>
  <c r="D5469" i="1"/>
  <c r="D5468" i="1"/>
  <c r="D5467" i="1"/>
  <c r="D5466" i="1"/>
  <c r="D5465" i="1"/>
  <c r="D5464" i="1"/>
  <c r="D5463" i="1"/>
  <c r="D5462" i="1"/>
  <c r="D5461" i="1"/>
  <c r="D5460" i="1"/>
  <c r="D5458" i="1"/>
  <c r="D5457" i="1"/>
  <c r="D5456" i="1"/>
  <c r="D5455" i="1"/>
  <c r="D5454" i="1"/>
  <c r="D5453" i="1"/>
  <c r="D5452" i="1"/>
  <c r="D5451" i="1"/>
  <c r="D5450" i="1"/>
  <c r="D5449" i="1"/>
  <c r="D5448" i="1"/>
  <c r="D5447" i="1"/>
  <c r="D5446" i="1"/>
  <c r="D5445" i="1"/>
  <c r="D5444" i="1"/>
  <c r="D5443" i="1"/>
  <c r="D5442" i="1"/>
  <c r="D5441" i="1"/>
  <c r="D5440" i="1"/>
  <c r="D5439" i="1"/>
  <c r="D5438" i="1"/>
  <c r="D5437" i="1"/>
  <c r="D5436" i="1"/>
  <c r="D5435" i="1"/>
  <c r="D5434" i="1"/>
  <c r="D5432" i="1"/>
  <c r="D5431" i="1"/>
  <c r="D5430" i="1"/>
  <c r="D5428" i="1"/>
  <c r="D5426" i="1"/>
  <c r="D5425" i="1"/>
  <c r="D5424" i="1"/>
  <c r="D5423" i="1"/>
  <c r="D5422" i="1"/>
  <c r="D5421" i="1"/>
  <c r="D5419" i="1"/>
  <c r="D5418" i="1"/>
  <c r="D5417" i="1"/>
  <c r="D5416" i="1"/>
  <c r="D5415" i="1"/>
  <c r="D5414" i="1"/>
  <c r="D5413" i="1"/>
  <c r="D5412" i="1"/>
  <c r="D5411" i="1"/>
  <c r="D5409" i="1"/>
  <c r="D5408" i="1"/>
  <c r="D5407" i="1"/>
  <c r="D5406" i="1"/>
  <c r="D5405" i="1"/>
  <c r="D5404" i="1"/>
  <c r="D5403" i="1"/>
  <c r="D5402" i="1"/>
  <c r="D5401" i="1"/>
  <c r="D5400" i="1"/>
  <c r="D5399" i="1"/>
  <c r="D5398" i="1"/>
  <c r="D5397" i="1"/>
  <c r="D5396" i="1"/>
  <c r="D5394" i="1"/>
  <c r="D5393" i="1"/>
  <c r="D5392" i="1"/>
  <c r="D5391" i="1"/>
  <c r="D5390" i="1"/>
  <c r="D5389" i="1"/>
  <c r="D5388" i="1"/>
  <c r="D5387" i="1"/>
  <c r="D5386" i="1"/>
  <c r="D5385" i="1"/>
  <c r="D5384" i="1"/>
  <c r="D5383" i="1"/>
  <c r="D5382" i="1"/>
  <c r="D5381" i="1"/>
  <c r="D5380" i="1"/>
  <c r="D5379" i="1"/>
  <c r="D5378" i="1"/>
  <c r="D5377" i="1"/>
  <c r="D5376" i="1"/>
  <c r="D5375" i="1"/>
  <c r="D5374" i="1"/>
  <c r="D5373" i="1"/>
  <c r="D5372" i="1"/>
  <c r="D5371" i="1"/>
  <c r="D5370" i="1"/>
  <c r="D5369" i="1"/>
  <c r="D5368" i="1"/>
  <c r="D5367" i="1"/>
  <c r="D5366" i="1"/>
  <c r="D5365" i="1"/>
  <c r="D5364" i="1"/>
  <c r="D5363" i="1"/>
  <c r="D5362" i="1"/>
  <c r="D5361" i="1"/>
  <c r="D5360" i="1"/>
  <c r="D5359" i="1"/>
  <c r="D5358" i="1"/>
  <c r="D5357" i="1"/>
  <c r="D5356" i="1"/>
  <c r="D5355" i="1"/>
  <c r="D5354" i="1"/>
  <c r="D5353" i="1"/>
  <c r="D5352" i="1"/>
  <c r="D5351" i="1"/>
  <c r="D5350" i="1"/>
  <c r="D5349" i="1"/>
  <c r="D5347" i="1"/>
  <c r="D5346" i="1"/>
  <c r="D5345" i="1"/>
  <c r="D5344" i="1"/>
  <c r="D5342" i="1"/>
  <c r="D5341" i="1"/>
  <c r="D5339" i="1"/>
  <c r="D5337" i="1"/>
  <c r="D5336" i="1"/>
  <c r="D5335" i="1"/>
  <c r="D5334" i="1"/>
  <c r="D5333" i="1"/>
  <c r="D5332" i="1"/>
  <c r="D5331" i="1"/>
  <c r="D5330" i="1"/>
  <c r="D5329" i="1"/>
  <c r="D5328" i="1"/>
  <c r="D5327" i="1"/>
  <c r="D5326" i="1"/>
  <c r="D5325" i="1"/>
  <c r="D5324" i="1"/>
  <c r="D5323" i="1"/>
  <c r="D5322" i="1"/>
  <c r="D5321" i="1"/>
  <c r="D5320" i="1"/>
  <c r="D5319" i="1"/>
  <c r="D5318" i="1"/>
  <c r="D5317" i="1"/>
  <c r="D5316" i="1"/>
  <c r="D5315" i="1"/>
  <c r="D5314" i="1"/>
  <c r="D5313" i="1"/>
  <c r="D5312" i="1"/>
  <c r="D5311" i="1"/>
  <c r="D5310" i="1"/>
  <c r="D5309" i="1"/>
  <c r="D5308" i="1"/>
  <c r="D5307" i="1"/>
  <c r="D5306" i="1"/>
  <c r="D5305" i="1"/>
  <c r="D5304" i="1"/>
  <c r="D5303" i="1"/>
  <c r="D5302" i="1"/>
  <c r="D5301" i="1"/>
  <c r="D5300" i="1"/>
  <c r="D5299" i="1"/>
  <c r="D5298" i="1"/>
  <c r="D5297" i="1"/>
  <c r="D5296" i="1"/>
  <c r="D5295" i="1"/>
  <c r="D5294" i="1"/>
  <c r="D5292" i="1"/>
  <c r="D5290" i="1"/>
  <c r="D5289" i="1"/>
  <c r="D5288" i="1"/>
  <c r="D5286" i="1"/>
  <c r="D5285" i="1"/>
  <c r="D5284" i="1"/>
  <c r="D5282" i="1"/>
  <c r="D5281" i="1"/>
  <c r="D5280" i="1"/>
  <c r="D5279" i="1"/>
  <c r="D5278" i="1"/>
  <c r="D5277" i="1"/>
  <c r="D5276" i="1"/>
  <c r="D5274" i="1"/>
  <c r="D5273" i="1"/>
  <c r="D5272" i="1"/>
  <c r="D5271" i="1"/>
  <c r="D5270" i="1"/>
  <c r="D5269" i="1"/>
  <c r="D5268" i="1"/>
  <c r="D5265" i="1"/>
  <c r="D5264" i="1"/>
  <c r="D5263" i="1"/>
  <c r="D5261" i="1"/>
  <c r="D5260" i="1"/>
  <c r="D5259" i="1"/>
  <c r="D5258" i="1"/>
  <c r="D5256" i="1"/>
  <c r="D5253" i="1"/>
  <c r="D5252" i="1"/>
  <c r="D5251" i="1"/>
  <c r="D5250" i="1"/>
  <c r="D5249" i="1"/>
  <c r="D5248" i="1"/>
  <c r="D5247" i="1"/>
  <c r="D5245" i="1"/>
  <c r="D5244" i="1"/>
  <c r="D5243" i="1"/>
  <c r="D5242" i="1"/>
  <c r="D5241" i="1"/>
  <c r="D5240" i="1"/>
  <c r="D5237" i="1"/>
  <c r="D5236" i="1"/>
  <c r="D5235" i="1"/>
  <c r="D5234" i="1"/>
  <c r="D5233" i="1"/>
  <c r="D5230" i="1"/>
  <c r="D5229" i="1"/>
  <c r="D5228" i="1"/>
  <c r="D5227" i="1"/>
  <c r="D5226" i="1"/>
  <c r="D5225" i="1"/>
  <c r="D5224" i="1"/>
  <c r="D5223" i="1"/>
  <c r="D5222" i="1"/>
  <c r="D5221" i="1"/>
  <c r="D5219" i="1"/>
  <c r="D5218" i="1"/>
  <c r="D5217" i="1"/>
  <c r="D5215" i="1"/>
  <c r="D5214" i="1"/>
  <c r="D5213" i="1"/>
  <c r="D5212" i="1"/>
  <c r="D5211" i="1"/>
  <c r="D5210" i="1"/>
  <c r="D5209" i="1"/>
  <c r="D5208" i="1"/>
  <c r="D5207" i="1"/>
  <c r="D5206" i="1"/>
  <c r="D5205" i="1"/>
  <c r="D5204" i="1"/>
  <c r="D5203" i="1"/>
  <c r="D5202" i="1"/>
  <c r="D5201" i="1"/>
  <c r="D5200" i="1"/>
  <c r="D5199" i="1"/>
  <c r="D5198" i="1"/>
  <c r="D5197" i="1"/>
  <c r="D5196" i="1"/>
  <c r="D5195" i="1"/>
  <c r="D5193" i="1"/>
  <c r="D5192" i="1"/>
  <c r="D5191" i="1"/>
  <c r="D5190" i="1"/>
  <c r="D5189" i="1"/>
  <c r="D5188" i="1"/>
  <c r="D5187" i="1"/>
  <c r="D5186" i="1"/>
  <c r="D5184" i="1"/>
  <c r="D5183" i="1"/>
  <c r="D5182" i="1"/>
  <c r="D5181" i="1"/>
  <c r="D5178" i="1"/>
  <c r="D5176" i="1"/>
  <c r="D5175" i="1"/>
  <c r="D5174" i="1"/>
  <c r="D5173" i="1"/>
  <c r="D5172" i="1"/>
  <c r="D5171" i="1"/>
  <c r="D5170" i="1"/>
  <c r="D5169" i="1"/>
  <c r="D5168" i="1"/>
  <c r="D5166" i="1"/>
  <c r="D5163" i="1"/>
  <c r="D5162" i="1"/>
  <c r="D5161" i="1"/>
  <c r="D5160" i="1"/>
  <c r="D5159" i="1"/>
  <c r="D5158" i="1"/>
  <c r="D5157" i="1"/>
  <c r="D5156" i="1"/>
  <c r="D5155" i="1"/>
  <c r="D5154" i="1"/>
  <c r="D5153" i="1"/>
  <c r="D5152" i="1"/>
  <c r="D5151" i="1"/>
  <c r="D5150" i="1"/>
  <c r="D5149" i="1"/>
  <c r="D5148" i="1"/>
  <c r="D5147" i="1"/>
  <c r="D5146" i="1"/>
  <c r="D5145" i="1"/>
  <c r="D5144" i="1"/>
  <c r="D5143" i="1"/>
  <c r="D5142" i="1"/>
  <c r="D5141" i="1"/>
  <c r="D5140" i="1"/>
  <c r="D5138" i="1"/>
  <c r="D5137" i="1"/>
  <c r="D5136" i="1"/>
  <c r="D5135" i="1"/>
  <c r="D5134" i="1"/>
  <c r="D5133" i="1"/>
  <c r="D5132" i="1"/>
  <c r="D5131" i="1"/>
  <c r="D5130" i="1"/>
  <c r="D5129" i="1"/>
  <c r="D5128" i="1"/>
  <c r="D5127" i="1"/>
  <c r="D5126" i="1"/>
  <c r="D5125" i="1"/>
  <c r="D5124" i="1"/>
  <c r="D5123" i="1"/>
  <c r="D5122" i="1"/>
  <c r="D5121" i="1"/>
  <c r="D5120" i="1"/>
  <c r="D5119" i="1"/>
  <c r="D5118" i="1"/>
  <c r="D5117" i="1"/>
  <c r="D5116" i="1"/>
  <c r="D5115" i="1"/>
  <c r="D5114" i="1"/>
  <c r="D5113" i="1"/>
  <c r="D5112" i="1"/>
  <c r="D5111" i="1"/>
  <c r="D5110" i="1"/>
  <c r="D5109" i="1"/>
  <c r="D5108" i="1"/>
  <c r="D5107" i="1"/>
  <c r="D5106" i="1"/>
  <c r="D5105" i="1"/>
  <c r="D5104" i="1"/>
  <c r="D5103" i="1"/>
  <c r="D5102" i="1"/>
  <c r="D5101" i="1"/>
  <c r="D5100" i="1"/>
  <c r="D5099" i="1"/>
  <c r="D5098" i="1"/>
  <c r="D5097" i="1"/>
  <c r="D5096" i="1"/>
  <c r="D5095" i="1"/>
  <c r="D5094" i="1"/>
  <c r="D5093" i="1"/>
  <c r="D5092" i="1"/>
  <c r="D5091" i="1"/>
  <c r="D5090" i="1"/>
  <c r="D5089" i="1"/>
  <c r="D5088" i="1"/>
  <c r="D5087" i="1"/>
  <c r="D5086" i="1"/>
  <c r="D5085" i="1"/>
  <c r="D5084" i="1"/>
  <c r="D5083" i="1"/>
  <c r="D5082" i="1"/>
  <c r="D5081" i="1"/>
  <c r="D5080" i="1"/>
  <c r="D5079" i="1"/>
  <c r="D5078" i="1"/>
  <c r="D5077" i="1"/>
  <c r="D5076" i="1"/>
  <c r="D5075" i="1"/>
  <c r="D5074" i="1"/>
  <c r="D5073" i="1"/>
  <c r="D5072" i="1"/>
  <c r="D5071" i="1"/>
  <c r="D5070" i="1"/>
  <c r="D5069" i="1"/>
  <c r="D5068" i="1"/>
  <c r="D5067" i="1"/>
  <c r="D5066" i="1"/>
  <c r="D5065" i="1"/>
  <c r="D5064" i="1"/>
  <c r="D5063" i="1"/>
  <c r="D5062" i="1"/>
  <c r="D5061" i="1"/>
  <c r="D5060" i="1"/>
  <c r="D5059" i="1"/>
  <c r="D5058" i="1"/>
  <c r="D5057" i="1"/>
  <c r="D5056" i="1"/>
  <c r="D5055" i="1"/>
  <c r="D5054" i="1"/>
  <c r="D5053" i="1"/>
  <c r="D5052" i="1"/>
  <c r="D5051" i="1"/>
  <c r="D5050" i="1"/>
  <c r="D5049" i="1"/>
  <c r="D5048" i="1"/>
  <c r="D5047" i="1"/>
  <c r="D5046" i="1"/>
  <c r="D5045" i="1"/>
  <c r="D5044" i="1"/>
  <c r="D5043" i="1"/>
  <c r="D5042" i="1"/>
  <c r="D5041" i="1"/>
  <c r="D5040" i="1"/>
  <c r="D5039" i="1"/>
  <c r="D5038" i="1"/>
  <c r="D5037" i="1"/>
  <c r="D5036" i="1"/>
  <c r="D5035" i="1"/>
  <c r="D5034" i="1"/>
  <c r="D5033" i="1"/>
  <c r="D5032" i="1"/>
  <c r="D5031" i="1"/>
  <c r="D5030" i="1"/>
  <c r="D5029" i="1"/>
  <c r="D5028" i="1"/>
  <c r="D5027" i="1"/>
  <c r="D5026" i="1"/>
  <c r="D5025" i="1"/>
  <c r="D5024" i="1"/>
  <c r="D5023" i="1"/>
  <c r="D5022" i="1"/>
  <c r="D5021" i="1"/>
  <c r="D5020" i="1"/>
  <c r="D5018" i="1"/>
  <c r="D5017" i="1"/>
  <c r="D5016" i="1"/>
  <c r="D5015" i="1"/>
  <c r="D5014" i="1"/>
  <c r="D5013" i="1"/>
  <c r="D5012" i="1"/>
  <c r="D5011" i="1"/>
  <c r="D5010" i="1"/>
  <c r="D5009" i="1"/>
  <c r="D5008" i="1"/>
  <c r="D5007" i="1"/>
  <c r="D5006" i="1"/>
  <c r="D5005" i="1"/>
  <c r="D5004" i="1"/>
  <c r="D5003" i="1"/>
  <c r="D5002" i="1"/>
  <c r="D5001" i="1"/>
  <c r="D5000" i="1"/>
  <c r="D4999" i="1"/>
  <c r="D4998" i="1"/>
  <c r="D4997" i="1"/>
  <c r="D4996" i="1"/>
  <c r="D4995" i="1"/>
  <c r="D4994" i="1"/>
  <c r="D4993" i="1"/>
  <c r="D4992" i="1"/>
  <c r="D4991" i="1"/>
  <c r="D4990" i="1"/>
  <c r="D4988" i="1"/>
  <c r="D4987" i="1"/>
  <c r="D4986" i="1"/>
  <c r="D4985" i="1"/>
  <c r="D4984" i="1"/>
  <c r="D4983" i="1"/>
  <c r="D4982" i="1"/>
  <c r="D4981" i="1"/>
  <c r="D4980" i="1"/>
  <c r="D4979" i="1"/>
  <c r="D4978" i="1"/>
  <c r="D4977" i="1"/>
  <c r="D4976" i="1"/>
  <c r="D4975" i="1"/>
  <c r="D4974" i="1"/>
  <c r="D4973" i="1"/>
  <c r="D4972" i="1"/>
  <c r="D4971" i="1"/>
  <c r="D4970" i="1"/>
  <c r="D4969" i="1"/>
  <c r="D4968" i="1"/>
  <c r="D4967" i="1"/>
  <c r="D4966" i="1"/>
  <c r="D4965" i="1"/>
  <c r="D4964" i="1"/>
  <c r="D4963" i="1"/>
  <c r="D4962" i="1"/>
  <c r="D4961" i="1"/>
  <c r="D4960" i="1"/>
  <c r="D4958" i="1"/>
  <c r="D4956" i="1"/>
  <c r="D4955" i="1"/>
  <c r="D4954" i="1"/>
  <c r="D4953" i="1"/>
  <c r="D4952" i="1"/>
  <c r="D4951" i="1"/>
  <c r="D4950" i="1"/>
  <c r="D4949" i="1"/>
  <c r="D4948" i="1"/>
  <c r="D4947" i="1"/>
  <c r="D4946" i="1"/>
  <c r="D4945" i="1"/>
  <c r="D4944" i="1"/>
  <c r="D4943" i="1"/>
  <c r="D4942" i="1"/>
  <c r="D4941" i="1"/>
  <c r="D4940" i="1"/>
  <c r="D4939" i="1"/>
  <c r="D4938" i="1"/>
  <c r="D4937" i="1"/>
  <c r="D4936" i="1"/>
  <c r="D4935" i="1"/>
  <c r="D4934" i="1"/>
  <c r="D4931" i="1"/>
  <c r="D4930" i="1"/>
  <c r="D4929" i="1"/>
  <c r="D4928" i="1"/>
  <c r="D4927" i="1"/>
  <c r="D4926" i="1"/>
  <c r="D4925" i="1"/>
  <c r="D4924" i="1"/>
  <c r="D4923" i="1"/>
  <c r="D4922" i="1"/>
  <c r="D4921" i="1"/>
  <c r="D4920" i="1"/>
  <c r="D4919" i="1"/>
  <c r="D4918" i="1"/>
  <c r="D4917" i="1"/>
  <c r="D4916" i="1"/>
  <c r="D4915" i="1"/>
  <c r="D4914" i="1"/>
  <c r="D4913" i="1"/>
  <c r="D4912" i="1"/>
  <c r="D4911" i="1"/>
  <c r="D4910" i="1"/>
  <c r="D4909" i="1"/>
  <c r="D4908" i="1"/>
  <c r="D4907" i="1"/>
  <c r="D4906" i="1"/>
  <c r="D4905" i="1"/>
  <c r="D4904" i="1"/>
  <c r="D4903" i="1"/>
  <c r="D4902" i="1"/>
  <c r="D4901" i="1"/>
  <c r="D4900" i="1"/>
  <c r="D4899" i="1"/>
  <c r="D4898" i="1"/>
  <c r="D4897" i="1"/>
  <c r="D4896" i="1"/>
  <c r="D4895" i="1"/>
  <c r="D4894" i="1"/>
  <c r="D4893" i="1"/>
  <c r="D4892" i="1"/>
  <c r="D4891" i="1"/>
  <c r="D4890" i="1"/>
  <c r="D4889" i="1"/>
  <c r="D4888" i="1"/>
  <c r="D4887" i="1"/>
  <c r="D4886" i="1"/>
  <c r="D4885" i="1"/>
  <c r="D4884" i="1"/>
  <c r="D4883" i="1"/>
  <c r="D4882" i="1"/>
  <c r="D4881" i="1"/>
  <c r="D4880" i="1"/>
  <c r="D4879" i="1"/>
  <c r="D4878" i="1"/>
  <c r="D4877" i="1"/>
  <c r="D4876" i="1"/>
  <c r="D4875" i="1"/>
  <c r="D4874" i="1"/>
  <c r="D4873" i="1"/>
  <c r="D4872" i="1"/>
  <c r="D4871" i="1"/>
  <c r="D4870" i="1"/>
  <c r="D4869" i="1"/>
  <c r="D4868" i="1"/>
  <c r="D4867" i="1"/>
  <c r="D4866" i="1"/>
  <c r="D4865" i="1"/>
  <c r="D4864" i="1"/>
  <c r="D4863" i="1"/>
  <c r="D4862" i="1"/>
  <c r="D4860" i="1"/>
  <c r="D4858" i="1"/>
  <c r="D4856" i="1"/>
  <c r="D4855" i="1"/>
  <c r="D4854" i="1"/>
  <c r="D4853" i="1"/>
  <c r="D4852" i="1"/>
  <c r="D4851" i="1"/>
  <c r="D4850" i="1"/>
  <c r="D4849" i="1"/>
  <c r="D4848" i="1"/>
  <c r="D4847" i="1"/>
  <c r="D4846" i="1"/>
  <c r="D4845" i="1"/>
  <c r="D4844" i="1"/>
  <c r="D4842" i="1"/>
  <c r="D4840" i="1"/>
  <c r="D4839" i="1"/>
  <c r="D4835" i="1"/>
  <c r="D4833" i="1"/>
  <c r="D4832" i="1"/>
  <c r="D4831" i="1"/>
  <c r="D4830" i="1"/>
  <c r="D4828" i="1"/>
  <c r="D4827" i="1"/>
  <c r="D4826" i="1"/>
  <c r="D4825" i="1"/>
  <c r="D4823" i="1"/>
  <c r="D4822" i="1"/>
  <c r="D4821" i="1"/>
  <c r="D4819" i="1"/>
  <c r="D4816" i="1"/>
  <c r="D4815" i="1"/>
  <c r="D4814" i="1"/>
  <c r="D4813" i="1"/>
  <c r="D4812" i="1"/>
  <c r="D4810" i="1"/>
  <c r="D4809" i="1"/>
  <c r="D4807" i="1"/>
  <c r="D4804" i="1"/>
  <c r="D4801" i="1"/>
  <c r="D4800" i="1"/>
  <c r="D4799" i="1"/>
  <c r="D4798" i="1"/>
  <c r="D4797" i="1"/>
  <c r="D4796" i="1"/>
  <c r="D4795" i="1"/>
  <c r="D4794" i="1"/>
  <c r="D4793" i="1"/>
  <c r="D4792" i="1"/>
  <c r="D4791" i="1"/>
  <c r="D4790" i="1"/>
  <c r="D4789" i="1"/>
  <c r="D4788" i="1"/>
  <c r="D4787" i="1"/>
  <c r="D4786" i="1"/>
  <c r="D4785" i="1"/>
  <c r="D4784" i="1"/>
  <c r="D4783" i="1"/>
  <c r="D4782" i="1"/>
  <c r="D4781" i="1"/>
  <c r="D4780" i="1"/>
  <c r="D4779" i="1"/>
  <c r="D4778" i="1"/>
  <c r="D4777" i="1"/>
  <c r="D4776" i="1"/>
  <c r="D4775" i="1"/>
  <c r="D4774" i="1"/>
  <c r="D4773" i="1"/>
  <c r="D4772" i="1"/>
  <c r="D4771" i="1"/>
  <c r="D4770" i="1"/>
  <c r="D4769" i="1"/>
  <c r="D4767" i="1"/>
  <c r="D4766" i="1"/>
  <c r="D4765" i="1"/>
  <c r="D4764" i="1"/>
  <c r="D4763" i="1"/>
  <c r="D4762" i="1"/>
  <c r="D4761" i="1"/>
  <c r="D4759" i="1"/>
  <c r="D4758" i="1"/>
  <c r="D4757" i="1"/>
  <c r="D4756" i="1"/>
  <c r="D4755" i="1"/>
  <c r="D4754" i="1"/>
  <c r="D4753" i="1"/>
  <c r="D4751" i="1"/>
  <c r="D4750" i="1"/>
  <c r="D4749" i="1"/>
  <c r="D4748" i="1"/>
  <c r="D4746" i="1"/>
  <c r="D4745" i="1"/>
  <c r="D4744" i="1"/>
  <c r="D4743" i="1"/>
  <c r="D4742" i="1"/>
  <c r="D4741" i="1"/>
  <c r="D4740" i="1"/>
  <c r="D4739" i="1"/>
  <c r="D4737" i="1"/>
  <c r="D4736" i="1"/>
  <c r="D4735" i="1"/>
  <c r="D4734" i="1"/>
  <c r="D4733" i="1"/>
  <c r="D4732" i="1"/>
  <c r="D4731" i="1"/>
  <c r="D4730" i="1"/>
  <c r="D4729" i="1"/>
  <c r="D4728" i="1"/>
  <c r="D4727" i="1"/>
  <c r="D4726" i="1"/>
  <c r="D4725" i="1"/>
  <c r="D4724" i="1"/>
  <c r="D4723" i="1"/>
  <c r="D4721" i="1"/>
  <c r="D4720" i="1"/>
  <c r="D4719" i="1"/>
  <c r="D4718" i="1"/>
  <c r="D4717" i="1"/>
  <c r="D4716" i="1"/>
  <c r="D4715" i="1"/>
  <c r="D4714" i="1"/>
  <c r="D4713" i="1"/>
  <c r="D4712" i="1"/>
  <c r="D4711" i="1"/>
  <c r="D4710" i="1"/>
  <c r="D4709" i="1"/>
  <c r="D4708" i="1"/>
  <c r="D4707" i="1"/>
  <c r="D4706" i="1"/>
  <c r="D4705" i="1"/>
  <c r="D4704" i="1"/>
  <c r="D4703" i="1"/>
  <c r="D4702" i="1"/>
  <c r="D4701" i="1"/>
  <c r="D4700" i="1"/>
  <c r="D4699" i="1"/>
  <c r="D4698" i="1"/>
  <c r="D4697" i="1"/>
  <c r="D4696" i="1"/>
  <c r="D4695" i="1"/>
  <c r="D4694" i="1"/>
  <c r="D4693" i="1"/>
  <c r="D4692" i="1"/>
  <c r="D4691" i="1"/>
  <c r="D4690" i="1"/>
  <c r="D4689" i="1"/>
  <c r="D4688" i="1"/>
  <c r="D4687" i="1"/>
  <c r="D4686" i="1"/>
  <c r="D4685" i="1"/>
  <c r="D4684" i="1"/>
  <c r="D4683" i="1"/>
  <c r="D4680" i="1"/>
  <c r="D4677" i="1"/>
  <c r="D4675" i="1"/>
  <c r="D4674" i="1"/>
  <c r="D4673" i="1"/>
  <c r="D4672" i="1"/>
  <c r="D4671" i="1"/>
  <c r="D4670" i="1"/>
  <c r="D4669" i="1"/>
  <c r="D4668" i="1"/>
  <c r="D4667" i="1"/>
  <c r="D4666" i="1"/>
  <c r="D4665" i="1"/>
  <c r="D4664" i="1"/>
  <c r="D4661" i="1"/>
  <c r="D4658" i="1"/>
  <c r="D4657" i="1"/>
  <c r="D4656" i="1"/>
  <c r="D4655" i="1"/>
  <c r="D4654" i="1"/>
  <c r="D4653" i="1"/>
  <c r="D4652" i="1"/>
  <c r="D4651" i="1"/>
  <c r="D4650" i="1"/>
  <c r="D4649" i="1"/>
  <c r="D4648" i="1"/>
  <c r="D4647" i="1"/>
  <c r="D4645" i="1"/>
  <c r="D4643" i="1"/>
  <c r="D4641" i="1"/>
  <c r="D4639" i="1"/>
  <c r="D4638" i="1"/>
  <c r="D4637" i="1"/>
  <c r="D4636" i="1"/>
  <c r="D4634" i="1"/>
  <c r="D4632" i="1"/>
  <c r="D4631" i="1"/>
  <c r="D4629" i="1"/>
  <c r="D4628" i="1"/>
  <c r="D4627" i="1"/>
  <c r="D4626" i="1"/>
  <c r="D4625" i="1"/>
  <c r="D4624" i="1"/>
  <c r="D4623" i="1"/>
  <c r="D4622" i="1"/>
  <c r="D4621" i="1"/>
  <c r="D4620" i="1"/>
  <c r="D4619" i="1"/>
  <c r="D4618" i="1"/>
  <c r="D4617" i="1"/>
  <c r="D4616" i="1"/>
  <c r="D4615" i="1"/>
  <c r="D4613" i="1"/>
  <c r="D4611" i="1"/>
  <c r="D4610" i="1"/>
  <c r="D4607" i="1"/>
  <c r="D4606" i="1"/>
  <c r="D4605" i="1"/>
  <c r="D4604" i="1"/>
  <c r="D4601" i="1"/>
  <c r="D4599" i="1"/>
  <c r="D4598" i="1"/>
  <c r="D4597" i="1"/>
  <c r="D4596" i="1"/>
  <c r="D4595" i="1"/>
  <c r="D4594" i="1"/>
  <c r="D4593" i="1"/>
  <c r="D4592" i="1"/>
  <c r="D4591" i="1"/>
  <c r="D4590" i="1"/>
  <c r="D4586" i="1"/>
  <c r="D4585" i="1"/>
  <c r="D4584" i="1"/>
  <c r="D4583" i="1"/>
  <c r="D4582" i="1"/>
  <c r="D4581" i="1"/>
  <c r="D4580" i="1"/>
  <c r="D4579" i="1"/>
  <c r="D4578" i="1"/>
  <c r="D4577" i="1"/>
  <c r="D4576" i="1"/>
  <c r="D4575" i="1"/>
  <c r="D4574" i="1"/>
  <c r="D4572" i="1" l="1"/>
  <c r="D4571" i="1"/>
  <c r="D4570" i="1"/>
  <c r="D4569" i="1"/>
  <c r="D4567" i="1"/>
  <c r="D4566" i="1"/>
  <c r="D4565" i="1"/>
  <c r="D4563" i="1"/>
  <c r="D4562" i="1"/>
  <c r="D4559" i="1"/>
  <c r="D4558" i="1"/>
  <c r="D4557" i="1"/>
  <c r="D4555" i="1"/>
  <c r="D4554" i="1"/>
  <c r="D4553" i="1"/>
  <c r="D4552" i="1"/>
  <c r="D4551" i="1"/>
  <c r="D4550" i="1"/>
  <c r="D4549" i="1"/>
  <c r="D4548" i="1"/>
  <c r="D4546" i="1"/>
  <c r="D4545" i="1"/>
  <c r="D4544" i="1"/>
  <c r="D4543" i="1"/>
  <c r="D4542" i="1"/>
  <c r="D4541" i="1"/>
  <c r="D4540" i="1"/>
  <c r="D4539" i="1"/>
  <c r="D4538" i="1"/>
  <c r="D4537" i="1"/>
  <c r="D4536" i="1"/>
  <c r="D4535" i="1"/>
  <c r="D4534" i="1"/>
  <c r="D4533" i="1"/>
  <c r="D4532" i="1"/>
  <c r="D4531" i="1"/>
  <c r="D4530" i="1"/>
  <c r="D4529" i="1"/>
  <c r="D4528" i="1"/>
  <c r="D4527" i="1"/>
  <c r="D4526" i="1"/>
  <c r="D4525" i="1"/>
  <c r="D4524" i="1"/>
  <c r="D4523" i="1"/>
  <c r="D4522" i="1"/>
  <c r="D4521" i="1"/>
  <c r="D4520" i="1"/>
  <c r="D4519" i="1"/>
  <c r="D4518" i="1"/>
  <c r="D4517" i="1"/>
  <c r="D4516" i="1"/>
  <c r="D4515" i="1"/>
  <c r="D4514" i="1"/>
  <c r="D4513" i="1"/>
  <c r="D4512" i="1"/>
  <c r="D4511" i="1"/>
  <c r="D4510" i="1"/>
  <c r="D4509" i="1"/>
  <c r="D4508" i="1"/>
  <c r="D4507" i="1"/>
  <c r="D4506" i="1"/>
  <c r="D4505" i="1"/>
  <c r="D4504" i="1"/>
  <c r="D4503" i="1"/>
  <c r="D4502" i="1"/>
  <c r="D4501" i="1"/>
  <c r="D4500" i="1"/>
  <c r="D4499" i="1"/>
  <c r="D4498" i="1"/>
  <c r="D4497" i="1"/>
  <c r="D4496" i="1"/>
  <c r="D4495" i="1"/>
  <c r="D4494" i="1"/>
  <c r="D4493" i="1"/>
  <c r="D4492" i="1"/>
  <c r="D4491" i="1"/>
  <c r="D4490" i="1"/>
  <c r="D4489" i="1"/>
  <c r="D4488" i="1"/>
  <c r="D4487" i="1"/>
  <c r="D4486" i="1"/>
  <c r="D4485" i="1"/>
  <c r="D4484" i="1"/>
  <c r="D4483" i="1"/>
  <c r="D4482" i="1"/>
  <c r="D4481" i="1"/>
  <c r="D4480" i="1"/>
  <c r="D4479" i="1"/>
  <c r="D4478" i="1"/>
  <c r="D4477" i="1"/>
  <c r="D4476" i="1"/>
  <c r="D4475" i="1"/>
  <c r="D4474" i="1"/>
  <c r="D4473" i="1"/>
  <c r="D4472" i="1"/>
  <c r="D4471" i="1"/>
  <c r="D4470" i="1"/>
  <c r="D4469" i="1"/>
  <c r="D4468" i="1"/>
  <c r="D4467" i="1"/>
  <c r="D4466" i="1"/>
  <c r="D4465" i="1"/>
  <c r="D4464" i="1"/>
  <c r="D4463" i="1"/>
  <c r="D4462" i="1"/>
  <c r="D4461" i="1"/>
  <c r="D4460" i="1"/>
  <c r="D4459" i="1"/>
  <c r="D4458" i="1"/>
  <c r="D4457" i="1"/>
  <c r="D4456" i="1"/>
  <c r="D4455" i="1"/>
  <c r="D4454" i="1"/>
  <c r="D4453" i="1"/>
  <c r="D4452" i="1"/>
  <c r="D4451" i="1"/>
  <c r="D4450" i="1"/>
  <c r="D4449" i="1"/>
  <c r="D4448" i="1"/>
  <c r="D4447" i="1"/>
  <c r="D4446" i="1"/>
  <c r="D4445" i="1"/>
  <c r="D4444" i="1"/>
  <c r="D4443" i="1"/>
  <c r="D4442" i="1"/>
  <c r="D4441" i="1"/>
  <c r="D4440" i="1"/>
  <c r="D4439" i="1"/>
  <c r="D4438" i="1"/>
  <c r="D4437" i="1"/>
  <c r="D4436" i="1"/>
  <c r="D4435" i="1"/>
  <c r="D4434" i="1"/>
  <c r="D4433" i="1"/>
  <c r="D4432" i="1"/>
  <c r="D4431" i="1"/>
  <c r="D4430" i="1"/>
  <c r="D4429" i="1"/>
  <c r="D4427" i="1"/>
  <c r="D4426" i="1"/>
  <c r="D4425" i="1"/>
  <c r="D4424" i="1"/>
  <c r="D4423" i="1"/>
  <c r="D4422" i="1"/>
  <c r="D4421" i="1"/>
  <c r="D4420" i="1"/>
  <c r="D4419" i="1"/>
  <c r="D4418" i="1"/>
  <c r="D4417" i="1"/>
  <c r="D4416" i="1"/>
  <c r="D4415" i="1"/>
  <c r="D4414" i="1"/>
  <c r="D4413" i="1"/>
  <c r="D4411" i="1"/>
  <c r="D4410" i="1"/>
  <c r="D4409" i="1"/>
  <c r="D4408" i="1"/>
  <c r="D4407" i="1"/>
  <c r="D4406" i="1"/>
  <c r="D4405" i="1"/>
  <c r="D4404" i="1"/>
  <c r="D4403" i="1"/>
  <c r="D4402" i="1"/>
  <c r="D4401" i="1"/>
  <c r="D4400" i="1"/>
  <c r="D4398" i="1"/>
  <c r="D4397" i="1"/>
  <c r="D4396" i="1"/>
  <c r="D4395" i="1"/>
  <c r="D4394" i="1"/>
  <c r="D4393" i="1"/>
  <c r="D4392" i="1"/>
  <c r="D4391" i="1"/>
  <c r="D4390" i="1"/>
  <c r="D4389" i="1"/>
  <c r="D4388" i="1"/>
  <c r="D4387" i="1"/>
  <c r="D4386" i="1"/>
  <c r="D4385" i="1"/>
  <c r="D4384" i="1"/>
  <c r="D4383" i="1"/>
  <c r="D4382" i="1"/>
  <c r="D4381" i="1"/>
  <c r="D4380" i="1"/>
  <c r="D4379" i="1"/>
  <c r="D4378" i="1"/>
  <c r="D4377" i="1"/>
  <c r="D4376" i="1"/>
  <c r="D4375" i="1"/>
  <c r="D4374" i="1"/>
  <c r="D4373" i="1"/>
  <c r="D4372" i="1"/>
  <c r="D4371" i="1"/>
  <c r="D4370" i="1"/>
  <c r="D4369" i="1"/>
  <c r="D4368" i="1"/>
  <c r="D4367" i="1"/>
  <c r="D4366" i="1"/>
  <c r="D4365" i="1"/>
  <c r="D4364" i="1"/>
  <c r="D4363" i="1"/>
  <c r="D4362" i="1"/>
  <c r="D4361" i="1"/>
  <c r="D4360" i="1"/>
  <c r="D4359" i="1"/>
  <c r="D4358" i="1"/>
  <c r="D4357" i="1"/>
  <c r="D4355" i="1"/>
  <c r="D4354" i="1"/>
  <c r="D4353" i="1"/>
  <c r="D4352" i="1"/>
  <c r="D4351" i="1"/>
  <c r="D4350" i="1"/>
  <c r="D4349" i="1"/>
  <c r="D4348" i="1"/>
  <c r="D4347" i="1"/>
  <c r="D4346" i="1"/>
  <c r="D4345" i="1"/>
  <c r="D4344" i="1"/>
  <c r="D4343" i="1"/>
  <c r="D4342" i="1"/>
  <c r="D4341" i="1"/>
  <c r="D4340" i="1"/>
  <c r="D4339" i="1"/>
  <c r="D4338" i="1"/>
  <c r="D4337" i="1"/>
  <c r="D4336" i="1"/>
  <c r="D4334" i="1"/>
  <c r="D4332" i="1"/>
  <c r="D4331" i="1"/>
  <c r="D4330" i="1"/>
  <c r="D4329" i="1"/>
  <c r="D4328" i="1"/>
  <c r="D4327" i="1"/>
  <c r="D4326" i="1"/>
  <c r="D4325" i="1"/>
  <c r="D4324" i="1"/>
  <c r="D4323" i="1"/>
  <c r="D4321" i="1"/>
  <c r="D4320" i="1"/>
  <c r="D4319" i="1"/>
  <c r="D4318" i="1"/>
  <c r="D4317" i="1"/>
  <c r="D4316" i="1"/>
  <c r="D4315" i="1"/>
  <c r="D4314" i="1"/>
  <c r="D4313" i="1"/>
  <c r="D4312" i="1"/>
  <c r="D4311" i="1"/>
  <c r="D4310" i="1"/>
  <c r="D4309" i="1"/>
  <c r="D4308" i="1"/>
  <c r="D4307" i="1"/>
  <c r="D4306" i="1"/>
  <c r="D4305" i="1"/>
  <c r="D4304" i="1"/>
  <c r="D4303" i="1"/>
  <c r="D4302" i="1"/>
  <c r="D4301" i="1"/>
  <c r="D4300" i="1"/>
  <c r="D4299" i="1"/>
  <c r="D4298" i="1"/>
  <c r="D4297" i="1"/>
  <c r="D4296" i="1"/>
  <c r="D4295" i="1"/>
  <c r="D4294" i="1"/>
  <c r="D4293" i="1"/>
  <c r="D4292" i="1"/>
  <c r="D4291" i="1"/>
  <c r="D4290" i="1"/>
  <c r="D4289" i="1"/>
  <c r="D4288" i="1"/>
  <c r="D4287" i="1"/>
  <c r="D4286" i="1"/>
  <c r="D4285" i="1"/>
  <c r="D4284" i="1"/>
  <c r="D4283" i="1"/>
  <c r="D4282" i="1"/>
  <c r="D4281" i="1"/>
  <c r="D4280" i="1"/>
  <c r="D4279" i="1"/>
  <c r="D4278" i="1"/>
  <c r="D4277" i="1"/>
  <c r="D4276" i="1"/>
  <c r="D4275" i="1"/>
  <c r="D4274" i="1"/>
  <c r="D4273" i="1"/>
  <c r="D4272" i="1"/>
  <c r="D4271" i="1"/>
  <c r="D4270" i="1"/>
  <c r="D4269" i="1"/>
  <c r="D4268" i="1"/>
  <c r="D4267" i="1"/>
  <c r="D4266" i="1"/>
  <c r="D4265" i="1"/>
  <c r="D4264" i="1"/>
  <c r="D4263" i="1"/>
  <c r="D4262" i="1"/>
  <c r="D4261" i="1"/>
  <c r="D4260" i="1"/>
  <c r="D4259" i="1"/>
  <c r="D4258" i="1"/>
  <c r="D4257" i="1"/>
  <c r="D4256" i="1"/>
  <c r="D4255" i="1"/>
  <c r="D4254" i="1"/>
  <c r="D4253" i="1"/>
  <c r="D4252" i="1"/>
  <c r="D4251" i="1"/>
  <c r="D4250" i="1"/>
  <c r="D4249" i="1"/>
  <c r="D4248" i="1"/>
  <c r="D4247" i="1"/>
  <c r="D4246" i="1"/>
  <c r="D4245" i="1"/>
  <c r="D4244" i="1"/>
  <c r="D4243" i="1"/>
  <c r="D4242" i="1"/>
  <c r="D4241" i="1"/>
  <c r="D4240" i="1"/>
  <c r="D4239" i="1"/>
  <c r="D4238" i="1"/>
  <c r="D4237" i="1"/>
  <c r="D4236" i="1"/>
  <c r="D4235" i="1"/>
  <c r="D4234" i="1"/>
  <c r="D4233" i="1"/>
  <c r="D4232" i="1"/>
  <c r="D4231" i="1"/>
  <c r="D4230" i="1"/>
  <c r="D4229" i="1"/>
  <c r="D4228" i="1"/>
  <c r="D4227" i="1"/>
  <c r="D4226" i="1"/>
  <c r="D4225" i="1"/>
  <c r="D4224" i="1"/>
  <c r="D4223" i="1"/>
  <c r="D4222" i="1"/>
  <c r="D4221" i="1"/>
  <c r="D4220" i="1"/>
  <c r="D4219" i="1"/>
  <c r="D4218" i="1"/>
  <c r="D4217" i="1"/>
  <c r="D4216" i="1"/>
  <c r="D4215" i="1"/>
  <c r="D4214" i="1"/>
  <c r="D4213" i="1"/>
  <c r="D4212" i="1"/>
  <c r="D4211" i="1"/>
  <c r="D4210" i="1"/>
  <c r="D4209" i="1"/>
  <c r="D4208" i="1"/>
  <c r="D4207" i="1"/>
  <c r="D4206" i="1"/>
  <c r="D4205" i="1"/>
  <c r="D4204" i="1"/>
  <c r="D4203" i="1"/>
  <c r="D4202" i="1"/>
  <c r="D4201" i="1"/>
  <c r="D4200" i="1"/>
  <c r="D4199" i="1"/>
  <c r="D4198" i="1"/>
  <c r="D4197" i="1"/>
  <c r="D4196" i="1"/>
  <c r="D4195" i="1"/>
  <c r="D4194" i="1"/>
  <c r="D4193" i="1"/>
  <c r="D4192" i="1"/>
  <c r="D4191" i="1"/>
  <c r="D4190" i="1"/>
  <c r="D4189" i="1"/>
  <c r="D4188" i="1"/>
  <c r="D4187" i="1"/>
  <c r="D4186" i="1"/>
  <c r="D4185" i="1"/>
  <c r="D4184" i="1"/>
  <c r="D4183" i="1"/>
  <c r="D4182" i="1"/>
  <c r="D4181" i="1"/>
  <c r="D4180" i="1"/>
  <c r="D4179" i="1"/>
  <c r="D4178" i="1"/>
  <c r="D4177" i="1"/>
  <c r="D4176" i="1"/>
  <c r="D4175" i="1"/>
  <c r="D4174" i="1"/>
  <c r="D4173" i="1"/>
  <c r="D4172" i="1"/>
  <c r="D4171" i="1"/>
  <c r="D4170" i="1"/>
  <c r="D4169" i="1"/>
  <c r="D4168" i="1"/>
  <c r="D4167" i="1"/>
  <c r="D4166" i="1"/>
  <c r="D4165" i="1"/>
  <c r="D4164" i="1"/>
  <c r="D4163" i="1"/>
  <c r="D4162" i="1"/>
  <c r="D4161" i="1"/>
  <c r="D4160" i="1"/>
  <c r="D4159" i="1"/>
  <c r="D4158" i="1"/>
  <c r="D4157" i="1"/>
  <c r="D4156" i="1"/>
  <c r="D4155" i="1"/>
  <c r="D4154" i="1"/>
  <c r="D4153" i="1"/>
  <c r="D4152" i="1"/>
  <c r="D4151" i="1"/>
  <c r="D4150" i="1"/>
  <c r="D4149" i="1"/>
  <c r="D4148" i="1"/>
  <c r="D4147" i="1"/>
  <c r="D4146" i="1"/>
  <c r="D4145" i="1"/>
  <c r="D4144" i="1"/>
  <c r="D4143" i="1"/>
  <c r="D4142" i="1"/>
  <c r="D4141" i="1"/>
  <c r="D4140" i="1"/>
  <c r="D4138" i="1"/>
  <c r="D4137" i="1"/>
  <c r="D4136" i="1"/>
  <c r="D4135" i="1"/>
  <c r="D4134" i="1"/>
  <c r="D4133" i="1"/>
  <c r="D4132" i="1"/>
  <c r="D4131" i="1"/>
  <c r="D4130" i="1"/>
  <c r="D4129" i="1"/>
  <c r="D4128" i="1"/>
  <c r="D4127" i="1"/>
  <c r="D4126" i="1"/>
  <c r="D4125" i="1"/>
  <c r="D4124" i="1"/>
  <c r="D4123" i="1"/>
  <c r="D4122" i="1"/>
  <c r="D4121" i="1"/>
  <c r="D4120" i="1"/>
  <c r="D4119" i="1"/>
  <c r="D4118" i="1"/>
  <c r="D4117" i="1"/>
  <c r="D4116" i="1"/>
  <c r="D4115" i="1"/>
  <c r="D4114" i="1"/>
  <c r="D4111" i="1"/>
  <c r="D4107" i="1"/>
  <c r="D4106" i="1"/>
  <c r="D4105" i="1"/>
  <c r="D4104" i="1"/>
  <c r="D4103" i="1"/>
  <c r="D4102" i="1"/>
  <c r="D4101" i="1"/>
  <c r="D4099" i="1"/>
  <c r="D4096" i="1"/>
  <c r="D4095" i="1"/>
  <c r="D4094" i="1"/>
  <c r="D4093" i="1"/>
  <c r="D4092" i="1"/>
  <c r="D4091" i="1"/>
  <c r="D4090" i="1"/>
  <c r="D4089" i="1"/>
  <c r="D4088" i="1"/>
  <c r="D4087" i="1"/>
  <c r="D4086" i="1"/>
  <c r="D4085" i="1"/>
  <c r="D4084" i="1"/>
  <c r="D4083" i="1"/>
  <c r="D4081" i="1"/>
  <c r="D4080" i="1"/>
  <c r="D4075" i="1"/>
  <c r="D4074" i="1"/>
  <c r="D4073" i="1"/>
  <c r="D4072" i="1"/>
  <c r="D4071" i="1"/>
  <c r="D4070" i="1"/>
  <c r="D4069" i="1"/>
  <c r="D4068" i="1"/>
  <c r="D4067" i="1"/>
  <c r="D4066" i="1"/>
  <c r="D4065" i="1"/>
  <c r="D4061" i="1"/>
  <c r="D4060" i="1"/>
  <c r="D4059" i="1"/>
  <c r="D4058" i="1"/>
  <c r="D4057" i="1"/>
  <c r="D4056" i="1"/>
  <c r="D4055" i="1"/>
  <c r="D4054" i="1"/>
  <c r="D4053" i="1"/>
  <c r="D4052" i="1"/>
  <c r="D4051" i="1"/>
  <c r="D4050" i="1"/>
  <c r="D4049" i="1"/>
  <c r="D4048" i="1"/>
  <c r="D4047" i="1"/>
  <c r="D4046" i="1"/>
  <c r="D4045" i="1"/>
  <c r="D4044" i="1"/>
  <c r="D4043" i="1"/>
  <c r="D4042" i="1"/>
  <c r="D4041" i="1"/>
  <c r="D4040" i="1"/>
  <c r="D4039" i="1"/>
  <c r="D4038" i="1"/>
  <c r="D4037" i="1"/>
  <c r="D4036" i="1"/>
  <c r="D4035" i="1"/>
  <c r="D4034" i="1"/>
  <c r="D4033" i="1"/>
  <c r="D4032" i="1"/>
  <c r="D4031" i="1"/>
  <c r="D4030" i="1"/>
  <c r="D4029" i="1"/>
  <c r="D4028" i="1"/>
  <c r="D4027" i="1"/>
  <c r="D4026" i="1"/>
  <c r="D4025" i="1"/>
  <c r="D4024" i="1"/>
  <c r="D4022" i="1"/>
  <c r="D4021" i="1"/>
  <c r="D4020" i="1"/>
  <c r="D4019" i="1"/>
  <c r="D4018" i="1"/>
  <c r="D4017" i="1"/>
  <c r="D4016" i="1"/>
  <c r="D4015" i="1"/>
  <c r="D4014" i="1"/>
  <c r="D4013" i="1"/>
  <c r="D4012" i="1"/>
  <c r="D4011" i="1"/>
  <c r="D4010" i="1"/>
  <c r="D4009" i="1"/>
  <c r="D4008" i="1"/>
  <c r="D4007" i="1"/>
  <c r="D4006" i="1"/>
  <c r="D4005" i="1"/>
  <c r="D4004" i="1"/>
  <c r="D4003" i="1"/>
  <c r="D4002" i="1"/>
  <c r="D4001" i="1"/>
  <c r="D4000" i="1"/>
  <c r="D3999" i="1"/>
  <c r="D3998" i="1"/>
  <c r="D3997" i="1"/>
  <c r="D3996" i="1"/>
  <c r="D3995" i="1"/>
  <c r="D3994" i="1"/>
  <c r="D3992" i="1"/>
  <c r="D3991" i="1"/>
  <c r="D3990" i="1"/>
  <c r="D3989" i="1"/>
  <c r="D3988" i="1"/>
  <c r="D3987" i="1"/>
  <c r="D3986" i="1"/>
  <c r="D3985" i="1"/>
  <c r="D3984" i="1"/>
  <c r="D3983" i="1"/>
  <c r="D3982" i="1"/>
  <c r="D3980" i="1"/>
  <c r="D3979" i="1"/>
  <c r="D3977" i="1"/>
  <c r="D3976" i="1"/>
  <c r="D3974" i="1"/>
  <c r="D3973" i="1"/>
  <c r="D3972" i="1"/>
  <c r="D3971" i="1"/>
  <c r="D3970" i="1"/>
  <c r="D3969" i="1"/>
  <c r="D3968" i="1"/>
  <c r="D3967" i="1"/>
  <c r="D3966" i="1"/>
  <c r="D3965" i="1"/>
  <c r="D3964" i="1"/>
  <c r="D3963" i="1"/>
  <c r="D3962" i="1"/>
  <c r="D3961" i="1"/>
  <c r="D3960" i="1"/>
  <c r="D3959" i="1"/>
  <c r="D3958" i="1"/>
  <c r="D3957" i="1"/>
  <c r="D3956" i="1"/>
  <c r="D3955" i="1"/>
  <c r="D3954" i="1"/>
  <c r="D3953" i="1"/>
  <c r="D3952" i="1"/>
  <c r="D3951" i="1"/>
  <c r="D3950" i="1"/>
  <c r="D3949" i="1"/>
  <c r="D3948" i="1"/>
  <c r="D3947" i="1"/>
  <c r="D3946" i="1"/>
  <c r="D3945" i="1"/>
  <c r="D3944" i="1"/>
  <c r="D3943" i="1"/>
  <c r="D3942" i="1"/>
  <c r="D3941" i="1"/>
  <c r="D3940" i="1"/>
  <c r="D3939" i="1"/>
  <c r="D3938" i="1"/>
  <c r="D3937" i="1"/>
  <c r="D3936" i="1"/>
  <c r="D3935" i="1"/>
  <c r="D3934" i="1"/>
  <c r="D3933" i="1"/>
  <c r="D3932" i="1"/>
  <c r="D3931" i="1"/>
  <c r="D3930" i="1"/>
  <c r="D3929" i="1"/>
  <c r="D3928" i="1"/>
  <c r="D3927" i="1"/>
  <c r="D3926" i="1"/>
  <c r="D3925" i="1"/>
  <c r="D3924" i="1"/>
  <c r="D3923" i="1"/>
  <c r="D3922" i="1"/>
  <c r="D3921" i="1"/>
  <c r="D3920" i="1"/>
  <c r="D3917" i="1"/>
  <c r="D3916" i="1"/>
  <c r="D3915" i="1"/>
  <c r="D3914" i="1"/>
  <c r="D3913" i="1"/>
  <c r="D3912" i="1"/>
  <c r="D3911" i="1"/>
  <c r="D3910" i="1"/>
  <c r="D3909" i="1"/>
  <c r="D3908" i="1"/>
  <c r="D3907" i="1"/>
  <c r="D3906" i="1"/>
  <c r="D3905" i="1"/>
  <c r="D3904" i="1"/>
  <c r="D3903" i="1"/>
  <c r="D3902" i="1"/>
  <c r="D3901" i="1"/>
  <c r="D3900" i="1"/>
  <c r="D3899" i="1"/>
  <c r="D3898" i="1"/>
  <c r="D3897" i="1"/>
  <c r="D3896" i="1"/>
  <c r="D3895" i="1"/>
  <c r="D3894" i="1"/>
  <c r="D3893" i="1"/>
  <c r="D3892" i="1"/>
  <c r="D3891" i="1"/>
  <c r="D3890" i="1"/>
  <c r="D3889" i="1"/>
  <c r="D3888" i="1"/>
  <c r="D3887" i="1"/>
  <c r="D3886" i="1"/>
  <c r="D3885" i="1"/>
  <c r="D3884" i="1"/>
  <c r="D3883" i="1"/>
  <c r="D3882" i="1"/>
  <c r="D3881" i="1"/>
  <c r="D3880" i="1"/>
  <c r="D3879" i="1"/>
  <c r="D3878" i="1"/>
  <c r="D3877" i="1"/>
  <c r="D3876" i="1"/>
  <c r="D3875" i="1"/>
  <c r="D3872" i="1"/>
  <c r="D3871" i="1"/>
  <c r="D3870" i="1"/>
  <c r="D3869" i="1"/>
  <c r="D3868" i="1"/>
  <c r="D3867" i="1"/>
  <c r="D3866" i="1"/>
  <c r="D3865" i="1"/>
  <c r="D3864" i="1"/>
  <c r="D3863" i="1"/>
  <c r="D3861" i="1"/>
  <c r="D3860" i="1"/>
  <c r="D3859" i="1"/>
  <c r="D3858" i="1"/>
  <c r="D3857" i="1"/>
  <c r="D3856" i="1"/>
  <c r="D3855" i="1"/>
  <c r="D3854" i="1"/>
  <c r="D3853" i="1"/>
  <c r="D3852" i="1"/>
  <c r="D3851" i="1"/>
  <c r="D3850" i="1"/>
  <c r="D3849" i="1"/>
  <c r="D3848" i="1"/>
  <c r="D3847" i="1"/>
  <c r="D3846" i="1"/>
  <c r="D3845" i="1"/>
  <c r="D3844" i="1"/>
  <c r="D3843" i="1"/>
  <c r="D3842" i="1"/>
  <c r="D3841" i="1"/>
  <c r="D3840" i="1"/>
  <c r="D3839" i="1"/>
  <c r="D3838" i="1"/>
  <c r="D3837" i="1"/>
  <c r="D3836" i="1"/>
  <c r="D3835" i="1"/>
  <c r="D3834" i="1"/>
  <c r="D3833" i="1"/>
  <c r="D3832" i="1"/>
  <c r="D3831" i="1"/>
  <c r="D3830" i="1"/>
  <c r="D3829" i="1"/>
  <c r="D3828" i="1"/>
  <c r="D3826" i="1"/>
  <c r="D3825" i="1"/>
  <c r="D3823" i="1"/>
  <c r="D3822" i="1"/>
  <c r="D3821" i="1"/>
  <c r="D3820" i="1"/>
  <c r="D3819" i="1"/>
  <c r="D3818" i="1"/>
  <c r="D3817" i="1"/>
  <c r="D3816" i="1"/>
  <c r="D3815" i="1"/>
  <c r="D3814" i="1"/>
  <c r="D3813" i="1"/>
  <c r="D3812" i="1"/>
  <c r="D3811" i="1"/>
  <c r="D3810" i="1"/>
  <c r="D3809" i="1"/>
  <c r="D3808" i="1"/>
  <c r="D3807" i="1"/>
  <c r="D3806" i="1"/>
  <c r="D3805" i="1"/>
  <c r="D3804" i="1"/>
  <c r="D3803" i="1"/>
  <c r="D3802" i="1"/>
  <c r="D3801" i="1"/>
  <c r="D3800" i="1"/>
  <c r="D3799" i="1"/>
  <c r="D3798" i="1"/>
  <c r="D3797" i="1"/>
  <c r="D3796" i="1"/>
  <c r="D3795" i="1"/>
  <c r="D3794" i="1"/>
  <c r="D3793" i="1"/>
  <c r="D3792" i="1"/>
  <c r="D3791" i="1"/>
  <c r="D3790" i="1"/>
  <c r="D3789" i="1"/>
  <c r="D3788" i="1"/>
  <c r="D3787" i="1"/>
  <c r="D3786" i="1"/>
  <c r="D3785" i="1"/>
  <c r="D3784" i="1"/>
  <c r="D3783" i="1"/>
  <c r="D3782" i="1"/>
  <c r="D3781" i="1"/>
  <c r="D3780" i="1"/>
  <c r="D3779" i="1"/>
  <c r="D3778" i="1"/>
  <c r="D3777" i="1"/>
  <c r="D3776" i="1"/>
  <c r="D3775" i="1"/>
  <c r="D3774" i="1"/>
  <c r="D3773" i="1"/>
  <c r="D3772" i="1"/>
  <c r="D3771" i="1"/>
  <c r="D3770" i="1"/>
  <c r="D3769" i="1"/>
  <c r="D3768" i="1"/>
  <c r="D3767" i="1"/>
  <c r="D3765" i="1"/>
  <c r="D3764" i="1"/>
  <c r="D3763" i="1"/>
  <c r="D3762" i="1"/>
  <c r="D3761" i="1"/>
  <c r="D3760" i="1"/>
  <c r="D3758" i="1"/>
  <c r="D3757" i="1"/>
  <c r="D3755" i="1"/>
  <c r="D3754" i="1"/>
  <c r="D3753" i="1"/>
  <c r="D3752" i="1"/>
  <c r="D3750" i="1"/>
  <c r="D3749" i="1"/>
  <c r="D3748" i="1"/>
  <c r="D3746" i="1"/>
  <c r="D3745" i="1"/>
  <c r="D3744" i="1"/>
  <c r="D3741" i="1"/>
  <c r="D3740" i="1"/>
  <c r="D3738" i="1"/>
  <c r="D3736" i="1"/>
  <c r="D3735" i="1"/>
  <c r="D3734" i="1"/>
  <c r="D3732" i="1"/>
  <c r="D3730" i="1"/>
  <c r="D3729" i="1"/>
  <c r="D3728" i="1"/>
  <c r="D3727" i="1"/>
  <c r="D3726" i="1"/>
  <c r="D3725" i="1"/>
  <c r="D3724" i="1"/>
  <c r="D3723" i="1"/>
  <c r="D3722" i="1"/>
  <c r="D3721" i="1"/>
  <c r="D3720" i="1"/>
  <c r="D3719" i="1"/>
  <c r="D3718" i="1"/>
  <c r="D3717" i="1"/>
  <c r="D3716" i="1"/>
  <c r="D3714" i="1"/>
  <c r="D3713" i="1"/>
  <c r="D3712" i="1"/>
  <c r="D3711" i="1"/>
  <c r="D3710" i="1"/>
  <c r="D3709" i="1"/>
  <c r="D3708" i="1"/>
  <c r="D3707" i="1"/>
  <c r="D3706" i="1"/>
  <c r="D3705" i="1"/>
  <c r="D3704" i="1"/>
  <c r="D3703" i="1"/>
  <c r="D3702" i="1"/>
  <c r="D3701" i="1"/>
  <c r="D3700" i="1"/>
  <c r="D3699" i="1"/>
  <c r="D3698" i="1"/>
  <c r="D3697" i="1"/>
  <c r="D3696" i="1"/>
  <c r="D3693" i="1"/>
  <c r="D3690" i="1"/>
  <c r="D3688" i="1"/>
  <c r="D3687" i="1"/>
  <c r="D3686" i="1"/>
  <c r="D3685" i="1"/>
  <c r="D3684" i="1"/>
  <c r="D3683" i="1"/>
  <c r="D3681" i="1"/>
  <c r="D3680" i="1"/>
  <c r="D3679" i="1"/>
  <c r="D3678" i="1"/>
  <c r="D3677" i="1"/>
  <c r="D3676" i="1"/>
  <c r="D3674" i="1"/>
  <c r="D3673" i="1"/>
  <c r="D3672" i="1"/>
  <c r="D3671" i="1"/>
  <c r="D3670" i="1"/>
  <c r="D3668" i="1"/>
  <c r="D3665" i="1"/>
  <c r="D3664" i="1"/>
  <c r="D3663" i="1"/>
  <c r="D3662" i="1"/>
  <c r="D3661" i="1"/>
  <c r="D3659" i="1"/>
  <c r="D3658" i="1"/>
  <c r="D3657" i="1"/>
  <c r="D3656" i="1"/>
  <c r="D3655" i="1"/>
  <c r="D3654" i="1"/>
  <c r="D3653" i="1"/>
  <c r="D3652" i="1"/>
  <c r="D3651" i="1"/>
  <c r="D3650" i="1"/>
  <c r="D3649" i="1"/>
  <c r="D3648" i="1"/>
  <c r="D3647" i="1"/>
  <c r="D3646" i="1"/>
  <c r="D3645" i="1"/>
  <c r="D3644" i="1"/>
  <c r="D3643" i="1"/>
  <c r="D3642" i="1"/>
  <c r="D3641" i="1"/>
  <c r="D3640" i="1"/>
  <c r="D3639" i="1"/>
  <c r="D3638" i="1"/>
  <c r="D3637" i="1"/>
  <c r="D3636" i="1"/>
  <c r="D3635" i="1"/>
  <c r="D3634" i="1"/>
  <c r="D3633" i="1"/>
  <c r="D3632" i="1"/>
  <c r="D3631" i="1"/>
  <c r="D3630" i="1"/>
  <c r="D3629" i="1"/>
  <c r="D3628" i="1"/>
  <c r="D3627" i="1"/>
  <c r="D3626" i="1"/>
  <c r="D3625" i="1"/>
  <c r="D3624" i="1"/>
  <c r="D3623" i="1"/>
  <c r="D3622" i="1"/>
  <c r="D3621" i="1"/>
  <c r="D3620" i="1"/>
  <c r="D3619" i="1"/>
  <c r="D3618" i="1"/>
  <c r="D3617" i="1"/>
  <c r="D3616" i="1"/>
  <c r="D3615" i="1"/>
  <c r="D3614" i="1"/>
  <c r="D3613" i="1"/>
  <c r="D3612" i="1"/>
  <c r="D3611" i="1"/>
  <c r="D3610" i="1"/>
  <c r="D3609" i="1"/>
  <c r="D3608" i="1"/>
  <c r="D3607" i="1"/>
  <c r="D3606" i="1"/>
  <c r="D3605" i="1"/>
  <c r="D3604" i="1"/>
  <c r="D3603" i="1"/>
  <c r="D3602" i="1"/>
  <c r="D3601" i="1"/>
  <c r="D3600" i="1"/>
  <c r="D3599" i="1"/>
  <c r="D3598" i="1"/>
  <c r="D3597" i="1"/>
  <c r="D3595" i="1"/>
  <c r="D3594" i="1"/>
  <c r="D3593" i="1"/>
  <c r="D3592" i="1"/>
  <c r="D3591" i="1"/>
  <c r="D3590" i="1"/>
  <c r="D3589" i="1"/>
  <c r="D3588" i="1"/>
  <c r="D3587" i="1"/>
  <c r="D3586" i="1"/>
  <c r="D3585" i="1"/>
  <c r="D3584" i="1"/>
  <c r="D3583" i="1"/>
  <c r="D3582" i="1"/>
  <c r="D3581" i="1"/>
  <c r="D3580" i="1"/>
  <c r="D3579" i="1"/>
  <c r="D3578" i="1"/>
  <c r="D3577" i="1"/>
  <c r="D3576" i="1"/>
  <c r="D3575" i="1"/>
  <c r="D3574" i="1"/>
  <c r="D3573" i="1"/>
  <c r="D3572" i="1"/>
  <c r="D3571" i="1"/>
  <c r="D3570" i="1"/>
  <c r="D3569" i="1"/>
  <c r="D3568" i="1"/>
  <c r="D3567" i="1"/>
  <c r="D3566" i="1"/>
  <c r="D3565" i="1"/>
  <c r="D3564" i="1"/>
  <c r="D3563" i="1"/>
  <c r="D3561" i="1"/>
  <c r="D3560" i="1"/>
  <c r="D3558" i="1"/>
  <c r="D3557" i="1"/>
  <c r="D3556" i="1"/>
  <c r="D3555" i="1"/>
  <c r="D3554" i="1"/>
  <c r="D3553" i="1"/>
  <c r="D3552" i="1"/>
  <c r="D3551" i="1"/>
  <c r="D3550" i="1"/>
  <c r="D3549" i="1"/>
  <c r="D3546" i="1"/>
  <c r="D3545" i="1"/>
  <c r="D3541" i="1"/>
  <c r="D3540" i="1"/>
  <c r="D3539" i="1"/>
  <c r="D3538" i="1"/>
  <c r="D3537" i="1"/>
  <c r="D3536" i="1"/>
  <c r="D3535" i="1"/>
  <c r="D3534" i="1"/>
  <c r="D3533" i="1"/>
  <c r="D3532" i="1"/>
  <c r="D3531" i="1"/>
  <c r="D3530" i="1"/>
  <c r="D3529" i="1"/>
  <c r="D3528" i="1"/>
  <c r="D3527" i="1"/>
  <c r="D3526" i="1"/>
  <c r="D3525" i="1"/>
  <c r="D3524" i="1"/>
  <c r="D3523" i="1"/>
  <c r="D3522" i="1"/>
  <c r="D3521" i="1"/>
  <c r="D3520" i="1"/>
  <c r="D3519" i="1"/>
  <c r="D3518" i="1"/>
  <c r="D3517" i="1"/>
  <c r="D3516" i="1"/>
  <c r="D3515" i="1"/>
  <c r="D3514" i="1"/>
  <c r="D3513" i="1"/>
  <c r="D3512" i="1"/>
  <c r="D3511" i="1"/>
  <c r="D3510" i="1"/>
  <c r="D3509" i="1"/>
  <c r="D3508" i="1"/>
  <c r="D3507" i="1"/>
  <c r="D3506" i="1"/>
  <c r="D3505" i="1"/>
  <c r="D3504" i="1"/>
  <c r="D3503" i="1"/>
  <c r="D3502" i="1"/>
  <c r="D3501" i="1"/>
  <c r="D3500" i="1"/>
  <c r="D3499" i="1"/>
  <c r="D3498" i="1"/>
  <c r="D3496" i="1"/>
  <c r="D3495" i="1"/>
  <c r="D3494" i="1"/>
  <c r="D3493" i="1"/>
  <c r="D3492" i="1"/>
  <c r="D3491" i="1"/>
  <c r="D3490" i="1"/>
  <c r="D3489" i="1"/>
  <c r="D3488" i="1"/>
  <c r="D3487" i="1"/>
  <c r="D3486" i="1"/>
  <c r="D3485" i="1"/>
  <c r="D3484" i="1"/>
  <c r="D3483" i="1"/>
  <c r="D3482" i="1"/>
  <c r="D3481" i="1"/>
  <c r="D3480" i="1"/>
  <c r="D3479" i="1"/>
  <c r="D3478" i="1"/>
  <c r="D3477" i="1"/>
  <c r="D3476" i="1"/>
  <c r="D3475" i="1"/>
  <c r="D3474" i="1"/>
  <c r="D3473" i="1"/>
  <c r="D3472" i="1"/>
  <c r="D3471" i="1"/>
  <c r="D3470" i="1"/>
  <c r="D3469" i="1"/>
  <c r="D3468" i="1"/>
  <c r="D3467" i="1"/>
  <c r="D3465" i="1"/>
  <c r="D3464" i="1"/>
  <c r="D3463" i="1"/>
  <c r="D3462" i="1"/>
  <c r="D3461" i="1"/>
  <c r="D3460" i="1"/>
  <c r="D3459" i="1"/>
  <c r="D3458" i="1"/>
  <c r="D3457" i="1"/>
  <c r="D3456" i="1"/>
  <c r="D3455" i="1"/>
  <c r="D3453" i="1"/>
  <c r="D3452" i="1"/>
  <c r="D3451" i="1"/>
  <c r="D3450" i="1"/>
  <c r="D3449" i="1"/>
  <c r="D3448" i="1"/>
  <c r="D3447" i="1"/>
  <c r="D3446" i="1"/>
  <c r="D3445" i="1"/>
  <c r="D3444" i="1"/>
  <c r="D3443" i="1"/>
  <c r="D3442" i="1"/>
  <c r="D3440" i="1"/>
  <c r="D3439" i="1"/>
  <c r="D3438" i="1"/>
  <c r="D3437" i="1"/>
  <c r="D3436" i="1"/>
  <c r="D3435" i="1"/>
  <c r="D3434" i="1"/>
  <c r="D3433" i="1"/>
  <c r="D3432" i="1"/>
  <c r="D3431" i="1"/>
  <c r="D3430" i="1"/>
  <c r="D3429" i="1"/>
  <c r="D3428" i="1"/>
  <c r="D3426" i="1"/>
  <c r="D3425" i="1"/>
  <c r="D3424" i="1"/>
  <c r="D3423" i="1"/>
  <c r="D3422" i="1"/>
  <c r="D3421" i="1"/>
  <c r="D3420" i="1"/>
  <c r="D3419" i="1"/>
  <c r="D3418" i="1"/>
  <c r="D3417" i="1"/>
  <c r="D3416" i="1"/>
  <c r="D3415" i="1"/>
  <c r="D3414" i="1"/>
  <c r="D3412" i="1"/>
  <c r="D3411" i="1"/>
  <c r="D3410" i="1"/>
  <c r="D3409" i="1"/>
  <c r="D3408" i="1"/>
  <c r="D3407" i="1"/>
  <c r="D3406" i="1"/>
  <c r="D3405" i="1"/>
  <c r="D3404" i="1"/>
  <c r="D3403" i="1"/>
  <c r="D3402" i="1"/>
  <c r="D3401" i="1"/>
  <c r="D3400" i="1"/>
  <c r="D3399" i="1"/>
  <c r="D3398" i="1"/>
  <c r="D3397" i="1"/>
  <c r="D3396" i="1"/>
  <c r="D3395" i="1"/>
  <c r="D3394" i="1"/>
  <c r="D3393" i="1"/>
  <c r="D3392" i="1"/>
  <c r="D3391" i="1"/>
  <c r="D3390" i="1"/>
  <c r="D3389" i="1"/>
  <c r="D3388" i="1"/>
  <c r="D3387" i="1"/>
  <c r="D3386" i="1"/>
  <c r="D3385" i="1"/>
  <c r="D3384" i="1"/>
  <c r="D3383" i="1"/>
  <c r="D3382" i="1"/>
  <c r="D3381" i="1"/>
  <c r="D3380" i="1"/>
  <c r="D3379" i="1"/>
  <c r="D3378" i="1"/>
  <c r="D3377" i="1"/>
  <c r="D3376" i="1"/>
  <c r="D3375" i="1"/>
  <c r="D3374" i="1"/>
  <c r="D3373" i="1"/>
  <c r="D3372" i="1"/>
  <c r="D3371" i="1"/>
  <c r="D3370" i="1"/>
  <c r="D3369" i="1"/>
  <c r="D3368" i="1"/>
  <c r="D3367" i="1"/>
  <c r="D3366" i="1"/>
  <c r="D3365" i="1"/>
  <c r="D3364" i="1"/>
  <c r="D3363" i="1"/>
  <c r="D3362" i="1"/>
  <c r="D3361" i="1"/>
  <c r="D3360" i="1"/>
  <c r="D3359" i="1"/>
  <c r="D3358" i="1"/>
  <c r="D3357" i="1"/>
  <c r="D3356" i="1"/>
  <c r="D3355" i="1"/>
  <c r="D3354" i="1"/>
  <c r="D3353" i="1"/>
  <c r="D3352" i="1"/>
  <c r="D3351" i="1"/>
  <c r="D3350" i="1"/>
  <c r="D3349" i="1"/>
  <c r="D3348" i="1"/>
  <c r="D3347" i="1"/>
  <c r="D3346" i="1"/>
  <c r="D3345" i="1"/>
  <c r="D3344" i="1"/>
  <c r="D3343" i="1"/>
  <c r="D3342" i="1"/>
  <c r="D3341" i="1"/>
  <c r="D3340" i="1"/>
  <c r="D3339" i="1"/>
  <c r="D3338" i="1"/>
  <c r="D3337" i="1"/>
  <c r="D3336" i="1"/>
  <c r="D3335" i="1"/>
  <c r="D3334" i="1"/>
  <c r="D3333" i="1"/>
  <c r="D3332" i="1"/>
  <c r="D3331" i="1"/>
  <c r="D3330" i="1"/>
  <c r="D3329" i="1"/>
  <c r="D3328" i="1"/>
  <c r="D3327" i="1"/>
  <c r="D3326" i="1"/>
  <c r="D3325" i="1"/>
  <c r="D3324" i="1"/>
  <c r="D3323" i="1"/>
  <c r="D3322" i="1"/>
  <c r="D3321" i="1"/>
  <c r="D3320" i="1"/>
  <c r="D3319" i="1"/>
  <c r="D3318" i="1"/>
  <c r="D3317" i="1"/>
  <c r="D3316" i="1"/>
  <c r="D3315" i="1"/>
  <c r="D3314" i="1"/>
  <c r="D3313" i="1"/>
  <c r="D3312" i="1"/>
  <c r="D3311" i="1"/>
  <c r="D3310" i="1"/>
  <c r="D3309" i="1"/>
  <c r="D3308" i="1"/>
  <c r="D3307" i="1"/>
  <c r="D3306" i="1"/>
  <c r="D3304" i="1"/>
  <c r="D3303" i="1"/>
  <c r="D3302" i="1"/>
  <c r="D3301" i="1"/>
  <c r="D3300" i="1"/>
  <c r="D3299" i="1"/>
  <c r="D3298" i="1"/>
  <c r="D3297" i="1"/>
  <c r="D3296" i="1"/>
  <c r="D3295" i="1"/>
  <c r="D3294" i="1"/>
  <c r="D3293" i="1"/>
  <c r="D3292" i="1"/>
  <c r="D3290" i="1"/>
  <c r="D3289" i="1"/>
  <c r="D3288" i="1"/>
  <c r="D3287" i="1"/>
  <c r="D3286" i="1"/>
  <c r="D3284" i="1"/>
  <c r="D3283" i="1"/>
  <c r="D3282" i="1"/>
  <c r="D3281" i="1"/>
  <c r="D3280" i="1"/>
  <c r="D3279" i="1"/>
  <c r="D3278" i="1"/>
  <c r="D3277" i="1"/>
  <c r="D3276" i="1"/>
  <c r="D3275" i="1"/>
  <c r="D3274" i="1"/>
  <c r="D3273" i="1"/>
  <c r="D3272" i="1"/>
  <c r="D3271" i="1"/>
  <c r="D3270" i="1"/>
  <c r="D3269" i="1"/>
  <c r="D3268" i="1"/>
  <c r="D3266" i="1"/>
  <c r="D3265" i="1"/>
  <c r="D3264" i="1"/>
  <c r="D3263" i="1"/>
  <c r="D3259" i="1"/>
  <c r="D3258" i="1"/>
  <c r="D3255" i="1"/>
  <c r="D3254" i="1"/>
  <c r="D3253" i="1"/>
  <c r="D3252" i="1"/>
  <c r="D3251" i="1"/>
  <c r="D3250" i="1"/>
  <c r="D3249" i="1"/>
  <c r="D3248" i="1"/>
  <c r="D3247" i="1"/>
  <c r="D3246" i="1"/>
  <c r="D3245" i="1"/>
  <c r="D3244" i="1"/>
  <c r="D3243" i="1"/>
  <c r="D3242" i="1"/>
  <c r="D3241" i="1"/>
  <c r="D3240" i="1"/>
  <c r="D3239" i="1"/>
  <c r="D3238" i="1"/>
  <c r="D3237" i="1"/>
  <c r="D3236" i="1"/>
  <c r="D3235" i="1"/>
  <c r="D3234" i="1"/>
  <c r="D3233" i="1"/>
  <c r="D3232" i="1"/>
  <c r="D3231" i="1"/>
  <c r="D3230" i="1"/>
  <c r="D3229" i="1"/>
  <c r="D3228" i="1"/>
  <c r="D3227" i="1"/>
  <c r="D3226" i="1"/>
  <c r="D3225" i="1"/>
  <c r="D3224" i="1"/>
  <c r="D3223" i="1"/>
  <c r="D3222" i="1"/>
  <c r="D3221" i="1"/>
  <c r="D3220" i="1"/>
  <c r="D3219" i="1"/>
  <c r="D3218" i="1"/>
  <c r="D3217" i="1"/>
  <c r="D3216" i="1"/>
  <c r="D3215" i="1"/>
  <c r="D3214" i="1"/>
  <c r="D3213" i="1"/>
  <c r="D3212" i="1"/>
  <c r="D3211" i="1"/>
  <c r="D3210" i="1"/>
  <c r="D3209" i="1"/>
  <c r="D3208" i="1"/>
  <c r="D3207" i="1"/>
  <c r="D3206" i="1"/>
  <c r="D3205" i="1"/>
  <c r="D3204" i="1"/>
  <c r="D3203" i="1"/>
  <c r="D3202" i="1"/>
  <c r="D3201" i="1"/>
  <c r="D3200" i="1"/>
  <c r="D3199" i="1"/>
  <c r="D3198" i="1"/>
  <c r="D3197" i="1"/>
  <c r="D3196" i="1"/>
  <c r="D3195" i="1"/>
  <c r="D3194" i="1"/>
  <c r="D3193" i="1"/>
  <c r="D3192" i="1"/>
  <c r="D3191" i="1"/>
  <c r="D3190" i="1"/>
  <c r="D3189" i="1"/>
  <c r="D3188" i="1"/>
  <c r="D3187" i="1"/>
  <c r="D3186" i="1"/>
  <c r="D3185" i="1"/>
  <c r="D3184" i="1"/>
  <c r="D3183" i="1"/>
  <c r="D3182" i="1"/>
  <c r="D3181" i="1"/>
  <c r="D3180" i="1"/>
  <c r="D3179" i="1"/>
  <c r="D3178" i="1"/>
  <c r="D3177" i="1"/>
  <c r="D3176" i="1"/>
  <c r="D3175" i="1"/>
  <c r="D3174" i="1"/>
  <c r="D3173" i="1"/>
  <c r="D3172" i="1"/>
  <c r="D3171" i="1"/>
  <c r="D3170" i="1"/>
  <c r="D3169" i="1"/>
  <c r="D3168" i="1"/>
  <c r="D3167" i="1"/>
  <c r="D3166" i="1"/>
  <c r="D3165" i="1"/>
  <c r="D3164" i="1"/>
  <c r="D3163" i="1"/>
  <c r="D3162" i="1"/>
  <c r="D3161" i="1"/>
  <c r="D3160" i="1"/>
  <c r="D3159" i="1"/>
  <c r="D3158" i="1"/>
  <c r="D3157" i="1"/>
  <c r="D3156" i="1"/>
  <c r="D3155" i="1"/>
  <c r="D3154" i="1"/>
  <c r="D3153" i="1"/>
  <c r="D3152" i="1"/>
  <c r="D3151" i="1"/>
  <c r="D3150" i="1"/>
  <c r="D3149" i="1"/>
  <c r="D3148" i="1"/>
  <c r="D3147" i="1"/>
  <c r="D3146" i="1"/>
  <c r="D3145" i="1"/>
  <c r="D3143" i="1"/>
  <c r="D3142" i="1"/>
  <c r="D3141" i="1"/>
  <c r="D3140" i="1"/>
  <c r="D3139" i="1"/>
  <c r="D3138" i="1"/>
  <c r="D3137" i="1"/>
  <c r="D3136" i="1"/>
  <c r="D3135" i="1"/>
  <c r="D3134" i="1"/>
  <c r="D3133" i="1"/>
  <c r="D3132" i="1"/>
  <c r="D3131" i="1"/>
  <c r="D3130" i="1"/>
  <c r="D3129" i="1"/>
  <c r="D3128" i="1"/>
  <c r="D3127" i="1"/>
  <c r="D3126" i="1"/>
  <c r="D3125" i="1"/>
  <c r="D3124" i="1"/>
  <c r="D3123" i="1"/>
  <c r="D3122" i="1"/>
  <c r="D3121" i="1"/>
  <c r="D3120" i="1"/>
  <c r="D3119" i="1"/>
  <c r="D3118" i="1"/>
  <c r="D3117" i="1"/>
  <c r="D3116" i="1"/>
  <c r="D3115" i="1"/>
  <c r="D3114" i="1"/>
  <c r="D3113" i="1"/>
  <c r="D3112" i="1"/>
  <c r="D3111" i="1"/>
  <c r="D3110" i="1"/>
  <c r="D3109" i="1"/>
  <c r="D3108" i="1"/>
  <c r="D3107" i="1"/>
  <c r="D3106" i="1"/>
  <c r="D3105" i="1"/>
  <c r="D3104" i="1"/>
  <c r="D3103" i="1"/>
  <c r="D3102" i="1"/>
  <c r="D3101" i="1"/>
  <c r="D3100" i="1"/>
  <c r="D3099" i="1"/>
  <c r="D3098" i="1"/>
  <c r="D3097" i="1"/>
  <c r="D3096" i="1"/>
  <c r="D3095" i="1"/>
  <c r="D3094" i="1"/>
  <c r="D3093" i="1"/>
  <c r="D3092" i="1"/>
  <c r="D3091" i="1"/>
  <c r="D3090" i="1"/>
  <c r="D3089" i="1"/>
  <c r="D3088" i="1"/>
  <c r="D3087" i="1"/>
  <c r="D3086" i="1"/>
  <c r="D3085" i="1"/>
  <c r="D3084" i="1"/>
  <c r="D3083" i="1"/>
  <c r="D3082" i="1"/>
  <c r="D3081" i="1"/>
  <c r="D3080" i="1"/>
  <c r="D3079" i="1"/>
  <c r="D3078" i="1"/>
  <c r="D3077" i="1"/>
  <c r="D3076" i="1"/>
  <c r="D3075" i="1"/>
  <c r="D3074" i="1"/>
  <c r="D3073" i="1"/>
  <c r="D3072" i="1"/>
  <c r="D3071" i="1"/>
  <c r="D3070" i="1"/>
  <c r="D3069" i="1"/>
  <c r="D3068" i="1"/>
  <c r="D3067" i="1"/>
  <c r="D3066" i="1"/>
  <c r="D3065" i="1"/>
  <c r="D3064" i="1"/>
  <c r="D3063" i="1"/>
  <c r="D3062" i="1"/>
  <c r="D3061" i="1"/>
  <c r="D3060" i="1"/>
  <c r="D3059" i="1"/>
  <c r="D3058" i="1"/>
  <c r="D3057" i="1"/>
  <c r="D3056" i="1"/>
  <c r="D3055" i="1"/>
  <c r="D3054" i="1"/>
  <c r="D3053" i="1"/>
  <c r="D3052" i="1"/>
  <c r="D3051" i="1"/>
  <c r="D3050" i="1"/>
  <c r="D3049" i="1"/>
  <c r="D3048" i="1"/>
  <c r="D3047" i="1"/>
  <c r="D3046" i="1"/>
  <c r="D3045" i="1"/>
  <c r="D3044" i="1"/>
  <c r="D3043" i="1"/>
  <c r="D3042" i="1"/>
  <c r="D3041" i="1"/>
  <c r="D3040" i="1"/>
  <c r="D3039" i="1"/>
  <c r="D3038" i="1"/>
  <c r="D3037" i="1"/>
  <c r="D3036" i="1"/>
  <c r="D3035" i="1"/>
  <c r="D3034" i="1"/>
  <c r="D3033" i="1"/>
  <c r="D3032" i="1"/>
  <c r="D3031" i="1"/>
  <c r="D3030" i="1"/>
  <c r="D3029" i="1"/>
  <c r="D3028" i="1"/>
  <c r="D3027" i="1"/>
  <c r="D3026" i="1"/>
  <c r="D3025" i="1"/>
  <c r="D3024" i="1"/>
  <c r="D3023" i="1"/>
  <c r="D3022" i="1"/>
  <c r="D3021" i="1"/>
  <c r="D3020" i="1"/>
  <c r="D3019" i="1"/>
  <c r="D3018" i="1"/>
  <c r="D3017" i="1"/>
  <c r="D3016" i="1"/>
  <c r="D3015" i="1"/>
  <c r="D3014" i="1"/>
  <c r="D3013" i="1"/>
  <c r="D3012" i="1"/>
  <c r="D3011" i="1"/>
  <c r="D3010" i="1"/>
  <c r="D3009" i="1"/>
  <c r="D3008" i="1"/>
  <c r="D3007" i="1"/>
  <c r="D3006" i="1"/>
  <c r="D3005" i="1"/>
  <c r="D3004" i="1"/>
  <c r="D3003" i="1"/>
  <c r="D3002" i="1"/>
  <c r="D3001" i="1"/>
  <c r="D3000" i="1"/>
  <c r="D2998" i="1"/>
  <c r="D2997" i="1"/>
  <c r="D2996" i="1"/>
  <c r="D2995" i="1"/>
  <c r="D2994" i="1"/>
  <c r="D2993" i="1"/>
  <c r="D2992" i="1"/>
  <c r="D2991" i="1"/>
  <c r="D2990" i="1"/>
  <c r="D2989" i="1"/>
  <c r="D2988" i="1"/>
  <c r="D2987" i="1"/>
  <c r="D2986" i="1"/>
  <c r="D2985" i="1"/>
  <c r="D2984" i="1"/>
  <c r="D2983" i="1"/>
  <c r="D2982" i="1"/>
  <c r="D2981" i="1"/>
  <c r="D2980" i="1"/>
  <c r="D2979" i="1"/>
  <c r="D2978" i="1"/>
  <c r="D2977" i="1"/>
  <c r="D2976" i="1"/>
  <c r="D2975" i="1"/>
  <c r="D2974" i="1"/>
  <c r="D2973" i="1"/>
  <c r="D2972" i="1"/>
  <c r="D2971" i="1"/>
  <c r="D2970" i="1"/>
  <c r="D2969" i="1"/>
  <c r="D2968" i="1"/>
  <c r="D2967" i="1"/>
  <c r="D2966" i="1"/>
  <c r="D2965" i="1"/>
  <c r="D2964" i="1"/>
  <c r="D2963" i="1"/>
  <c r="D2962" i="1"/>
  <c r="D2961" i="1"/>
  <c r="D2960" i="1"/>
  <c r="D2959" i="1"/>
  <c r="D2958" i="1"/>
  <c r="D2957" i="1"/>
  <c r="D2956" i="1"/>
  <c r="D2955" i="1"/>
  <c r="D2954" i="1"/>
  <c r="D2953" i="1"/>
  <c r="D2952" i="1"/>
  <c r="D2951" i="1"/>
  <c r="D2950" i="1"/>
  <c r="D2949" i="1"/>
  <c r="D2948" i="1"/>
  <c r="D2946" i="1"/>
  <c r="D2945" i="1"/>
  <c r="D2944" i="1"/>
  <c r="D2943" i="1"/>
  <c r="D2942" i="1"/>
  <c r="D2941" i="1"/>
  <c r="D2940" i="1"/>
  <c r="D2939" i="1"/>
  <c r="D2938" i="1"/>
  <c r="D2937" i="1"/>
  <c r="D2936" i="1"/>
  <c r="D2935" i="1"/>
  <c r="D2934" i="1"/>
  <c r="D2933" i="1"/>
  <c r="D2932" i="1"/>
  <c r="D2931" i="1"/>
  <c r="D2928" i="1"/>
  <c r="D2926" i="1"/>
  <c r="D2925" i="1"/>
  <c r="D2924" i="1"/>
  <c r="D2923" i="1"/>
  <c r="D2922" i="1"/>
  <c r="D2921" i="1"/>
  <c r="D2920" i="1"/>
  <c r="D2919" i="1"/>
  <c r="D2918" i="1"/>
  <c r="D2917" i="1"/>
  <c r="D2916" i="1"/>
  <c r="D2915" i="1"/>
  <c r="D2914" i="1"/>
  <c r="D2913" i="1"/>
  <c r="D2912" i="1"/>
  <c r="D2911" i="1"/>
  <c r="D2910" i="1"/>
  <c r="D2909" i="1"/>
  <c r="D2908" i="1"/>
  <c r="D2907" i="1"/>
  <c r="D2906" i="1"/>
  <c r="D2905" i="1"/>
  <c r="D2904" i="1"/>
  <c r="D2903" i="1"/>
  <c r="D2902" i="1"/>
  <c r="D2901" i="1"/>
  <c r="D2900" i="1"/>
  <c r="D2899" i="1"/>
  <c r="D2897" i="1"/>
  <c r="D2896" i="1"/>
  <c r="D2895" i="1"/>
  <c r="D2894" i="1"/>
  <c r="D2893" i="1"/>
  <c r="D2892" i="1"/>
  <c r="D2891" i="1"/>
  <c r="D2890" i="1"/>
  <c r="D2889" i="1"/>
  <c r="D2888" i="1"/>
  <c r="D2887" i="1"/>
  <c r="D2886" i="1"/>
  <c r="D2885" i="1"/>
  <c r="D2884" i="1"/>
  <c r="D2883" i="1"/>
  <c r="D2881" i="1"/>
  <c r="D2880" i="1"/>
  <c r="D2879" i="1"/>
  <c r="D2878" i="1"/>
  <c r="D2877" i="1"/>
  <c r="D2876" i="1"/>
  <c r="D2875" i="1"/>
  <c r="D2874" i="1"/>
  <c r="D2873" i="1"/>
  <c r="D2872" i="1"/>
  <c r="D2871" i="1"/>
  <c r="D2870" i="1"/>
  <c r="D2869" i="1"/>
  <c r="D2868" i="1"/>
  <c r="D2867" i="1"/>
  <c r="D2866" i="1"/>
  <c r="D2865" i="1"/>
  <c r="D2864" i="1"/>
  <c r="D2863" i="1"/>
  <c r="D2862" i="1"/>
  <c r="D2861" i="1"/>
  <c r="D2860" i="1"/>
  <c r="D2859" i="1"/>
  <c r="D2858" i="1"/>
  <c r="D2857" i="1"/>
  <c r="D2856" i="1"/>
  <c r="D2855" i="1"/>
  <c r="D2854" i="1"/>
  <c r="D2853" i="1"/>
  <c r="D2852" i="1"/>
  <c r="D2851" i="1"/>
  <c r="D2850" i="1"/>
  <c r="D2849" i="1"/>
  <c r="D2848" i="1"/>
  <c r="D2846" i="1"/>
  <c r="D2845" i="1"/>
  <c r="D2842" i="1"/>
  <c r="D2840" i="1"/>
  <c r="D2839" i="1"/>
  <c r="D2838" i="1"/>
  <c r="D2835" i="1"/>
  <c r="D2834" i="1"/>
  <c r="D2833" i="1"/>
  <c r="D2832" i="1"/>
  <c r="D2831" i="1"/>
  <c r="D2830" i="1"/>
  <c r="D2829" i="1"/>
  <c r="D2828" i="1"/>
  <c r="D2827" i="1"/>
  <c r="D2826" i="1"/>
  <c r="D2825" i="1"/>
  <c r="D2824" i="1"/>
  <c r="D2823" i="1"/>
  <c r="D2822" i="1"/>
  <c r="D2821" i="1"/>
  <c r="D2820" i="1"/>
  <c r="D2819" i="1"/>
  <c r="D2818" i="1"/>
  <c r="D2817" i="1"/>
  <c r="D2816" i="1"/>
  <c r="D2815" i="1"/>
  <c r="D2814" i="1"/>
  <c r="D2813" i="1"/>
  <c r="D2812" i="1"/>
  <c r="D2811" i="1"/>
  <c r="D2810" i="1"/>
  <c r="D2809" i="1"/>
  <c r="D2808" i="1"/>
  <c r="D2807" i="1"/>
  <c r="D2806" i="1"/>
  <c r="D2805" i="1"/>
  <c r="D2804" i="1"/>
  <c r="D2803" i="1"/>
  <c r="D2802" i="1"/>
  <c r="D2801" i="1"/>
  <c r="D2800" i="1"/>
  <c r="D2799" i="1"/>
  <c r="D2798" i="1"/>
  <c r="D2797" i="1"/>
  <c r="D2796" i="1"/>
  <c r="D2795" i="1"/>
  <c r="D2794" i="1"/>
  <c r="D2793" i="1"/>
  <c r="D2792" i="1"/>
  <c r="D2791" i="1"/>
  <c r="D2790" i="1"/>
  <c r="D2789" i="1"/>
  <c r="D2788" i="1"/>
  <c r="D2787" i="1"/>
  <c r="D2786" i="1"/>
  <c r="D2785" i="1"/>
  <c r="D2784" i="1"/>
  <c r="D2783" i="1"/>
  <c r="D2782" i="1"/>
  <c r="D2781" i="1"/>
  <c r="D2780" i="1"/>
  <c r="D2779" i="1"/>
  <c r="D2778" i="1"/>
  <c r="D2777" i="1"/>
  <c r="D2776" i="1"/>
  <c r="D2775" i="1"/>
  <c r="D2774" i="1"/>
  <c r="D2773" i="1"/>
  <c r="D2772" i="1"/>
  <c r="D2771" i="1"/>
  <c r="D2770" i="1"/>
  <c r="D2769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6" i="1"/>
  <c r="D2755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1" i="1"/>
  <c r="D2740" i="1"/>
  <c r="D2739" i="1"/>
  <c r="D2738" i="1"/>
  <c r="D2737" i="1"/>
  <c r="D2736" i="1"/>
  <c r="D2735" i="1"/>
  <c r="D2734" i="1"/>
  <c r="D2733" i="1"/>
  <c r="D2732" i="1"/>
  <c r="D2730" i="1"/>
  <c r="D2729" i="1"/>
  <c r="D2727" i="1"/>
  <c r="D2726" i="1"/>
  <c r="D2725" i="1"/>
  <c r="D2724" i="1"/>
  <c r="D2723" i="1"/>
  <c r="D2721" i="1"/>
  <c r="D2720" i="1"/>
  <c r="D2719" i="1"/>
  <c r="D2718" i="1"/>
  <c r="D2717" i="1"/>
  <c r="D2716" i="1"/>
  <c r="D2715" i="1"/>
  <c r="D2714" i="1"/>
  <c r="D2713" i="1"/>
  <c r="D2712" i="1"/>
  <c r="D2711" i="1"/>
  <c r="D2710" i="1"/>
  <c r="D2709" i="1"/>
  <c r="D2708" i="1"/>
  <c r="D2707" i="1"/>
  <c r="D2706" i="1"/>
  <c r="D2705" i="1"/>
  <c r="D2704" i="1"/>
  <c r="D2703" i="1"/>
  <c r="D2702" i="1"/>
  <c r="D2701" i="1"/>
  <c r="D2700" i="1"/>
  <c r="D2699" i="1"/>
  <c r="D2698" i="1"/>
  <c r="D2697" i="1"/>
  <c r="D2696" i="1"/>
  <c r="D2695" i="1"/>
  <c r="D2694" i="1"/>
  <c r="D2693" i="1"/>
  <c r="D2692" i="1"/>
  <c r="D2691" i="1"/>
  <c r="D2690" i="1"/>
  <c r="D2689" i="1"/>
  <c r="D2688" i="1"/>
  <c r="D2687" i="1"/>
  <c r="D2686" i="1"/>
  <c r="D2685" i="1"/>
  <c r="D2684" i="1"/>
  <c r="D2683" i="1"/>
  <c r="D2682" i="1"/>
  <c r="D2681" i="1"/>
  <c r="D2680" i="1"/>
  <c r="D2679" i="1"/>
  <c r="D2678" i="1"/>
  <c r="D2677" i="1"/>
  <c r="D2676" i="1"/>
  <c r="D2675" i="1"/>
  <c r="D2674" i="1"/>
  <c r="D2673" i="1"/>
  <c r="D2672" i="1"/>
  <c r="D2671" i="1"/>
  <c r="D2670" i="1"/>
  <c r="D2669" i="1"/>
  <c r="D2668" i="1"/>
  <c r="D2667" i="1"/>
  <c r="D2666" i="1"/>
  <c r="D2665" i="1"/>
  <c r="D2664" i="1"/>
  <c r="D2663" i="1"/>
  <c r="D2662" i="1"/>
  <c r="D2661" i="1"/>
  <c r="D2660" i="1"/>
  <c r="D2659" i="1"/>
  <c r="D2658" i="1"/>
  <c r="D2657" i="1"/>
  <c r="D2656" i="1"/>
  <c r="D2655" i="1"/>
  <c r="D2654" i="1"/>
  <c r="D2653" i="1"/>
  <c r="D2652" i="1"/>
  <c r="D2651" i="1"/>
  <c r="D2650" i="1"/>
  <c r="D2649" i="1"/>
  <c r="D2648" i="1"/>
  <c r="D2647" i="1"/>
  <c r="D2646" i="1"/>
  <c r="D2645" i="1"/>
  <c r="D2644" i="1"/>
  <c r="D2643" i="1"/>
  <c r="D2642" i="1"/>
  <c r="D2641" i="1"/>
  <c r="D2640" i="1"/>
  <c r="D2639" i="1"/>
  <c r="D2638" i="1"/>
  <c r="D2637" i="1"/>
  <c r="D2636" i="1"/>
  <c r="D2635" i="1"/>
  <c r="D2634" i="1"/>
  <c r="D2633" i="1"/>
  <c r="D2631" i="1"/>
  <c r="D2630" i="1"/>
  <c r="D2629" i="1"/>
  <c r="D2628" i="1"/>
  <c r="D2627" i="1"/>
  <c r="D2625" i="1"/>
  <c r="D2624" i="1"/>
  <c r="D2623" i="1"/>
  <c r="D2622" i="1"/>
  <c r="D2621" i="1"/>
  <c r="D2620" i="1"/>
  <c r="D2619" i="1"/>
  <c r="D2617" i="1"/>
  <c r="D2616" i="1"/>
  <c r="D2615" i="1"/>
  <c r="D2614" i="1"/>
  <c r="D2613" i="1"/>
  <c r="D2612" i="1"/>
  <c r="D2611" i="1"/>
  <c r="D2610" i="1"/>
  <c r="D2609" i="1"/>
  <c r="D2608" i="1"/>
  <c r="D2607" i="1"/>
  <c r="D2606" i="1"/>
  <c r="D2605" i="1"/>
  <c r="D2604" i="1"/>
  <c r="D2603" i="1"/>
  <c r="D2602" i="1"/>
  <c r="D2601" i="1"/>
  <c r="D2600" i="1"/>
  <c r="D2599" i="1"/>
  <c r="D2598" i="1"/>
  <c r="D2597" i="1"/>
  <c r="D2596" i="1"/>
  <c r="D2594" i="1"/>
  <c r="D2593" i="1"/>
  <c r="D2592" i="1"/>
  <c r="D2591" i="1"/>
  <c r="D2590" i="1"/>
  <c r="D2589" i="1"/>
  <c r="D2588" i="1"/>
  <c r="D2587" i="1"/>
  <c r="D2586" i="1"/>
  <c r="D2585" i="1"/>
  <c r="D2584" i="1"/>
  <c r="D2583" i="1"/>
  <c r="D2582" i="1"/>
  <c r="D2581" i="1"/>
  <c r="D2580" i="1"/>
  <c r="D2579" i="1"/>
  <c r="D2578" i="1"/>
  <c r="D2577" i="1"/>
  <c r="D2576" i="1"/>
  <c r="D2575" i="1"/>
  <c r="D2574" i="1"/>
  <c r="D2573" i="1"/>
  <c r="D2572" i="1"/>
  <c r="D2571" i="1"/>
  <c r="D2570" i="1"/>
  <c r="D2569" i="1"/>
  <c r="D2568" i="1"/>
  <c r="D2567" i="1"/>
  <c r="D2566" i="1"/>
  <c r="D2565" i="1"/>
  <c r="D2564" i="1"/>
  <c r="D2563" i="1"/>
  <c r="D2562" i="1"/>
  <c r="D2561" i="1"/>
  <c r="D2560" i="1"/>
  <c r="D2559" i="1"/>
  <c r="D2558" i="1"/>
  <c r="D2557" i="1"/>
  <c r="D2556" i="1"/>
  <c r="D2555" i="1"/>
  <c r="D2554" i="1"/>
  <c r="D2553" i="1"/>
  <c r="D2552" i="1"/>
  <c r="D2551" i="1"/>
  <c r="D2550" i="1"/>
  <c r="D2549" i="1"/>
  <c r="D2548" i="1"/>
  <c r="D2547" i="1"/>
  <c r="D2546" i="1"/>
  <c r="D2545" i="1"/>
  <c r="D2544" i="1"/>
  <c r="D2543" i="1"/>
  <c r="D2542" i="1"/>
  <c r="D2541" i="1"/>
  <c r="D2540" i="1"/>
  <c r="D2539" i="1"/>
  <c r="D2538" i="1"/>
  <c r="D2537" i="1"/>
  <c r="D2536" i="1"/>
  <c r="D2535" i="1"/>
  <c r="D2534" i="1"/>
  <c r="D2533" i="1"/>
  <c r="D2532" i="1"/>
  <c r="D2531" i="1"/>
  <c r="D2530" i="1"/>
  <c r="D2529" i="1"/>
  <c r="D2528" i="1"/>
  <c r="D2527" i="1"/>
  <c r="D2526" i="1"/>
  <c r="D2525" i="1"/>
  <c r="D2524" i="1"/>
  <c r="D2523" i="1"/>
  <c r="D2522" i="1"/>
  <c r="D2521" i="1"/>
  <c r="D2520" i="1"/>
  <c r="D2519" i="1"/>
  <c r="D2518" i="1"/>
  <c r="D2517" i="1"/>
  <c r="D2516" i="1"/>
  <c r="D2515" i="1"/>
  <c r="D2514" i="1"/>
  <c r="D2513" i="1"/>
  <c r="D2512" i="1"/>
  <c r="D2511" i="1"/>
  <c r="D2510" i="1"/>
  <c r="D2509" i="1"/>
  <c r="D2508" i="1"/>
  <c r="D2507" i="1"/>
  <c r="D2506" i="1"/>
  <c r="D2505" i="1"/>
  <c r="D2504" i="1"/>
  <c r="D2503" i="1"/>
  <c r="D2502" i="1"/>
  <c r="D2501" i="1"/>
  <c r="D2500" i="1"/>
  <c r="D2499" i="1"/>
  <c r="D2498" i="1"/>
  <c r="D2497" i="1"/>
  <c r="D2496" i="1"/>
  <c r="D2495" i="1"/>
  <c r="D2494" i="1"/>
  <c r="D2493" i="1"/>
  <c r="D2492" i="1"/>
  <c r="D2491" i="1"/>
  <c r="D2490" i="1"/>
  <c r="D2489" i="1"/>
  <c r="D2488" i="1"/>
  <c r="D2487" i="1"/>
  <c r="D2486" i="1"/>
  <c r="D2485" i="1"/>
  <c r="D2484" i="1"/>
  <c r="D2483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70" i="1"/>
  <c r="D2469" i="1"/>
  <c r="D2468" i="1"/>
  <c r="D2467" i="1"/>
  <c r="D2466" i="1"/>
  <c r="D2465" i="1"/>
  <c r="D2464" i="1"/>
  <c r="D2463" i="1"/>
  <c r="D2462" i="1"/>
  <c r="D2461" i="1"/>
  <c r="D2460" i="1"/>
  <c r="D2459" i="1"/>
  <c r="D2458" i="1"/>
  <c r="D2457" i="1"/>
  <c r="D2456" i="1"/>
  <c r="D2455" i="1"/>
  <c r="D2454" i="1"/>
  <c r="D2453" i="1"/>
  <c r="D2451" i="1"/>
  <c r="D2450" i="1"/>
  <c r="D2449" i="1"/>
  <c r="D2448" i="1"/>
  <c r="D2447" i="1"/>
  <c r="D2446" i="1"/>
  <c r="D2445" i="1"/>
  <c r="D2444" i="1"/>
  <c r="D2443" i="1"/>
  <c r="D2442" i="1"/>
  <c r="D2441" i="1"/>
  <c r="D2440" i="1"/>
  <c r="D2439" i="1"/>
  <c r="D2438" i="1"/>
  <c r="D2437" i="1"/>
  <c r="D2436" i="1"/>
  <c r="D2435" i="1"/>
  <c r="D2433" i="1"/>
  <c r="D2432" i="1"/>
  <c r="D2431" i="1"/>
  <c r="D2430" i="1"/>
  <c r="D2429" i="1"/>
  <c r="D2428" i="1"/>
  <c r="D2427" i="1"/>
  <c r="D2426" i="1"/>
  <c r="D2425" i="1"/>
  <c r="D2424" i="1"/>
  <c r="D2423" i="1"/>
  <c r="D2422" i="1"/>
  <c r="D2421" i="1"/>
  <c r="D2419" i="1"/>
  <c r="D2418" i="1"/>
  <c r="D2417" i="1"/>
  <c r="D2416" i="1"/>
  <c r="D2415" i="1"/>
  <c r="D2414" i="1"/>
  <c r="D2413" i="1"/>
  <c r="D2410" i="1"/>
  <c r="D2409" i="1"/>
  <c r="D2408" i="1"/>
  <c r="D2407" i="1"/>
  <c r="D2406" i="1"/>
  <c r="D2405" i="1"/>
  <c r="D2404" i="1"/>
  <c r="D2403" i="1"/>
  <c r="D2402" i="1"/>
  <c r="D2401" i="1"/>
  <c r="D2400" i="1"/>
  <c r="D2399" i="1"/>
  <c r="D2398" i="1"/>
  <c r="D2397" i="1"/>
  <c r="D2396" i="1"/>
  <c r="D2395" i="1"/>
  <c r="D2394" i="1"/>
  <c r="D2393" i="1"/>
  <c r="D2392" i="1"/>
  <c r="D2391" i="1"/>
  <c r="D2390" i="1"/>
  <c r="D2389" i="1"/>
  <c r="D2388" i="1"/>
  <c r="D2387" i="1"/>
  <c r="D2386" i="1"/>
  <c r="D2385" i="1"/>
  <c r="D2384" i="1"/>
  <c r="D2383" i="1"/>
  <c r="D2382" i="1"/>
  <c r="D2381" i="1"/>
  <c r="D2380" i="1"/>
  <c r="D2379" i="1"/>
  <c r="D2378" i="1"/>
  <c r="D2377" i="1"/>
  <c r="D2376" i="1"/>
  <c r="D2375" i="1"/>
  <c r="D2374" i="1"/>
  <c r="D2373" i="1"/>
  <c r="D2372" i="1"/>
  <c r="D2371" i="1"/>
  <c r="D2370" i="1"/>
  <c r="D2369" i="1"/>
  <c r="D2368" i="1"/>
  <c r="D2367" i="1"/>
  <c r="D2366" i="1"/>
  <c r="D2365" i="1"/>
  <c r="D2364" i="1"/>
  <c r="D2363" i="1"/>
  <c r="D2362" i="1"/>
  <c r="D2361" i="1"/>
  <c r="D2360" i="1"/>
  <c r="D2359" i="1"/>
  <c r="D2358" i="1"/>
  <c r="D2357" i="1"/>
  <c r="D2356" i="1"/>
  <c r="D2355" i="1"/>
  <c r="D2354" i="1"/>
  <c r="D2353" i="1"/>
  <c r="D2352" i="1"/>
  <c r="D2351" i="1"/>
  <c r="D2350" i="1"/>
  <c r="D2349" i="1"/>
  <c r="D2348" i="1"/>
  <c r="D2347" i="1"/>
  <c r="D2346" i="1"/>
  <c r="D2345" i="1"/>
  <c r="D2344" i="1"/>
  <c r="D2343" i="1"/>
  <c r="D2342" i="1"/>
  <c r="D2341" i="1"/>
  <c r="D2340" i="1"/>
  <c r="D2339" i="1"/>
  <c r="D2338" i="1"/>
  <c r="D2337" i="1"/>
  <c r="D2336" i="1"/>
  <c r="D2335" i="1"/>
  <c r="D2334" i="1"/>
  <c r="D2333" i="1"/>
  <c r="D2332" i="1"/>
  <c r="D2331" i="1"/>
  <c r="D2330" i="1"/>
  <c r="D2329" i="1"/>
  <c r="D2328" i="1"/>
  <c r="D2327" i="1"/>
  <c r="D2326" i="1"/>
  <c r="D2325" i="1"/>
  <c r="D2324" i="1"/>
  <c r="D2323" i="1"/>
  <c r="D2322" i="1"/>
  <c r="D2321" i="1"/>
  <c r="D2320" i="1"/>
  <c r="D2319" i="1"/>
  <c r="D2318" i="1"/>
  <c r="D2316" i="1"/>
  <c r="D2315" i="1"/>
  <c r="D2314" i="1"/>
  <c r="D2312" i="1"/>
  <c r="D2311" i="1"/>
  <c r="D2310" i="1"/>
  <c r="D2308" i="1"/>
  <c r="D2307" i="1"/>
  <c r="D2306" i="1"/>
  <c r="D2305" i="1"/>
  <c r="D2304" i="1"/>
  <c r="D2302" i="1"/>
  <c r="D2301" i="1"/>
  <c r="D2300" i="1"/>
  <c r="D2299" i="1"/>
  <c r="D2298" i="1"/>
  <c r="D2297" i="1"/>
  <c r="D2296" i="1"/>
  <c r="D2295" i="1"/>
  <c r="D2294" i="1"/>
  <c r="D2293" i="1"/>
  <c r="D2291" i="1"/>
  <c r="D2290" i="1"/>
  <c r="D2289" i="1"/>
  <c r="D2288" i="1"/>
  <c r="D2287" i="1"/>
  <c r="D2286" i="1"/>
  <c r="D2285" i="1"/>
  <c r="D2284" i="1"/>
  <c r="D2283" i="1"/>
  <c r="D2282" i="1"/>
  <c r="D2281" i="1"/>
  <c r="D2280" i="1"/>
  <c r="D2279" i="1"/>
  <c r="D2278" i="1"/>
  <c r="D2275" i="1"/>
  <c r="D2273" i="1"/>
  <c r="D2272" i="1"/>
  <c r="D2271" i="1"/>
  <c r="D2270" i="1"/>
  <c r="D2269" i="1"/>
  <c r="D2268" i="1"/>
  <c r="D2267" i="1"/>
  <c r="D2266" i="1"/>
  <c r="D2265" i="1"/>
  <c r="D2263" i="1"/>
  <c r="D2262" i="1"/>
  <c r="D2261" i="1"/>
  <c r="D2259" i="1"/>
  <c r="D2257" i="1"/>
  <c r="D2254" i="1"/>
  <c r="D2253" i="1"/>
  <c r="D2252" i="1"/>
  <c r="D2251" i="1"/>
  <c r="D2250" i="1"/>
  <c r="D2249" i="1"/>
  <c r="D2248" i="1"/>
  <c r="D2247" i="1"/>
  <c r="D2246" i="1"/>
  <c r="D2245" i="1"/>
  <c r="D2243" i="1"/>
  <c r="D2242" i="1"/>
  <c r="D2241" i="1"/>
  <c r="D2240" i="1"/>
  <c r="D2239" i="1"/>
  <c r="D2238" i="1"/>
  <c r="D2237" i="1"/>
  <c r="D2236" i="1"/>
  <c r="D2235" i="1"/>
  <c r="D2234" i="1"/>
  <c r="D2233" i="1"/>
  <c r="D2232" i="1"/>
  <c r="D2231" i="1"/>
  <c r="D2230" i="1"/>
  <c r="D2228" i="1"/>
  <c r="D2227" i="1"/>
  <c r="D2226" i="1"/>
  <c r="D2225" i="1"/>
  <c r="D2224" i="1"/>
  <c r="D2223" i="1"/>
  <c r="D2222" i="1"/>
  <c r="D2219" i="1"/>
  <c r="D2218" i="1"/>
  <c r="D2217" i="1"/>
  <c r="D2216" i="1"/>
  <c r="D2215" i="1"/>
  <c r="D2214" i="1"/>
  <c r="D2213" i="1"/>
  <c r="D2212" i="1"/>
  <c r="D2211" i="1"/>
  <c r="D2210" i="1"/>
  <c r="D2209" i="1"/>
  <c r="D2208" i="1"/>
  <c r="D2207" i="1"/>
  <c r="D2206" i="1"/>
  <c r="D2204" i="1"/>
  <c r="D2203" i="1"/>
  <c r="D2202" i="1"/>
  <c r="D2201" i="1"/>
  <c r="D2200" i="1"/>
  <c r="D2199" i="1"/>
  <c r="D2197" i="1"/>
  <c r="D2196" i="1"/>
  <c r="D2195" i="1"/>
  <c r="D2194" i="1"/>
  <c r="D2193" i="1"/>
  <c r="D2192" i="1"/>
  <c r="D2190" i="1"/>
  <c r="D2189" i="1"/>
  <c r="D2188" i="1"/>
  <c r="D2187" i="1"/>
  <c r="D2186" i="1"/>
  <c r="D2185" i="1"/>
  <c r="D2184" i="1"/>
  <c r="D2183" i="1"/>
  <c r="D2182" i="1"/>
  <c r="D2181" i="1"/>
  <c r="D2180" i="1"/>
  <c r="D2179" i="1"/>
  <c r="D2178" i="1"/>
  <c r="D2177" i="1"/>
  <c r="D2176" i="1"/>
  <c r="D2175" i="1"/>
  <c r="D2174" i="1"/>
  <c r="D2173" i="1"/>
  <c r="D2172" i="1"/>
  <c r="D2171" i="1"/>
  <c r="D2170" i="1"/>
  <c r="D2169" i="1"/>
  <c r="D2168" i="1"/>
  <c r="D2167" i="1"/>
  <c r="D2166" i="1"/>
  <c r="D2165" i="1"/>
  <c r="D2164" i="1"/>
  <c r="D2163" i="1"/>
  <c r="D2162" i="1"/>
  <c r="D2161" i="1"/>
  <c r="D2160" i="1"/>
  <c r="D2159" i="1"/>
  <c r="D2158" i="1"/>
  <c r="D2157" i="1"/>
  <c r="D2156" i="1"/>
  <c r="D2155" i="1"/>
  <c r="D2154" i="1"/>
  <c r="D2153" i="1"/>
  <c r="D2152" i="1"/>
  <c r="D2151" i="1"/>
  <c r="D2150" i="1"/>
  <c r="D2149" i="1"/>
  <c r="D2148" i="1"/>
  <c r="D2147" i="1"/>
  <c r="D2146" i="1"/>
  <c r="D2145" i="1"/>
  <c r="D2144" i="1"/>
  <c r="D2143" i="1"/>
  <c r="D2142" i="1"/>
  <c r="D2141" i="1"/>
  <c r="D2140" i="1"/>
  <c r="D2139" i="1"/>
  <c r="D2138" i="1"/>
  <c r="D2136" i="1"/>
  <c r="D2135" i="1"/>
  <c r="D2134" i="1"/>
  <c r="D2133" i="1"/>
  <c r="D2132" i="1"/>
  <c r="D2131" i="1"/>
  <c r="D2130" i="1"/>
  <c r="D2129" i="1"/>
  <c r="D2128" i="1"/>
  <c r="D2127" i="1"/>
  <c r="D2126" i="1"/>
  <c r="D2125" i="1"/>
  <c r="D2124" i="1"/>
  <c r="D2123" i="1"/>
  <c r="D2122" i="1"/>
  <c r="D2121" i="1"/>
  <c r="D2120" i="1"/>
  <c r="D2119" i="1"/>
  <c r="D2118" i="1"/>
  <c r="D2117" i="1"/>
  <c r="D2116" i="1"/>
  <c r="D2113" i="1"/>
  <c r="D2111" i="1"/>
  <c r="D2110" i="1"/>
  <c r="D2109" i="1"/>
  <c r="D2108" i="1"/>
  <c r="D2107" i="1"/>
  <c r="D2106" i="1"/>
  <c r="D2104" i="1"/>
  <c r="D2103" i="1"/>
  <c r="D2102" i="1"/>
  <c r="D2101" i="1"/>
  <c r="D2100" i="1"/>
  <c r="D2099" i="1"/>
  <c r="D2098" i="1"/>
  <c r="D2097" i="1"/>
  <c r="D2096" i="1"/>
  <c r="D2095" i="1"/>
  <c r="D2094" i="1"/>
  <c r="D2093" i="1"/>
  <c r="D2092" i="1"/>
  <c r="D2091" i="1"/>
  <c r="D2090" i="1"/>
  <c r="D2089" i="1"/>
  <c r="D2088" i="1"/>
  <c r="D2087" i="1"/>
  <c r="D2086" i="1"/>
  <c r="D2085" i="1"/>
  <c r="D2084" i="1"/>
  <c r="D2083" i="1"/>
  <c r="D2082" i="1"/>
  <c r="D2081" i="1"/>
  <c r="D2080" i="1"/>
  <c r="D2077" i="1"/>
  <c r="D2076" i="1"/>
  <c r="D2075" i="1"/>
  <c r="D2074" i="1"/>
  <c r="D2073" i="1"/>
  <c r="D2072" i="1"/>
  <c r="D2071" i="1"/>
  <c r="D2070" i="1"/>
  <c r="D2069" i="1"/>
  <c r="D2068" i="1"/>
  <c r="D2067" i="1"/>
  <c r="D2066" i="1"/>
  <c r="D2065" i="1"/>
  <c r="D2064" i="1"/>
  <c r="D2063" i="1"/>
  <c r="D2062" i="1"/>
  <c r="D2061" i="1"/>
  <c r="D2060" i="1"/>
  <c r="D2059" i="1"/>
  <c r="D2058" i="1"/>
  <c r="D2057" i="1"/>
  <c r="D2056" i="1"/>
  <c r="D2055" i="1"/>
  <c r="D2054" i="1"/>
  <c r="D2053" i="1"/>
  <c r="D2052" i="1"/>
  <c r="D2051" i="1"/>
  <c r="D2050" i="1"/>
  <c r="D2049" i="1"/>
  <c r="D2048" i="1"/>
  <c r="D2047" i="1"/>
  <c r="D2046" i="1"/>
  <c r="D2045" i="1"/>
  <c r="D2044" i="1"/>
  <c r="D2043" i="1"/>
  <c r="D2042" i="1"/>
  <c r="D2041" i="1"/>
  <c r="D2040" i="1"/>
  <c r="D2039" i="1"/>
  <c r="D2038" i="1"/>
  <c r="D2037" i="1"/>
  <c r="D2036" i="1"/>
  <c r="D2035" i="1"/>
  <c r="D2034" i="1"/>
  <c r="D2033" i="1"/>
  <c r="D2032" i="1"/>
  <c r="D2031" i="1"/>
  <c r="D2030" i="1"/>
  <c r="D2029" i="1"/>
  <c r="D2028" i="1"/>
  <c r="D2027" i="1"/>
  <c r="D2025" i="1"/>
  <c r="D2024" i="1"/>
  <c r="D2023" i="1"/>
  <c r="D2022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9" i="1"/>
  <c r="D2008" i="1"/>
  <c r="D2007" i="1"/>
  <c r="D2006" i="1"/>
  <c r="D2005" i="1"/>
  <c r="D2004" i="1"/>
  <c r="D2003" i="1"/>
  <c r="D2002" i="1"/>
  <c r="D2001" i="1"/>
  <c r="D2000" i="1"/>
  <c r="D1999" i="1"/>
  <c r="D1998" i="1"/>
  <c r="D1997" i="1"/>
  <c r="D1996" i="1"/>
  <c r="D1995" i="1"/>
  <c r="D1994" i="1"/>
  <c r="D1993" i="1"/>
  <c r="D1992" i="1"/>
  <c r="D1991" i="1"/>
  <c r="D1990" i="1"/>
  <c r="D1989" i="1"/>
  <c r="D1988" i="1"/>
  <c r="D1987" i="1"/>
  <c r="D1986" i="1"/>
  <c r="D1985" i="1"/>
  <c r="D1984" i="1"/>
  <c r="D1983" i="1"/>
  <c r="D1982" i="1"/>
  <c r="D1981" i="1"/>
  <c r="D1980" i="1"/>
  <c r="D1979" i="1"/>
  <c r="D1978" i="1"/>
  <c r="D1977" i="1"/>
  <c r="D1976" i="1"/>
  <c r="D1975" i="1"/>
  <c r="D1974" i="1"/>
  <c r="D1973" i="1"/>
  <c r="D1972" i="1"/>
  <c r="D1971" i="1"/>
  <c r="D1970" i="1"/>
  <c r="D1969" i="1"/>
  <c r="D1968" i="1"/>
  <c r="D1967" i="1"/>
  <c r="D1966" i="1"/>
  <c r="D1965" i="1"/>
  <c r="D1964" i="1"/>
  <c r="D1963" i="1"/>
  <c r="D1962" i="1"/>
  <c r="D1961" i="1"/>
  <c r="D1960" i="1"/>
  <c r="D1959" i="1"/>
  <c r="D1958" i="1"/>
  <c r="D1957" i="1"/>
  <c r="D1956" i="1"/>
  <c r="D1955" i="1"/>
  <c r="D1954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41" i="1"/>
  <c r="D1940" i="1"/>
  <c r="D1939" i="1"/>
  <c r="D1938" i="1"/>
  <c r="D1937" i="1"/>
  <c r="D1936" i="1"/>
  <c r="D1935" i="1"/>
  <c r="D1934" i="1"/>
  <c r="D1933" i="1"/>
  <c r="D1932" i="1"/>
  <c r="D1931" i="1"/>
  <c r="D1930" i="1"/>
  <c r="D1929" i="1"/>
  <c r="D1928" i="1"/>
  <c r="D1927" i="1"/>
  <c r="D1926" i="1"/>
  <c r="D1925" i="1"/>
  <c r="D1924" i="1"/>
  <c r="D1923" i="1"/>
  <c r="D1922" i="1"/>
  <c r="D1921" i="1"/>
  <c r="D1920" i="1"/>
  <c r="D1919" i="1"/>
  <c r="D1918" i="1"/>
  <c r="D1917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5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5" i="1"/>
  <c r="D1804" i="1"/>
  <c r="D1803" i="1"/>
  <c r="D1802" i="1"/>
  <c r="D1801" i="1"/>
  <c r="D1800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6" i="1"/>
  <c r="D1785" i="1"/>
  <c r="D1784" i="1"/>
  <c r="D1783" i="1"/>
  <c r="D1782" i="1"/>
  <c r="D1781" i="1"/>
  <c r="D1780" i="1"/>
  <c r="D1779" i="1"/>
  <c r="D1778" i="1"/>
  <c r="D1777" i="1"/>
  <c r="D1776" i="1"/>
  <c r="D1775" i="1"/>
  <c r="D1774" i="1"/>
  <c r="D1773" i="1"/>
  <c r="D1772" i="1"/>
  <c r="D1771" i="1"/>
  <c r="D1770" i="1"/>
  <c r="D1769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4" i="1"/>
  <c r="D1722" i="1"/>
  <c r="D1721" i="1"/>
  <c r="D1720" i="1"/>
  <c r="D1719" i="1"/>
  <c r="D1718" i="1"/>
  <c r="D1717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5" i="1"/>
  <c r="D1684" i="1"/>
  <c r="D1683" i="1"/>
  <c r="D1682" i="1"/>
  <c r="D1681" i="1"/>
  <c r="D1680" i="1"/>
  <c r="D1679" i="1"/>
  <c r="D1678" i="1"/>
  <c r="D1677" i="1"/>
  <c r="D1676" i="1"/>
  <c r="D1675" i="1"/>
  <c r="D1674" i="1"/>
  <c r="D1673" i="1"/>
  <c r="D1672" i="1"/>
  <c r="D1671" i="1"/>
  <c r="D1670" i="1"/>
  <c r="D1669" i="1"/>
  <c r="D1668" i="1"/>
  <c r="D1666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7" i="1"/>
  <c r="D1616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3" i="1"/>
  <c r="D1582" i="1"/>
  <c r="D1581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4" i="1"/>
  <c r="D1563" i="1"/>
  <c r="D1562" i="1"/>
  <c r="D1561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5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7" i="1"/>
  <c r="D1466" i="1"/>
  <c r="D1465" i="1"/>
  <c r="D1464" i="1"/>
  <c r="D1463" i="1"/>
  <c r="D1462" i="1"/>
  <c r="D1460" i="1"/>
  <c r="D1459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5" i="1"/>
  <c r="D1434" i="1"/>
  <c r="D1433" i="1"/>
  <c r="D1431" i="1"/>
  <c r="D1430" i="1"/>
  <c r="D1426" i="1"/>
  <c r="D1423" i="1"/>
  <c r="D1422" i="1"/>
  <c r="D1421" i="1"/>
  <c r="D1420" i="1"/>
  <c r="D1419" i="1"/>
  <c r="D1418" i="1"/>
  <c r="D1417" i="1"/>
  <c r="D1416" i="1"/>
  <c r="D1415" i="1"/>
  <c r="D1414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3" i="1"/>
  <c r="D1381" i="1"/>
  <c r="D1380" i="1"/>
  <c r="D1379" i="1"/>
  <c r="D1378" i="1"/>
  <c r="D1377" i="1"/>
  <c r="D1376" i="1"/>
  <c r="D1374" i="1"/>
  <c r="D1373" i="1"/>
  <c r="D1372" i="1"/>
  <c r="D1370" i="1"/>
  <c r="D1369" i="1"/>
  <c r="D1366" i="1"/>
  <c r="D1363" i="1"/>
  <c r="D1361" i="1"/>
  <c r="D1360" i="1"/>
  <c r="D1359" i="1"/>
  <c r="D1358" i="1"/>
  <c r="D1357" i="1"/>
  <c r="D1356" i="1"/>
  <c r="D1355" i="1"/>
  <c r="D1352" i="1"/>
  <c r="D1351" i="1"/>
  <c r="D1350" i="1"/>
  <c r="D1349" i="1"/>
  <c r="D1348" i="1"/>
  <c r="D1347" i="1"/>
  <c r="D1346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7" i="1"/>
  <c r="D1326" i="1"/>
  <c r="D1324" i="1"/>
  <c r="D1322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2" i="1"/>
  <c r="D1261" i="1"/>
  <c r="D1260" i="1"/>
  <c r="D1259" i="1"/>
  <c r="D1258" i="1"/>
  <c r="D1257" i="1"/>
  <c r="D1256" i="1"/>
  <c r="D1255" i="1"/>
  <c r="D1254" i="1"/>
  <c r="D1253" i="1"/>
  <c r="D1252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3" i="1"/>
  <c r="D1222" i="1"/>
  <c r="D1221" i="1"/>
  <c r="D1220" i="1"/>
  <c r="D1219" i="1"/>
  <c r="D1218" i="1"/>
  <c r="D1217" i="1"/>
  <c r="D1216" i="1"/>
  <c r="D1215" i="1"/>
  <c r="D1214" i="1"/>
  <c r="D1213" i="1"/>
  <c r="D1212" i="1"/>
  <c r="D1211" i="1"/>
  <c r="D1210" i="1"/>
  <c r="D1209" i="1"/>
  <c r="D1208" i="1"/>
  <c r="D1207" i="1"/>
  <c r="D1206" i="1"/>
  <c r="D1205" i="1"/>
  <c r="D1204" i="1"/>
  <c r="D1203" i="1"/>
  <c r="D1202" i="1"/>
  <c r="D1201" i="1"/>
  <c r="D1200" i="1"/>
  <c r="D1199" i="1"/>
  <c r="D1198" i="1"/>
  <c r="D1197" i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5" i="1"/>
  <c r="D1164" i="1"/>
  <c r="D1163" i="1"/>
  <c r="D1162" i="1"/>
  <c r="D1161" i="1"/>
  <c r="D1160" i="1"/>
  <c r="D1159" i="1"/>
  <c r="D1158" i="1"/>
  <c r="D1157" i="1"/>
  <c r="D1156" i="1"/>
  <c r="D1155" i="1"/>
  <c r="D1154" i="1"/>
  <c r="D1152" i="1"/>
  <c r="D1151" i="1"/>
  <c r="D1150" i="1"/>
  <c r="D1149" i="1"/>
  <c r="D1148" i="1"/>
  <c r="D1147" i="1"/>
  <c r="D1146" i="1"/>
  <c r="D1145" i="1"/>
  <c r="D1144" i="1"/>
  <c r="D1143" i="1"/>
  <c r="D1142" i="1"/>
  <c r="D1141" i="1"/>
  <c r="D1140" i="1"/>
  <c r="D1139" i="1"/>
  <c r="D1138" i="1"/>
  <c r="D1137" i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8" i="1"/>
  <c r="D1087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1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1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7" i="1"/>
  <c r="D946" i="1"/>
  <c r="D944" i="1"/>
  <c r="D943" i="1"/>
  <c r="D942" i="1"/>
  <c r="D940" i="1"/>
  <c r="D939" i="1"/>
  <c r="D937" i="1"/>
  <c r="D936" i="1"/>
  <c r="D935" i="1"/>
  <c r="D934" i="1"/>
  <c r="D933" i="1"/>
  <c r="D932" i="1"/>
  <c r="D930" i="1"/>
  <c r="D929" i="1"/>
  <c r="D928" i="1"/>
  <c r="D927" i="1"/>
  <c r="D926" i="1"/>
  <c r="D925" i="1"/>
  <c r="D924" i="1"/>
  <c r="D923" i="1"/>
  <c r="D922" i="1"/>
  <c r="D920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4" i="1"/>
  <c r="D891" i="1"/>
  <c r="D890" i="1"/>
  <c r="D889" i="1"/>
  <c r="D888" i="1"/>
  <c r="D885" i="1"/>
  <c r="D884" i="1"/>
  <c r="D881" i="1"/>
  <c r="D880" i="1"/>
  <c r="D879" i="1"/>
  <c r="D878" i="1"/>
  <c r="D877" i="1"/>
  <c r="D876" i="1"/>
  <c r="D875" i="1"/>
  <c r="D874" i="1"/>
  <c r="D873" i="1"/>
  <c r="D872" i="1"/>
  <c r="D871" i="1"/>
  <c r="D870" i="1"/>
  <c r="D869" i="1"/>
  <c r="D868" i="1"/>
  <c r="D867" i="1"/>
  <c r="D866" i="1"/>
  <c r="D865" i="1"/>
  <c r="D862" i="1"/>
  <c r="D861" i="1"/>
  <c r="D860" i="1"/>
  <c r="D859" i="1"/>
  <c r="D858" i="1"/>
  <c r="D856" i="1"/>
  <c r="D855" i="1"/>
  <c r="D854" i="1"/>
  <c r="D853" i="1"/>
  <c r="D852" i="1"/>
  <c r="D851" i="1"/>
  <c r="D850" i="1"/>
  <c r="D848" i="1" l="1"/>
  <c r="D847" i="1"/>
  <c r="D846" i="1"/>
  <c r="D845" i="1"/>
  <c r="D844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2" i="1"/>
  <c r="D821" i="1"/>
  <c r="D820" i="1"/>
  <c r="D819" i="1"/>
  <c r="D818" i="1"/>
  <c r="D817" i="1"/>
  <c r="D816" i="1"/>
  <c r="D814" i="1"/>
  <c r="D813" i="1"/>
  <c r="D812" i="1"/>
  <c r="D811" i="1"/>
  <c r="D810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8" i="1"/>
  <c r="D787" i="1"/>
  <c r="D785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1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2" i="1"/>
  <c r="D748" i="1"/>
  <c r="D745" i="1"/>
  <c r="D743" i="1"/>
  <c r="D740" i="1"/>
  <c r="D739" i="1"/>
  <c r="D738" i="1"/>
  <c r="D737" i="1"/>
  <c r="D735" i="1"/>
  <c r="D734" i="1"/>
  <c r="D733" i="1"/>
  <c r="D732" i="1"/>
  <c r="D731" i="1"/>
  <c r="D730" i="1"/>
  <c r="D729" i="1"/>
  <c r="D727" i="1"/>
  <c r="D726" i="1"/>
  <c r="D725" i="1"/>
  <c r="D724" i="1"/>
  <c r="D723" i="1"/>
  <c r="D722" i="1"/>
  <c r="D721" i="1"/>
  <c r="D719" i="1"/>
  <c r="D718" i="1"/>
  <c r="D716" i="1"/>
  <c r="D715" i="1"/>
  <c r="D714" i="1"/>
  <c r="D712" i="1"/>
  <c r="D711" i="1"/>
  <c r="D708" i="1"/>
  <c r="D707" i="1"/>
  <c r="D706" i="1"/>
  <c r="D705" i="1"/>
  <c r="D704" i="1"/>
  <c r="D703" i="1"/>
  <c r="D702" i="1"/>
  <c r="D701" i="1"/>
  <c r="D700" i="1"/>
  <c r="D699" i="1"/>
  <c r="D696" i="1"/>
  <c r="D695" i="1"/>
  <c r="D694" i="1"/>
  <c r="D693" i="1"/>
  <c r="D692" i="1"/>
  <c r="D691" i="1"/>
  <c r="D690" i="1"/>
  <c r="D689" i="1"/>
  <c r="D688" i="1"/>
  <c r="D687" i="1"/>
  <c r="D686" i="1"/>
  <c r="D683" i="1"/>
  <c r="D682" i="1"/>
  <c r="D681" i="1"/>
  <c r="D679" i="1"/>
  <c r="D678" i="1"/>
  <c r="D677" i="1"/>
  <c r="D676" i="1"/>
  <c r="D675" i="1"/>
  <c r="D673" i="1"/>
  <c r="D670" i="1"/>
  <c r="D668" i="1"/>
  <c r="D666" i="1"/>
  <c r="D665" i="1"/>
  <c r="D664" i="1"/>
  <c r="D663" i="1"/>
  <c r="D662" i="1"/>
  <c r="D661" i="1"/>
  <c r="D660" i="1"/>
  <c r="D659" i="1"/>
  <c r="D658" i="1"/>
  <c r="D656" i="1"/>
  <c r="D652" i="1"/>
  <c r="D651" i="1"/>
  <c r="D649" i="1"/>
  <c r="D648" i="1"/>
  <c r="D647" i="1"/>
  <c r="D646" i="1"/>
  <c r="D645" i="1"/>
  <c r="D642" i="1"/>
  <c r="D641" i="1"/>
  <c r="D640" i="1"/>
  <c r="D639" i="1"/>
  <c r="D637" i="1"/>
  <c r="D636" i="1"/>
  <c r="D635" i="1"/>
  <c r="D633" i="1"/>
  <c r="D632" i="1"/>
  <c r="D630" i="1"/>
  <c r="D628" i="1"/>
  <c r="D627" i="1"/>
  <c r="D626" i="1"/>
  <c r="D625" i="1"/>
  <c r="D624" i="1"/>
  <c r="D622" i="1"/>
  <c r="D621" i="1"/>
  <c r="D620" i="1"/>
  <c r="D619" i="1"/>
  <c r="D617" i="1"/>
  <c r="D616" i="1"/>
  <c r="D615" i="1"/>
  <c r="D614" i="1"/>
  <c r="D613" i="1"/>
  <c r="D612" i="1"/>
  <c r="D611" i="1"/>
  <c r="D610" i="1"/>
  <c r="D608" i="1"/>
  <c r="D607" i="1"/>
  <c r="D606" i="1"/>
  <c r="D605" i="1"/>
  <c r="D604" i="1"/>
  <c r="D603" i="1"/>
  <c r="D602" i="1"/>
  <c r="D600" i="1"/>
  <c r="D599" i="1"/>
  <c r="D596" i="1"/>
  <c r="D595" i="1"/>
  <c r="D594" i="1"/>
  <c r="D592" i="1"/>
  <c r="D590" i="1"/>
  <c r="D589" i="1"/>
  <c r="D588" i="1"/>
  <c r="D587" i="1"/>
  <c r="D586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58" i="1"/>
  <c r="D557" i="1"/>
  <c r="D556" i="1"/>
  <c r="D555" i="1"/>
  <c r="D554" i="1"/>
  <c r="D553" i="1"/>
  <c r="D552" i="1"/>
  <c r="D551" i="1"/>
  <c r="D549" i="1"/>
  <c r="D547" i="1"/>
  <c r="D546" i="1"/>
  <c r="D545" i="1"/>
  <c r="D544" i="1"/>
  <c r="D543" i="1"/>
  <c r="D542" i="1"/>
  <c r="D541" i="1"/>
  <c r="D540" i="1"/>
  <c r="D539" i="1"/>
  <c r="D538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8" i="1"/>
  <c r="D497" i="1"/>
  <c r="D495" i="1"/>
  <c r="D494" i="1"/>
  <c r="D493" i="1"/>
  <c r="D491" i="1"/>
  <c r="D490" i="1"/>
  <c r="D489" i="1"/>
  <c r="D488" i="1"/>
  <c r="D487" i="1"/>
  <c r="D485" i="1"/>
  <c r="D484" i="1"/>
  <c r="D483" i="1"/>
  <c r="D482" i="1"/>
  <c r="D481" i="1"/>
  <c r="D480" i="1"/>
  <c r="D479" i="1"/>
  <c r="D478" i="1"/>
  <c r="D477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1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5" i="1"/>
  <c r="D414" i="1"/>
  <c r="D413" i="1"/>
  <c r="D411" i="1"/>
  <c r="D409" i="1"/>
  <c r="D407" i="1"/>
  <c r="D406" i="1"/>
  <c r="D404" i="1"/>
  <c r="D403" i="1"/>
  <c r="D402" i="1"/>
  <c r="D401" i="1"/>
  <c r="D400" i="1"/>
  <c r="D399" i="1"/>
  <c r="D398" i="1"/>
  <c r="D397" i="1"/>
  <c r="D396" i="1"/>
  <c r="D395" i="1"/>
  <c r="D393" i="1"/>
  <c r="D392" i="1"/>
  <c r="D391" i="1"/>
  <c r="D390" i="1"/>
  <c r="D389" i="1"/>
  <c r="D388" i="1"/>
  <c r="D385" i="1"/>
  <c r="D383" i="1"/>
  <c r="D382" i="1"/>
  <c r="D380" i="1"/>
  <c r="D379" i="1"/>
  <c r="D378" i="1"/>
  <c r="D375" i="1"/>
  <c r="D372" i="1"/>
  <c r="D371" i="1"/>
  <c r="D370" i="1"/>
  <c r="D369" i="1"/>
  <c r="D368" i="1"/>
  <c r="D367" i="1"/>
  <c r="D366" i="1"/>
  <c r="D364" i="1"/>
  <c r="D361" i="1"/>
  <c r="D358" i="1"/>
  <c r="D354" i="1"/>
  <c r="D350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0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4" i="1"/>
  <c r="D263" i="1"/>
  <c r="D262" i="1"/>
  <c r="D261" i="1"/>
  <c r="D260" i="1"/>
  <c r="D259" i="1"/>
  <c r="D258" i="1"/>
  <c r="D257" i="1"/>
  <c r="D256" i="1"/>
  <c r="D255" i="1"/>
  <c r="D252" i="1"/>
  <c r="D251" i="1"/>
  <c r="D250" i="1"/>
  <c r="D249" i="1"/>
  <c r="D248" i="1"/>
  <c r="D247" i="1"/>
  <c r="D246" i="1"/>
  <c r="D245" i="1"/>
  <c r="D244" i="1"/>
  <c r="D243" i="1"/>
  <c r="D242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199" i="1"/>
  <c r="D198" i="1"/>
  <c r="D197" i="1"/>
  <c r="D196" i="1"/>
  <c r="D195" i="1"/>
  <c r="D194" i="1"/>
  <c r="D193" i="1"/>
  <c r="D192" i="1"/>
  <c r="D191" i="1"/>
  <c r="D187" i="1"/>
  <c r="D186" i="1"/>
  <c r="D185" i="1"/>
  <c r="D184" i="1"/>
  <c r="D183" i="1"/>
  <c r="D182" i="1"/>
  <c r="D180" i="1"/>
  <c r="D179" i="1"/>
  <c r="D178" i="1"/>
  <c r="D177" i="1"/>
  <c r="D176" i="1"/>
  <c r="D172" i="1"/>
  <c r="D170" i="1"/>
  <c r="D169" i="1"/>
  <c r="D168" i="1"/>
  <c r="D164" i="1"/>
  <c r="D162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3" i="1"/>
  <c r="D142" i="1"/>
  <c r="D141" i="1"/>
  <c r="D140" i="1"/>
  <c r="D139" i="1"/>
  <c r="D138" i="1"/>
  <c r="D136" i="1"/>
  <c r="D135" i="1"/>
  <c r="D134" i="1"/>
  <c r="D133" i="1"/>
  <c r="D132" i="1"/>
  <c r="D131" i="1"/>
  <c r="D129" i="1"/>
  <c r="D128" i="1"/>
  <c r="D127" i="1"/>
  <c r="D126" i="1"/>
  <c r="D125" i="1"/>
  <c r="D124" i="1"/>
  <c r="D123" i="1"/>
  <c r="D122" i="1"/>
  <c r="D121" i="1"/>
  <c r="D118" i="1"/>
  <c r="D117" i="1"/>
  <c r="D116" i="1"/>
  <c r="D115" i="1"/>
  <c r="D114" i="1"/>
  <c r="D113" i="1"/>
  <c r="D112" i="1"/>
  <c r="D111" i="1"/>
  <c r="D110" i="1"/>
  <c r="D108" i="1"/>
  <c r="D106" i="1"/>
  <c r="D105" i="1"/>
  <c r="D104" i="1"/>
  <c r="D102" i="1"/>
  <c r="D100" i="1"/>
  <c r="D98" i="1"/>
  <c r="D97" i="1"/>
  <c r="D96" i="1"/>
  <c r="D95" i="1"/>
  <c r="D94" i="1"/>
  <c r="D93" i="1"/>
  <c r="D92" i="1"/>
  <c r="D91" i="1"/>
  <c r="D90" i="1"/>
  <c r="D88" i="1"/>
  <c r="D87" i="1"/>
  <c r="D86" i="1"/>
  <c r="D84" i="1"/>
  <c r="D82" i="1"/>
  <c r="D80" i="1"/>
  <c r="D79" i="1"/>
  <c r="D75" i="1"/>
  <c r="D72" i="1"/>
  <c r="D70" i="1"/>
  <c r="D68" i="1"/>
  <c r="D65" i="1"/>
  <c r="D63" i="1"/>
  <c r="D62" i="1"/>
  <c r="D61" i="1"/>
  <c r="D59" i="1" l="1"/>
  <c r="D58" i="1"/>
  <c r="D54" i="1"/>
  <c r="D49" i="1"/>
  <c r="D47" i="1"/>
  <c r="D46" i="1"/>
  <c r="D45" i="1"/>
  <c r="D44" i="1"/>
  <c r="D43" i="1"/>
  <c r="D42" i="1"/>
  <c r="D41" i="1"/>
  <c r="D40" i="1"/>
  <c r="D39" i="1"/>
  <c r="D38" i="1"/>
  <c r="D36" i="1"/>
  <c r="D35" i="1"/>
  <c r="D34" i="1"/>
  <c r="D33" i="1"/>
  <c r="D32" i="1"/>
  <c r="D31" i="1"/>
  <c r="D30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1" i="1"/>
  <c r="D10" i="1"/>
  <c r="D6" i="1"/>
  <c r="D5" i="1"/>
  <c r="D4" i="1"/>
</calcChain>
</file>

<file path=xl/sharedStrings.xml><?xml version="1.0" encoding="utf-8"?>
<sst xmlns="http://schemas.openxmlformats.org/spreadsheetml/2006/main" count="32993" uniqueCount="9836">
  <si>
    <t>Component</t>
  </si>
  <si>
    <t>Component name</t>
  </si>
  <si>
    <t>Note number</t>
  </si>
  <si>
    <t>Note version</t>
  </si>
  <si>
    <t>Note description</t>
  </si>
  <si>
    <t>AP</t>
  </si>
  <si>
    <t>Application Platform</t>
  </si>
  <si>
    <t>AP-CFG</t>
  </si>
  <si>
    <t>Product Configuration</t>
  </si>
  <si>
    <t>AP-CFG-CBA</t>
  </si>
  <si>
    <t>cBASE / Configuration Storage</t>
  </si>
  <si>
    <t>AP-LIM</t>
  </si>
  <si>
    <t>Logistics Inventory Mangement Engine</t>
  </si>
  <si>
    <t>AP-MD</t>
  </si>
  <si>
    <t>Master Data</t>
  </si>
  <si>
    <t>AP-MD-IBA</t>
  </si>
  <si>
    <t>Installed Base</t>
  </si>
  <si>
    <t>AP-PRC</t>
  </si>
  <si>
    <t>Pricing and Condition Technique</t>
  </si>
  <si>
    <t>AP-PRC-CON</t>
  </si>
  <si>
    <t>Condition Technique</t>
  </si>
  <si>
    <t>AP-PRC-PR</t>
  </si>
  <si>
    <t>Pricing</t>
  </si>
  <si>
    <t>Support Pack</t>
  </si>
  <si>
    <t>LO</t>
  </si>
  <si>
    <t>Logistics - General</t>
  </si>
  <si>
    <t>LO-VC</t>
  </si>
  <si>
    <t>Variant Configuration</t>
  </si>
  <si>
    <t>SCM</t>
  </si>
  <si>
    <t>Supply Chain Management</t>
  </si>
  <si>
    <t>SCM-APO</t>
  </si>
  <si>
    <t>Advanced Planning and Optimization</t>
  </si>
  <si>
    <t>SCM-APO-INT</t>
  </si>
  <si>
    <t>Interfaces</t>
  </si>
  <si>
    <t>SCM-APO-INT-MD</t>
  </si>
  <si>
    <t>SCM-APO-INT-MD-PDS</t>
  </si>
  <si>
    <t>Production Data Structure</t>
  </si>
  <si>
    <t>AP-CFG-LL</t>
  </si>
  <si>
    <t>Low Level Configuration</t>
  </si>
  <si>
    <t>XX</t>
  </si>
  <si>
    <t>Miscellaneous</t>
  </si>
  <si>
    <t>SAPKNA7026</t>
  </si>
  <si>
    <t>Condition Finding trace in condition technique</t>
  </si>
  <si>
    <t>Runtime exception during condition determination</t>
  </si>
  <si>
    <t>Initial direct value not considered</t>
  </si>
  <si>
    <t>XX-PROJ</t>
  </si>
  <si>
    <t>Project-based solutions</t>
  </si>
  <si>
    <t>XX-PROJ-IMS</t>
  </si>
  <si>
    <t>Installed Base Development Projects</t>
  </si>
  <si>
    <t>XX-PROJ-IMS-HA</t>
  </si>
  <si>
    <t>Project HA</t>
  </si>
  <si>
    <t>Check report for note 1600482 for SAP AP (CRM, SRM and GTS)</t>
  </si>
  <si>
    <t>Deactivation of hierarchical access functionality</t>
  </si>
  <si>
    <t>SAPKNA7027</t>
  </si>
  <si>
    <t>Replay of the trace in program RCOM_CFG_RFC_TRACE_NAVIGATOR</t>
  </si>
  <si>
    <t>Complete jRFC function modules for configuration</t>
  </si>
  <si>
    <t>Upload of knowledge base fails with PARSE_ERROR</t>
  </si>
  <si>
    <t>Information about documents referenced in KB runtime version</t>
  </si>
  <si>
    <t>No output in program RCOM_CFG_RFC_TRACE_NAVIGATOR</t>
  </si>
  <si>
    <t>Translation missing for explanation texts</t>
  </si>
  <si>
    <t>Performance beim Löschen der Instanzen</t>
  </si>
  <si>
    <t>PDS-INT: Selective Integration of object dependency I</t>
  </si>
  <si>
    <t>ASSERTION_FAILS in LIME method BUILD_PN_ITEM_RANGE_COND</t>
  </si>
  <si>
    <t>Gap deletion error or duplicate INSERT in /LIME/NTREE</t>
  </si>
  <si>
    <t>Update Error - /LIME/NTREE - gap deletion fails</t>
  </si>
  <si>
    <t>/LIME/BACKGROUND_DELETE_EXEC doesn't del. all NQUAN entries</t>
  </si>
  <si>
    <t>Correction of method GET_LOG_SERIAL</t>
  </si>
  <si>
    <t>LFT value inconsistency in /LIME/NQUAN</t>
  </si>
  <si>
    <t>Performance of /LIME/QUERY_NQUAN is not optimal</t>
  </si>
  <si>
    <t>/LIME/CORE 134 error message not detailed enough</t>
  </si>
  <si>
    <t>Shortdump when performing Ibase search on description</t>
  </si>
  <si>
    <t>To expose Ibase objects for higher layer applications</t>
  </si>
  <si>
    <t>expose some objects in our interface</t>
  </si>
  <si>
    <t>expose some objects in interfaces of IB03,IB06,IB00X</t>
  </si>
  <si>
    <t>RFC call resulting in DBIF_RSQL_INVALID_CURSOR error</t>
  </si>
  <si>
    <t>Deimplementation of note '1385532'</t>
  </si>
  <si>
    <t>Extending structure GT_S_CHANGE with XNOAUTO field</t>
  </si>
  <si>
    <t>Error during XPRAS_UPG: "/SAPCND/ENGINE_TYPE" is u</t>
  </si>
  <si>
    <t>Java user exits have extra null characters after download</t>
  </si>
  <si>
    <t>Resetting selected records not possible in interaction layer</t>
  </si>
  <si>
    <t>Incorrect display of group condition at header level</t>
  </si>
  <si>
    <t>ABAP Unit issue with test report PRC_SCALEBASE_TEST</t>
  </si>
  <si>
    <t>Header attributes not considered for communication structure</t>
  </si>
  <si>
    <t>The flag Int-comBillCond is not read from the database</t>
  </si>
  <si>
    <t>Tax condition missing onadding statistical item after update</t>
  </si>
  <si>
    <t>Pricing Condition Access formula</t>
  </si>
  <si>
    <t>Performance of CUTRC</t>
  </si>
  <si>
    <t>INT-PDS: Slow performance due to selection conditions</t>
  </si>
  <si>
    <t>Correction of check report CONDITION_ACCESS_CHECK</t>
  </si>
  <si>
    <t>Correction of function module /SAPCND/CNF_DYNAMIC_ACCESS</t>
  </si>
  <si>
    <t>AC</t>
  </si>
  <si>
    <t>Accounting General</t>
  </si>
  <si>
    <t>AC-INT</t>
  </si>
  <si>
    <t>Accounting Interface</t>
  </si>
  <si>
    <t>BAPI: Incorrect discount conditions are updated</t>
  </si>
  <si>
    <t>BKPF-CPUTM not updated for BAPI postings</t>
  </si>
  <si>
    <t>IT_ACCTX not available in enhancement ACBAPI01</t>
  </si>
  <si>
    <t>Configurator</t>
  </si>
  <si>
    <t>cu34/35: Material number missing in config.profile selection</t>
  </si>
  <si>
    <t>AP-MD-BP</t>
  </si>
  <si>
    <t>Business Partner</t>
  </si>
  <si>
    <t>AP-MD-BP-SYN</t>
  </si>
  <si>
    <t>Business Partner Syn</t>
  </si>
  <si>
    <t>SYN: Synchronization always transfers data in current state</t>
  </si>
  <si>
    <t>BC</t>
  </si>
  <si>
    <t>Basis Components</t>
  </si>
  <si>
    <t>BC-CUS</t>
  </si>
  <si>
    <t>Customizing</t>
  </si>
  <si>
    <t>Dummy Note for Internal Corrections: DO NOT RELEASE</t>
  </si>
  <si>
    <t>BC-ILM</t>
  </si>
  <si>
    <t>Information Lifecycle Management</t>
  </si>
  <si>
    <t>BC-ILM-LCM</t>
  </si>
  <si>
    <t>Legal Case Mgmt ILM</t>
  </si>
  <si>
    <t>E-Discovery Berichte für Legal Case Management</t>
  </si>
  <si>
    <t>BC-SRV</t>
  </si>
  <si>
    <t>Basis Services/Communication Interfaces</t>
  </si>
  <si>
    <t>BC-SRV-GBT</t>
  </si>
  <si>
    <t>Please use subcomponents</t>
  </si>
  <si>
    <t>BC-SRV-GBT-DRB</t>
  </si>
  <si>
    <t>Document Relation</t>
  </si>
  <si>
    <t>DRB: Number range problem in SD</t>
  </si>
  <si>
    <t>BW</t>
  </si>
  <si>
    <t>SAP Business Information Warehouse</t>
  </si>
  <si>
    <t>BW-BCT</t>
  </si>
  <si>
    <t>Business Content and Extractors</t>
  </si>
  <si>
    <t>BW-BCT-CO</t>
  </si>
  <si>
    <t>Controlling</t>
  </si>
  <si>
    <t>BW-BCT-CO-OM</t>
  </si>
  <si>
    <t>Overhead Cost Cont.</t>
  </si>
  <si>
    <t>BW-BCT: Poor performance from 0PM_OM_OPA_2/3</t>
  </si>
  <si>
    <t>BW-BCT: Control parameter for order extraction</t>
  </si>
  <si>
    <t>BW-BCT-FI</t>
  </si>
  <si>
    <t>Financial Accounting</t>
  </si>
  <si>
    <t>BW-BCT-FI-AA</t>
  </si>
  <si>
    <t>Asset Accounting</t>
  </si>
  <si>
    <t>Multiple company codes: DataSource 0FI_AA_20 incorrect</t>
  </si>
  <si>
    <t>BW-BCT-LO</t>
  </si>
  <si>
    <t>BW-BCT-LO-LIS</t>
  </si>
  <si>
    <t>Logistics InfoSystem</t>
  </si>
  <si>
    <t>Dummy-Hinweis: Übersetzung / CHECKMAN / Jlin / Build Error</t>
  </si>
  <si>
    <t>BW-BCT-MM</t>
  </si>
  <si>
    <t>Materials Management</t>
  </si>
  <si>
    <t>BW-BCT-MM-IM</t>
  </si>
  <si>
    <t>Inventory Management</t>
  </si>
  <si>
    <t>SAP Internal: ERP-SP01 Corrections</t>
  </si>
  <si>
    <t>BW-BCT-MM-PUR</t>
  </si>
  <si>
    <t>Purchase</t>
  </si>
  <si>
    <t>CPPR-Charts not displayed in CPPR when multiple</t>
  </si>
  <si>
    <t>ERP-SP01:ODP Query-&gt;Runtime error if full authorization</t>
  </si>
  <si>
    <t>BW-BCT-PLA</t>
  </si>
  <si>
    <t>Business Planning</t>
  </si>
  <si>
    <t>BW-BCT-PLA-MCB</t>
  </si>
  <si>
    <t>PLM Maintenance Cost</t>
  </si>
  <si>
    <t>0PM_PRM_PLCS_1: Error when using "Annual Cost Increases"</t>
  </si>
  <si>
    <t>0PM_PRM_PLCS_2: Error with regard hierarchical task lists</t>
  </si>
  <si>
    <t>Extractor 0PM_PRM_PLCS_2: No date for overhead rates lines</t>
  </si>
  <si>
    <t>0PM_PRM_PLCS_2: Non-stock matls w/o matl master data missing</t>
  </si>
  <si>
    <t>0PM_PRM_PLCS_2: Missing data for overhead costs</t>
  </si>
  <si>
    <t>0PM_PRM_PLCS_2: No. of simulated orders from notifications</t>
  </si>
  <si>
    <t>0PM_PRM_PLCS_2: Info record and material short text missing</t>
  </si>
  <si>
    <t>0PM_PRM_PLCS_1, 0PM_PRM_PLCS_2: Message in dialog</t>
  </si>
  <si>
    <t>0PM_PRM_PLCS_1: Message IBW006, TLIST_AUART not maintained</t>
  </si>
  <si>
    <t>BW-BCT-PP</t>
  </si>
  <si>
    <t>Production Planning and Control</t>
  </si>
  <si>
    <t>BW-BCT-PP-PP</t>
  </si>
  <si>
    <t>Production Planning</t>
  </si>
  <si>
    <t>Incorrect target quantity for follow-up materials</t>
  </si>
  <si>
    <t>BW-BCT-SD</t>
  </si>
  <si>
    <t>Sales and Distribution</t>
  </si>
  <si>
    <t>BW-BCT-SD-SLS</t>
  </si>
  <si>
    <t>Sales</t>
  </si>
  <si>
    <t>Termination M2 810 when filling the setup tables</t>
  </si>
  <si>
    <t>CA</t>
  </si>
  <si>
    <t>Cross-Application Components</t>
  </si>
  <si>
    <t>CA-DMS</t>
  </si>
  <si>
    <t>Document management</t>
  </si>
  <si>
    <t>Dump POSTING_ILLEGAL_STATEMENT, engineering desktop</t>
  </si>
  <si>
    <t>DMS: PLMWUI function modules in SAP_APPL do not exist</t>
  </si>
  <si>
    <t>CA-DMS-EDT</t>
  </si>
  <si>
    <t>Document Processing</t>
  </si>
  <si>
    <t>Info message to user if file length is more than 132 char</t>
  </si>
  <si>
    <t>CA-GTF</t>
  </si>
  <si>
    <t>General Application Functions</t>
  </si>
  <si>
    <t>CA-GTF-CPE</t>
  </si>
  <si>
    <t>Commodity Pricing</t>
  </si>
  <si>
    <t>CPE: Collective note for EhP6 SP01</t>
  </si>
  <si>
    <t>CA-GTF-CSC</t>
  </si>
  <si>
    <t>Country specific application interface objects</t>
  </si>
  <si>
    <t>CA-GTF-CSC-DME</t>
  </si>
  <si>
    <t>Data Medium Exchange</t>
  </si>
  <si>
    <t>DMEE: new routine to activate DMEE tree in background</t>
  </si>
  <si>
    <t>CA-GTF-DRT</t>
  </si>
  <si>
    <t>Data Retention Tool</t>
  </si>
  <si>
    <t>FTWB: Enabling archive file selection</t>
  </si>
  <si>
    <t>FTW1A: Performance issues while extracting TXW_CO_SPOS Data</t>
  </si>
  <si>
    <t>FTWY: Wrong deletion of records when displayed online</t>
  </si>
  <si>
    <t>FTW1A: Incorrect sign for quantities in SD billing docs</t>
  </si>
  <si>
    <t>FTWN - Termination CONVT_CODEPAGE in ALV display</t>
  </si>
  <si>
    <t>FTWH/FTWY: Dump DBIF_RSQL_SQL_ERROR in form DEL_DUPS_Axxx</t>
  </si>
  <si>
    <t>FTWP: Directory set free space status message is not clear</t>
  </si>
  <si>
    <t>CA-GTF-MS</t>
  </si>
  <si>
    <t>Mass Maintenance</t>
  </si>
  <si>
    <t>MM17: Mass maintenance for incorrect UoM due to ISO code</t>
  </si>
  <si>
    <t>CA-MDG</t>
  </si>
  <si>
    <t>Master Data Governance</t>
  </si>
  <si>
    <t>CA-MDG-APP</t>
  </si>
  <si>
    <t>Applications</t>
  </si>
  <si>
    <t>CA-MDG-APP-BP</t>
  </si>
  <si>
    <t>MDG Business Partner</t>
  </si>
  <si>
    <t>MDG: DRF-filter leads to unexpected replication-result</t>
  </si>
  <si>
    <t>Required fields check for different BUKRS, EKORG don't work</t>
  </si>
  <si>
    <t>MDG: Decoupling objects from MDG_APPL and SAP_APPL</t>
  </si>
  <si>
    <t>CA-MDG-APP-CUS</t>
  </si>
  <si>
    <t>MDG Customer</t>
  </si>
  <si>
    <t>MDG-C client copy: message log contains incorrect messages</t>
  </si>
  <si>
    <t>CA-MDG-APP-SUP</t>
  </si>
  <si>
    <t>MDG Supplier (Centra</t>
  </si>
  <si>
    <t>MDG: Hub inbound processing does not transfer errors to FEH</t>
  </si>
  <si>
    <t>CO</t>
  </si>
  <si>
    <t>Technical changes - only internal</t>
  </si>
  <si>
    <t>CO-OM</t>
  </si>
  <si>
    <t>Text of request type is empty in change request POWLs</t>
  </si>
  <si>
    <t>CO Master Data - SAP_APPL SP01 Correction</t>
  </si>
  <si>
    <t>OKBI: Summarization not executed as expected</t>
  </si>
  <si>
    <t>CO-OM-CCA</t>
  </si>
  <si>
    <t>Cost Center Accounting</t>
  </si>
  <si>
    <t>CO-OM-CCA-A</t>
  </si>
  <si>
    <t>Master data BAPIs: Problem with cost center texts</t>
  </si>
  <si>
    <t>RKEOGEN1: Master data change is not executed</t>
  </si>
  <si>
    <t>BAPI: Change documents missing for communication language</t>
  </si>
  <si>
    <t>CO-OM-CCA-D</t>
  </si>
  <si>
    <t>Commitments</t>
  </si>
  <si>
    <t>falscher Obligosatz</t>
  </si>
  <si>
    <t>CO-OM-CCA-E</t>
  </si>
  <si>
    <t>Postings</t>
  </si>
  <si>
    <t>BatchMan postprocessing: External document number is ignored</t>
  </si>
  <si>
    <t>CO-OM-CCA-F</t>
  </si>
  <si>
    <t>Period-end Closing</t>
  </si>
  <si>
    <t>Error message GA146 when creating cycles with template</t>
  </si>
  <si>
    <t>CO-OM-OPA</t>
  </si>
  <si>
    <t>Overhead Orders</t>
  </si>
  <si>
    <t>CO-OM-OPA-A</t>
  </si>
  <si>
    <t>SPC transfer in ERP2005</t>
  </si>
  <si>
    <t>KOSRLIST_PR: Pushbuttons with text instead of icons</t>
  </si>
  <si>
    <t>KO02: Profit center change is not allowed with new GL</t>
  </si>
  <si>
    <t>CO-OM-OPA-C</t>
  </si>
  <si>
    <t>Budgeting</t>
  </si>
  <si>
    <t>BPFCTRA0: Dump MEMORY_NO_MORE_PAGING</t>
  </si>
  <si>
    <t>Unjustified error messages when entering budgets or releases</t>
  </si>
  <si>
    <t>No residual order plan from plan values of production order</t>
  </si>
  <si>
    <t>CO-PC</t>
  </si>
  <si>
    <t>Product Cost Controlling</t>
  </si>
  <si>
    <t>CO-PC-ACT</t>
  </si>
  <si>
    <t>Actual Costing/M. L.</t>
  </si>
  <si>
    <t>CKMLCP/CKMLCPAVR: Error CKMLMV 170 in background</t>
  </si>
  <si>
    <t>Additional selection options for selection</t>
  </si>
  <si>
    <t>Translation of Dataelements CKML_VERSN...</t>
  </si>
  <si>
    <t>CO-PC-ACT-MAC</t>
  </si>
  <si>
    <t>Multilevel Actl Cstg</t>
  </si>
  <si>
    <t>Runtime error "WRONG_INPUT_DATA" during multilevel price det</t>
  </si>
  <si>
    <t>CO-PC-ACT-PRU</t>
  </si>
  <si>
    <t>Price Changes</t>
  </si>
  <si>
    <t>Incorr cost component split after maintaining future prices</t>
  </si>
  <si>
    <t>CO-PC-ACT-WIP</t>
  </si>
  <si>
    <t>revaluation of WIP</t>
  </si>
  <si>
    <t>Note 1230454: Follow-up correction</t>
  </si>
  <si>
    <t>CO-PC-OBJ</t>
  </si>
  <si>
    <t>Cost Object Control.</t>
  </si>
  <si>
    <t>Overhead origin group is ignored by the results analysis</t>
  </si>
  <si>
    <t>Staffing for project does not get deleted in ERP</t>
  </si>
  <si>
    <t>Overhead: Message KA 184 with missing credit</t>
  </si>
  <si>
    <t>Function module IAOM_OM_CHECK_ARCHIVABILITY missing</t>
  </si>
  <si>
    <t>CO-PC-PCP</t>
  </si>
  <si>
    <t>Product Cost Plan.</t>
  </si>
  <si>
    <t>OrderSplit: standard price of by-product rounded incorrectly</t>
  </si>
  <si>
    <t>OLC: Material and plant is not included in CO-origin</t>
  </si>
  <si>
    <t>CO-PC-PCP-REF</t>
  </si>
  <si>
    <t>Ref.a.SimulationCstg</t>
  </si>
  <si>
    <t>ECP, Execution Service PReq, missing purch org + incorr text</t>
  </si>
  <si>
    <t>Easy Cost Planning: Incorrect item numbers displayed</t>
  </si>
  <si>
    <t>CRM</t>
  </si>
  <si>
    <t>Customer Relationship Management</t>
  </si>
  <si>
    <t>CRM-MD</t>
  </si>
  <si>
    <t>CRM-MD-BP</t>
  </si>
  <si>
    <t>Business Partners</t>
  </si>
  <si>
    <t>CRM-MD-BP-IF</t>
  </si>
  <si>
    <t>Data Exch. CRM - R/3</t>
  </si>
  <si>
    <t>Incorrect structure for BUPR_NEWTAB_SEQ_NEW enhancement</t>
  </si>
  <si>
    <t>CRM-MD-PRO</t>
  </si>
  <si>
    <t>Products</t>
  </si>
  <si>
    <t>CRM-MD-PRO-IF</t>
  </si>
  <si>
    <t>Data Exchange</t>
  </si>
  <si>
    <t>BOM delta load doesn't flow from ERP to CRM</t>
  </si>
  <si>
    <t>EC</t>
  </si>
  <si>
    <t>Enterprise Controlling</t>
  </si>
  <si>
    <t>EC-CS</t>
  </si>
  <si>
    <t>Legal Consolidation</t>
  </si>
  <si>
    <t>EC-CS-CSF</t>
  </si>
  <si>
    <t>Consolidation Functions</t>
  </si>
  <si>
    <t>EC-CS-CSF-A</t>
  </si>
  <si>
    <t>Master data</t>
  </si>
  <si>
    <t>Error message GK 897 when executing task</t>
  </si>
  <si>
    <t>EC-CS-CSF-J</t>
  </si>
  <si>
    <t>Consolidation of inv</t>
  </si>
  <si>
    <t>Ret. earn. in incr. in capitalization for proportional cons.</t>
  </si>
  <si>
    <t>Incorrect statistical equity in indirect acquisition</t>
  </si>
  <si>
    <t>EC-EIS</t>
  </si>
  <si>
    <t>Executive Information System</t>
  </si>
  <si>
    <t>EC-EIS-DD</t>
  </si>
  <si>
    <t>Interactive Report.</t>
  </si>
  <si>
    <t>SAPLKEBR: inconsistancies in text elements</t>
  </si>
  <si>
    <t>EP</t>
  </si>
  <si>
    <t>Enterprise Portal</t>
  </si>
  <si>
    <t>EP-PCT</t>
  </si>
  <si>
    <t>Portal Content</t>
  </si>
  <si>
    <t>EP-PCT-MGR</t>
  </si>
  <si>
    <t>Manager functionality</t>
  </si>
  <si>
    <t>EP-PCT-MGR-CO</t>
  </si>
  <si>
    <t>BP for MSS FI</t>
  </si>
  <si>
    <t>Application TRM: Form with incorrect version displayed</t>
  </si>
  <si>
    <t>ISR Improved Messags Logging</t>
  </si>
  <si>
    <t>Completed ISR Forms still Accesible</t>
  </si>
  <si>
    <t>ISR: GET_SPECIAL_DATA_WITH_INDEX returns incorrect value</t>
  </si>
  <si>
    <t>Back to Requestor ISR_PROCESS_EVENT doesn't save changes</t>
  </si>
  <si>
    <t>EP-PCT-PUR</t>
  </si>
  <si>
    <t>Purchasing Packages</t>
  </si>
  <si>
    <t>EP-PCT-PUR-BP</t>
  </si>
  <si>
    <t>BP for Buyer</t>
  </si>
  <si>
    <t>BAdI enhancement for POWL feeder in materials management</t>
  </si>
  <si>
    <t>POWL feeder for vendors: Incorrect search results</t>
  </si>
  <si>
    <t>POWL for contracts: Price unit is not displayed</t>
  </si>
  <si>
    <t>POWL feeder for purchase requisition: Search for material</t>
  </si>
  <si>
    <t>POWL for purchase order, contract &amp; RFQ: Search for material</t>
  </si>
  <si>
    <t>OBJECTS_OBJREF_NOT_ASSIGNED by accepting order acknowledg.</t>
  </si>
  <si>
    <t>FI</t>
  </si>
  <si>
    <t>FI-AA</t>
  </si>
  <si>
    <t>FI-AA-AA</t>
  </si>
  <si>
    <t>Basic Functions</t>
  </si>
  <si>
    <t>FI-AA-AA-A</t>
  </si>
  <si>
    <t>Error message: Text is truncated, no detailed display</t>
  </si>
  <si>
    <t>AS01 - checking capitalization date</t>
  </si>
  <si>
    <t>AS02/AS03 displaying insurable value</t>
  </si>
  <si>
    <t>FI-AA-AA-D</t>
  </si>
  <si>
    <t>Net Worth Tax</t>
  </si>
  <si>
    <t>GETWA_NOT_ASSIGNED when creatng/changng/deletng depr. area</t>
  </si>
  <si>
    <t>FI-AA-AA-E</t>
  </si>
  <si>
    <t>Periodic Posting</t>
  </si>
  <si>
    <t>RAPERB2000: Message short text A 064</t>
  </si>
  <si>
    <t>RAPERDEL - no information message "APERB 048"</t>
  </si>
  <si>
    <t>FI-AA-IS</t>
  </si>
  <si>
    <t>Information System</t>
  </si>
  <si>
    <t>AW01N: Incorrect value determined for net book value</t>
  </si>
  <si>
    <t>Reporting: Inefficient accessing of project information II</t>
  </si>
  <si>
    <t>Reporting: No ANLU fields during archive evaluation</t>
  </si>
  <si>
    <t>FI-AP</t>
  </si>
  <si>
    <t>Accounts Payable</t>
  </si>
  <si>
    <t>FI-AP-AP</t>
  </si>
  <si>
    <t>ERPOPS606_SP01: Side panel data not getting populated.</t>
  </si>
  <si>
    <t>FI-AP-AP-A</t>
  </si>
  <si>
    <t>Pstng/Clrg/SpecG.Led</t>
  </si>
  <si>
    <t>FBA7: Purchase order is not transferred from request</t>
  </si>
  <si>
    <t>FI: Bank country on one-time screen no longer proposed</t>
  </si>
  <si>
    <t>FB60: Incorrect functional area cannot be corrected: FN-040</t>
  </si>
  <si>
    <t>FI-AP-AP-B</t>
  </si>
  <si>
    <t>Payment prg. /trnsf.</t>
  </si>
  <si>
    <t>FBZ0 ... Sorting with ALV Grid</t>
  </si>
  <si>
    <t>RFZALI20: Unicode conversion for report variants</t>
  </si>
  <si>
    <t>F110 Ctry of destination of payment method for alt. payee</t>
  </si>
  <si>
    <t>F110 incomplete processing of partner profit center</t>
  </si>
  <si>
    <t>F110/SEPA: Consideration of TARGET calendar</t>
  </si>
  <si>
    <t>F110: Incorrect payee (in addition to bank details)</t>
  </si>
  <si>
    <t>F110: Error when checking country of dest. of payment method</t>
  </si>
  <si>
    <t>F110/SEPA: Clearing date II</t>
  </si>
  <si>
    <t>F110/F111: Deleting parameters after payment run</t>
  </si>
  <si>
    <t>FI-AP-AP-B1</t>
  </si>
  <si>
    <t>Payment transfer</t>
  </si>
  <si>
    <t>FI_XML_CT non-euro payments</t>
  </si>
  <si>
    <t>RFFONO_T: Sequence number has to be filled with space.</t>
  </si>
  <si>
    <t>AOA-PY-MY: Old IC number not in the dme file</t>
  </si>
  <si>
    <t>Short dump in report RFEBBECODA00 due to code-page error</t>
  </si>
  <si>
    <t>Italy CUP/CIG Legal change for Sales and distribution side.</t>
  </si>
  <si>
    <t>DMEE format CH_DTA: Incomplete name in DTA file</t>
  </si>
  <si>
    <t>Error while uploading el. bank statement (coda)</t>
  </si>
  <si>
    <t>RFFOJP_L: Enhancement of the EXIT_RFFOEXIT_230.</t>
  </si>
  <si>
    <t>RFEBBECODA00: Error FB 733 - No House bank exists</t>
  </si>
  <si>
    <t>RFFOBE_E: Acc. holder's name wrongly filled in the o/p file</t>
  </si>
  <si>
    <t>DMEE: V3_IZV : Telephone number not passed in COM segment.</t>
  </si>
  <si>
    <t>Italy: CUP/CIG payment splitting(cust)+ Bills of exch.(FBWE)</t>
  </si>
  <si>
    <t>FI-AP-AP-D</t>
  </si>
  <si>
    <t>Reporting/Display</t>
  </si>
  <si>
    <t>Authorization check can be skipped</t>
  </si>
  <si>
    <t>Balance display: Open items for FY w/ less than 16 periods</t>
  </si>
  <si>
    <t>RF42BAGV(Clearing transactions): 'Export' authorization</t>
  </si>
  <si>
    <t>FI-AP-AP-J</t>
  </si>
  <si>
    <t>Int./Acc.Interface</t>
  </si>
  <si>
    <t>Notes 1353125/1497092: Invoice items for each FI document</t>
  </si>
  <si>
    <t>Notes 1353125/1497092: F5 151 for external number assignment</t>
  </si>
  <si>
    <t>MR8M: 2nd/3rd local curr. when reversing cross-CC postings</t>
  </si>
  <si>
    <t>Parking using AC interface and external doc number assignmnt</t>
  </si>
  <si>
    <t>FI-AP-AP-N</t>
  </si>
  <si>
    <t>Display of change documents/master data: Focus is lost</t>
  </si>
  <si>
    <t>Change doc display: Internal error:READ_IBAN SY-SUBRC&lt;&gt;0</t>
  </si>
  <si>
    <t>Change documents: Key for entries and deletions incorrect</t>
  </si>
  <si>
    <t>FI-AP-AP-Q1</t>
  </si>
  <si>
    <t>WithholdingTax(Rptg)</t>
  </si>
  <si>
    <t>Incorrect documents picked up for RF0KQST5</t>
  </si>
  <si>
    <t>Modello 770 Legal Change for Italy - 2011</t>
  </si>
  <si>
    <t>RFKQST00: incorrect results if tax code is not cleared</t>
  </si>
  <si>
    <t>FI-AP-AP-W</t>
  </si>
  <si>
    <t>Pre Posting/Workflow</t>
  </si>
  <si>
    <t>No BI data for SAPLKACB 0002 (00 344, Note 1137272)</t>
  </si>
  <si>
    <t>FI-AR</t>
  </si>
  <si>
    <t>Accounts Receivable</t>
  </si>
  <si>
    <t>FI-AR-AR</t>
  </si>
  <si>
    <t>FI-AR-AR-A</t>
  </si>
  <si>
    <t>F-26 - selection w/o customer: Amount assigned incorrect II</t>
  </si>
  <si>
    <t>FI-AR-AR-C</t>
  </si>
  <si>
    <t>Dunning/Interest</t>
  </si>
  <si>
    <t>RFMAHN21: Changing dunning level duplicates the entry</t>
  </si>
  <si>
    <t>FINT Performamce in test run with mass data</t>
  </si>
  <si>
    <t>F150: Dunning interval is not taken into account II</t>
  </si>
  <si>
    <t>RFMAHN21: Changes not updated in MHNKO and MHNDO</t>
  </si>
  <si>
    <t>FINTSHOW: No reprint when minimum/maximum amount increased</t>
  </si>
  <si>
    <t>FINTSHOW: Printer is no longer suggested</t>
  </si>
  <si>
    <t>FI-AR-AR-H</t>
  </si>
  <si>
    <t>Bill of exchange</t>
  </si>
  <si>
    <t>F110/FBWE: Bank no. instead of bank key in bill of exchange</t>
  </si>
  <si>
    <t>FBWE/DME: Bank details are not transferred correctly</t>
  </si>
  <si>
    <t>FI-AR-AR-J</t>
  </si>
  <si>
    <t>Inconsistent tax base amounts in FI doc for SD billing doc</t>
  </si>
  <si>
    <t>Error message F5 702 for SD down payment clearing</t>
  </si>
  <si>
    <t>FI-BL</t>
  </si>
  <si>
    <t>Bank-Related Accounting</t>
  </si>
  <si>
    <t>FI-BL-PT</t>
  </si>
  <si>
    <t>Payment Transactions</t>
  </si>
  <si>
    <t>FI-BL-PT-CJ</t>
  </si>
  <si>
    <t>Cash Journal</t>
  </si>
  <si>
    <t>FBCJ: Direct tax posting with changed base amount</t>
  </si>
  <si>
    <t>FBCJ: RFCASH20 Payt amt incorr if extended withholding tax</t>
  </si>
  <si>
    <t>FBCJ: Check of cash account for open period</t>
  </si>
  <si>
    <t>FBCJ: Incorrect account assignment query</t>
  </si>
  <si>
    <t>FI-BL-PT-FO</t>
  </si>
  <si>
    <t>payment forms</t>
  </si>
  <si>
    <t>FCHR: Error message FB 707 "Import of database ..."</t>
  </si>
  <si>
    <t>Message in job log is truncated</t>
  </si>
  <si>
    <t>FI-BL-PT-PR</t>
  </si>
  <si>
    <t>payment prog/request</t>
  </si>
  <si>
    <t>F110 ... incorrect default for message FZ677</t>
  </si>
  <si>
    <t>F111 Dump with ITEM_AMOUNT_CALC</t>
  </si>
  <si>
    <t>F111: Exception cond. "PARAMETERS_NOT_EXISTING" triggered</t>
  </si>
  <si>
    <t>Value date is deleted in payment request</t>
  </si>
  <si>
    <t>FI-GL</t>
  </si>
  <si>
    <t>General Ledger Accounting</t>
  </si>
  <si>
    <t>FI-GL-CU</t>
  </si>
  <si>
    <t>Foreign Currency Accounting</t>
  </si>
  <si>
    <t>FI-GL-CU-MCA</t>
  </si>
  <si>
    <t>Multi Currency Accou</t>
  </si>
  <si>
    <t>Missing Default Layout for Manual Document Entry</t>
  </si>
  <si>
    <t>MCA P&amp;L process: handling of AWTYP</t>
  </si>
  <si>
    <t>FX Valuation: Flag to Display Documents has no effect</t>
  </si>
  <si>
    <t>Navigation into G/L Account Balances from Run Administration</t>
  </si>
  <si>
    <t>FI-GL-FL</t>
  </si>
  <si>
    <t>Flexible Structures</t>
  </si>
  <si>
    <t>Change of document splitting logic for Logistics invoices</t>
  </si>
  <si>
    <t>Runtime error BALANCE_CCODE when clearing HCM documents</t>
  </si>
  <si>
    <t>Updtng cst cntr durng follow-up pstng in general ledger view</t>
  </si>
  <si>
    <t>FI-GL-GL</t>
  </si>
  <si>
    <t>New GL reversal: Continuation to Note 1553369</t>
  </si>
  <si>
    <t>FI-GL-GL-A</t>
  </si>
  <si>
    <t>Posting/Clearing</t>
  </si>
  <si>
    <t>Error when converting held documents (RFTMPBLU)</t>
  </si>
  <si>
    <t>F.14: Business process is not transferred</t>
  </si>
  <si>
    <t>FB03: Navigation to clearing document fails</t>
  </si>
  <si>
    <t>EnjoySAP: Accnt assgnmnt template w/ changed fld status III</t>
  </si>
  <si>
    <t>SAPF124: Statistics for tolerances incorrect</t>
  </si>
  <si>
    <t>Increased CPU requirement during posting and clearing</t>
  </si>
  <si>
    <t>FB03/Display from Item...: Line is not flagged</t>
  </si>
  <si>
    <t>FBU3/ALV grid control: Currency displayed incorrectly</t>
  </si>
  <si>
    <t>FI-GL-GL-D</t>
  </si>
  <si>
    <t>FAGLL03: Dump GETWA_NOT_ASSIGNED (2)</t>
  </si>
  <si>
    <t>FS10N: Drill-Down leads to differences with active splitting</t>
  </si>
  <si>
    <t>FI-GL-GL-F</t>
  </si>
  <si>
    <t>Value Added Tax (VAT</t>
  </si>
  <si>
    <t>RFUMSV25: Direct payment of items for doubtful receivables</t>
  </si>
  <si>
    <t>Badi VATDATE_RULES: VF11 w/ new cancellation, FB08 w/ input</t>
  </si>
  <si>
    <t>Entering tax rate and using it for national currency</t>
  </si>
  <si>
    <t>DUMP 'Collect_Overflow' because of field BSET-TXMOD</t>
  </si>
  <si>
    <t>Incorrect taxable values on tax tab page</t>
  </si>
  <si>
    <t>Enhancement interface BTE 2051 with export LWBAS, LWSTE</t>
  </si>
  <si>
    <t>G/L account &amp; is not defined in chart of accounts &amp;</t>
  </si>
  <si>
    <t>Sixth Law Amending Excise Duty Laws section 13b</t>
  </si>
  <si>
    <t>RFUMSV10: Reversing cross-company code transactions</t>
  </si>
  <si>
    <t>Enhancement of Note 730466 for Bulgaria (BG)</t>
  </si>
  <si>
    <t>PEO: Incorrect tax base amount in correction document</t>
  </si>
  <si>
    <t>RFUMSV10: Program termination with error F7 226, part 2</t>
  </si>
  <si>
    <t>RFUMSV00: Passing report selection parameters to BAdIs</t>
  </si>
  <si>
    <t>MIRO: Runtime error in SAPLTAX1 'steuer_ebset_verteilen'</t>
  </si>
  <si>
    <t>BSEG-TXGRP remains initial in tax line items</t>
  </si>
  <si>
    <t>RFUMSV25: Short dump COMPUTE_BCD_OVERFLOW</t>
  </si>
  <si>
    <t>RFUMSV50: DP chains - Routine distrib_round_diff deactivated</t>
  </si>
  <si>
    <t>RFUMSV00: Runtime error CONVT_OVERFLOW</t>
  </si>
  <si>
    <t>EU codes M + H for Spain</t>
  </si>
  <si>
    <t>RFUMSV25: Tax amounts in list and transfer posting different</t>
  </si>
  <si>
    <t>FB60 tax screen - net proposal incorrect for forgn currency</t>
  </si>
  <si>
    <t>FI-GL-GL-G</t>
  </si>
  <si>
    <t>Cl. Ops./Period-End</t>
  </si>
  <si>
    <t>RFAWVZ40N: Name of state central bank indic. in Z4 form</t>
  </si>
  <si>
    <t>FAGL_FC_VAL: Lock object for delta logic</t>
  </si>
  <si>
    <t>FAGL_FC_VALUATION: Account Determination / Negative Posting</t>
  </si>
  <si>
    <t>newGL Allocation: By SKF no receiver found</t>
  </si>
  <si>
    <t>FAGL_FC_VALUATION: Run ID in FAGL_BSBW_HISTRY</t>
  </si>
  <si>
    <t>FI-GL-GL-J</t>
  </si>
  <si>
    <t>Error F5 733 when posting using AC_DOCUMENT_DIRECT_INPUT</t>
  </si>
  <si>
    <t>Short dump BALANCE_CALC_LOGVO_1 for postings using MIRO</t>
  </si>
  <si>
    <t>FI-GL-GL-N</t>
  </si>
  <si>
    <t>Premature completion of transaction FS00</t>
  </si>
  <si>
    <t>F4 input hlp/SAKO: Company code in srch hlp cannt be changed</t>
  </si>
  <si>
    <t>FI-GL-GL-W</t>
  </si>
  <si>
    <t>FBV3/print preview: Incorrect display of local currency</t>
  </si>
  <si>
    <t>FBV1: Message AA424 even though quantity was entered</t>
  </si>
  <si>
    <t>FBV6/ENJOY: Incorrect status for document with XWFFR = space</t>
  </si>
  <si>
    <t>FB01/Save as complete: No check according to T003-XKKPR</t>
  </si>
  <si>
    <t>FIN</t>
  </si>
  <si>
    <t>Financials</t>
  </si>
  <si>
    <t>FIN-FB</t>
  </si>
  <si>
    <t>Financials Basis</t>
  </si>
  <si>
    <t>Central Dummy note for ERP Financials EHP6</t>
  </si>
  <si>
    <t>FIN-FSCM</t>
  </si>
  <si>
    <t>Financial Supply Chain Management</t>
  </si>
  <si>
    <t>FIN-FSCM-BC</t>
  </si>
  <si>
    <t>Billing Consolidation</t>
  </si>
  <si>
    <t>FIN-FSCM-BC-CON</t>
  </si>
  <si>
    <t>EBPP Connectors</t>
  </si>
  <si>
    <t>EDX: Wrong transformation parameter in parking method</t>
  </si>
  <si>
    <t>EDX: Table "EDX_TRANSF_IN" support for * (any sender)</t>
  </si>
  <si>
    <t>EDX: Report EDX_SEND support for no leading zeros</t>
  </si>
  <si>
    <t>EDX: Sending ISF without PDF</t>
  </si>
  <si>
    <t>EDX: EDX_LIST report field Referenced document is empty</t>
  </si>
  <si>
    <t>EDX: Adding transaction and ALV to program EDX_READ_FILES</t>
  </si>
  <si>
    <t>FIN-FSCM-BNK</t>
  </si>
  <si>
    <t>Direct Bank Communic</t>
  </si>
  <si>
    <t>BNK_MONI: Incoming status message - no record found</t>
  </si>
  <si>
    <t>RBNK_BATCH_RETRY_FILE_CREATION sets batch status incorrectly</t>
  </si>
  <si>
    <t>BankAccountStatementNotification_In: Long account numbers</t>
  </si>
  <si>
    <t>FTE_BSM: IDOC account statements are not displayed</t>
  </si>
  <si>
    <t>BNK_APP: Incorrect batch amount after payment rejection</t>
  </si>
  <si>
    <t>Report RBNK_PAYM_SCHEDULE: Execution without parameters</t>
  </si>
  <si>
    <t>Preventing incorrect operation in BCM</t>
  </si>
  <si>
    <t>CPON: Status notification for HCM payments</t>
  </si>
  <si>
    <t>BNK_BADI_ORIG_PAYMT_CHG: Value date is not set</t>
  </si>
  <si>
    <t>Authorization check for F_REGU_BUK in BNK_MONI</t>
  </si>
  <si>
    <t>BNK_APP: Resubmission date is not transferred</t>
  </si>
  <si>
    <t>BNK_MONI: Additional identification characteristic incorrect</t>
  </si>
  <si>
    <t>FIN-FSCM-CM</t>
  </si>
  <si>
    <t>Cash Management</t>
  </si>
  <si>
    <t>Hard-coded credentials in Cash Management</t>
  </si>
  <si>
    <t>FF7A/FF7B: Termination during drilldown in line item display</t>
  </si>
  <si>
    <t>FIN-FSCM-COL</t>
  </si>
  <si>
    <t>Collections Mgmt.</t>
  </si>
  <si>
    <t>Special characters in Resubmission note field</t>
  </si>
  <si>
    <t>SAP Collections Management: Import parameter I_QUALIFIER</t>
  </si>
  <si>
    <t>Document transfer in two steps is not stable</t>
  </si>
  <si>
    <t>FIN-FSCM-CR</t>
  </si>
  <si>
    <t>Credit Management</t>
  </si>
  <si>
    <t>CreditManagementAccountByIDQuery: Message header is missing</t>
  </si>
  <si>
    <t>Number of dunning notices determined with one-digit only</t>
  </si>
  <si>
    <t>FIN-FSCM-DM</t>
  </si>
  <si>
    <t>Dispute Management</t>
  </si>
  <si>
    <t>Performance when creating dispute cases</t>
  </si>
  <si>
    <t>FIN-FSCM-TRM</t>
  </si>
  <si>
    <t>Treasury and Risk Management</t>
  </si>
  <si>
    <t>FIN-FSCM-TRM-AN</t>
  </si>
  <si>
    <t>Analyzer</t>
  </si>
  <si>
    <t>Financial objects for positions in futures account</t>
  </si>
  <si>
    <t>FIN-SEM</t>
  </si>
  <si>
    <t>Strategic Enterprise Management</t>
  </si>
  <si>
    <t>FIN-SEM-BCS</t>
  </si>
  <si>
    <t>Business Consolidation</t>
  </si>
  <si>
    <t>FIN-SEM-BCS-INT</t>
  </si>
  <si>
    <t>Data Transfer</t>
  </si>
  <si>
    <t>FIN-SEM-BCS-INT-LD</t>
  </si>
  <si>
    <t>Load from datastream</t>
  </si>
  <si>
    <t>Dump CONNE_IMPORT_WRONG_COMP_LENG when loading hierarchy</t>
  </si>
  <si>
    <t>FS</t>
  </si>
  <si>
    <t>Financial Services</t>
  </si>
  <si>
    <t>FS-CML</t>
  </si>
  <si>
    <t>Consumer and Mortgage Loans</t>
  </si>
  <si>
    <t>FS-CML-IS</t>
  </si>
  <si>
    <t>FS-CML-IS-MIG</t>
  </si>
  <si>
    <t>Migration</t>
  </si>
  <si>
    <t>MIG: Error UX 275</t>
  </si>
  <si>
    <t>IM</t>
  </si>
  <si>
    <t>Investment Management</t>
  </si>
  <si>
    <t>IM-FA</t>
  </si>
  <si>
    <t>Spec. investments</t>
  </si>
  <si>
    <t>IM-FA-IS</t>
  </si>
  <si>
    <t>DataSource 0IM_REPOBJ_ATTR: Unjustified error 00 208</t>
  </si>
  <si>
    <t>IS</t>
  </si>
  <si>
    <t>Industry-Specific Components</t>
  </si>
  <si>
    <t>IS-A</t>
  </si>
  <si>
    <t>Industry-Specific Component Automotive</t>
  </si>
  <si>
    <t>IS-A-GR</t>
  </si>
  <si>
    <t>Goods Receipt</t>
  </si>
  <si>
    <t>VL60/BORGR Error BORGR 675 during partial GR with HUs</t>
  </si>
  <si>
    <t>IS-ADEC</t>
  </si>
  <si>
    <t>Ind.-Spec.Comp. Aerospace&amp;Defense / Engineering&amp;Construction</t>
  </si>
  <si>
    <t>IS-ADEC-MPN</t>
  </si>
  <si>
    <t>Manufacturer Part No</t>
  </si>
  <si>
    <t>Core Enhancement Options for Industry Solution Correction</t>
  </si>
  <si>
    <t>IS-ADEC-ROT</t>
  </si>
  <si>
    <t>Rotable Mangement</t>
  </si>
  <si>
    <t>Refurbishment order: Notification assignment via object list</t>
  </si>
  <si>
    <t>Technical prerequisite for Note 1604566</t>
  </si>
  <si>
    <t>IS-ADEC-SUB</t>
  </si>
  <si>
    <t>Subcontracting</t>
  </si>
  <si>
    <t>Technical prerequisite for DIMP note 1604916</t>
  </si>
  <si>
    <t>IS-MP</t>
  </si>
  <si>
    <t>IS Mill Products</t>
  </si>
  <si>
    <t>Program PPARCHP1: Error during syntax check in PARCHI02</t>
  </si>
  <si>
    <t>IS-MP-MM</t>
  </si>
  <si>
    <t>SUB: classification not updated after cancelling MD (techn.)</t>
  </si>
  <si>
    <t>SUB: quantity at 2 steps delivery with 2 UOM (techn.)</t>
  </si>
  <si>
    <t>IS-OIL</t>
  </si>
  <si>
    <t>Industry-Specific Component Oil</t>
  </si>
  <si>
    <t>IS-OIL-DS</t>
  </si>
  <si>
    <t>Downstream</t>
  </si>
  <si>
    <t>IS-OIL-DS-TD</t>
  </si>
  <si>
    <t>Transport./distrib.</t>
  </si>
  <si>
    <t>Msg "S::000" in archive log of preprocessing pgm of RV_LIKP</t>
  </si>
  <si>
    <t>IS-R</t>
  </si>
  <si>
    <t>Industry-Specific Component Retail</t>
  </si>
  <si>
    <t>IS-R-BD</t>
  </si>
  <si>
    <t>Basic Data</t>
  </si>
  <si>
    <t>IS-R-BD-ART</t>
  </si>
  <si>
    <t>Articles</t>
  </si>
  <si>
    <t>MM42: Changes for informative characteristics are not copied</t>
  </si>
  <si>
    <t>IS-R-BD-MC</t>
  </si>
  <si>
    <t>Merchandise Categ.</t>
  </si>
  <si>
    <t>Error CONVT_NO_NUMBER in transaction WQ11</t>
  </si>
  <si>
    <t>IS-R-BD-SIT</t>
  </si>
  <si>
    <t>Sites</t>
  </si>
  <si>
    <t>Obsolete reports in the package WFIL</t>
  </si>
  <si>
    <t>IS-R-IFC</t>
  </si>
  <si>
    <t>Communications and Interfaces</t>
  </si>
  <si>
    <t>IS-R-IFC-OUT</t>
  </si>
  <si>
    <t>POS Interface, Outb.</t>
  </si>
  <si>
    <t>WPMA: Error during transfer of follow-on items</t>
  </si>
  <si>
    <t>IS-R-IFC-SO</t>
  </si>
  <si>
    <t>Store Orders</t>
  </si>
  <si>
    <t>Transfer of errors at header level to replenishment</t>
  </si>
  <si>
    <t>IS-R-PUR</t>
  </si>
  <si>
    <t>Purchasing</t>
  </si>
  <si>
    <t>IS-R-PUR-VMI</t>
  </si>
  <si>
    <t>Vendor Managed Inv.</t>
  </si>
  <si>
    <t>IDOC_INPUT_ORDCHG_VMI: PO number not copied completely</t>
  </si>
  <si>
    <t>LE</t>
  </si>
  <si>
    <t>Logistics Execution</t>
  </si>
  <si>
    <t>LE-IEW</t>
  </si>
  <si>
    <t>Extended Warehouse Management Integration</t>
  </si>
  <si>
    <t>LE-IEW-OUT</t>
  </si>
  <si>
    <t>Outbound Process</t>
  </si>
  <si>
    <t>Endless loop after a DirODO split delivery is deleted</t>
  </si>
  <si>
    <t>Interface Enhancement for Stock Keeping Units</t>
  </si>
  <si>
    <t>LE-MOB</t>
  </si>
  <si>
    <t>Mobile Devices</t>
  </si>
  <si>
    <t>when packing, cannot add the auxiliary packaging material</t>
  </si>
  <si>
    <t>LM03 LM05: Separate confirmation in destination screen</t>
  </si>
  <si>
    <t>LM50 LM51 : Page Up and Page Down button not more displayed</t>
  </si>
  <si>
    <t>Substitute_Literals to improve access to LTAP /3</t>
  </si>
  <si>
    <t>LE-SHP</t>
  </si>
  <si>
    <t>Shipping</t>
  </si>
  <si>
    <t>LE-SHP-DL</t>
  </si>
  <si>
    <t>Delivery Processing</t>
  </si>
  <si>
    <t>Weight/volume remain empty when quantity increased</t>
  </si>
  <si>
    <t>VLSP: No correlation of 'empties' items in central system</t>
  </si>
  <si>
    <t>VL32N: Message M7 022 after postings with movement type 107</t>
  </si>
  <si>
    <t>VL02N: Error message VL 354 can be bypassed</t>
  </si>
  <si>
    <t>Runtime error when deleting delivery items</t>
  </si>
  <si>
    <t>BAdI LE_SHP_TAB_CUST_ITEM: Prompt for saving always appears</t>
  </si>
  <si>
    <t>Program terminates when you save a sales order</t>
  </si>
  <si>
    <t>CSFG: IDoc DELIVERYPROCESSING_EXECUTE terminates with VL 318</t>
  </si>
  <si>
    <t>LE-SHP-DL-POD</t>
  </si>
  <si>
    <t>Proof Of Delivery</t>
  </si>
  <si>
    <t>VL10B, VLPOD: Unexpected system behaviour</t>
  </si>
  <si>
    <t>LE-SHP-DL-STO</t>
  </si>
  <si>
    <t>Stock-Transfer-Order</t>
  </si>
  <si>
    <t>VL10D: Valuation of Special Stock not copied to delivery</t>
  </si>
  <si>
    <t>LE-SHP-GF</t>
  </si>
  <si>
    <t>LE-SHP-GF-SUB</t>
  </si>
  <si>
    <t>Article Substitution</t>
  </si>
  <si>
    <t>WSUBST_WORKLIST: Termination TABLE_INVALID_INDEX</t>
  </si>
  <si>
    <t>LE-SHP-GI</t>
  </si>
  <si>
    <t>Goods Issue</t>
  </si>
  <si>
    <t>Incorrect update of GM status after GR reversal</t>
  </si>
  <si>
    <t>LE-TRA</t>
  </si>
  <si>
    <t>Transportation</t>
  </si>
  <si>
    <t>LE-TRA-IN</t>
  </si>
  <si>
    <t>Idoc syntax error for Segment E1EDL48 in SHPMNT Idoc type</t>
  </si>
  <si>
    <t>LE-WM</t>
  </si>
  <si>
    <t>Warehouse Management</t>
  </si>
  <si>
    <t>LE-WM-PM</t>
  </si>
  <si>
    <t>Planning+Monitoring</t>
  </si>
  <si>
    <t>LX04: Back (F3) exits transaction from 'Detailed Analysis'</t>
  </si>
  <si>
    <t>LO-AB</t>
  </si>
  <si>
    <t>Agency Business</t>
  </si>
  <si>
    <t>Composite SAP note for Agency Business EHP6, SP1</t>
  </si>
  <si>
    <t>CHECKMAN errors in LO-AB &amp; LO-SRS</t>
  </si>
  <si>
    <t>LO-ARM</t>
  </si>
  <si>
    <t>Advanced Returns</t>
  </si>
  <si>
    <t>ARM II SP01 Sammelhinweis</t>
  </si>
  <si>
    <t>LO-BM</t>
  </si>
  <si>
    <t>Batch Management</t>
  </si>
  <si>
    <t>LO-BM-DOB</t>
  </si>
  <si>
    <t>Documentary Batches</t>
  </si>
  <si>
    <t>Short dump VBDOCUBATCH MESSAGE_TYPE_X SAPLVBDOCUBATCH_DM</t>
  </si>
  <si>
    <t>Delivery in decentralized system with qty of 0: Message 119</t>
  </si>
  <si>
    <t>Confirmation of TO with differences and documentary batches</t>
  </si>
  <si>
    <t>Quittierung TA mit Differenz; Ist = 0 (Dokucharge)</t>
  </si>
  <si>
    <t>Documentary batch not ready for input for delivery</t>
  </si>
  <si>
    <t>LT12 dumps with TSV_TNEW_PAGE_ALLOC_FAILED - Docubatches</t>
  </si>
  <si>
    <t>LO-EWB</t>
  </si>
  <si>
    <t>Engineering Workbenc</t>
  </si>
  <si>
    <t>CEWB: Selection with task list data and BOM usage</t>
  </si>
  <si>
    <t>LO-HU</t>
  </si>
  <si>
    <t>Handling Unit Mgmt.</t>
  </si>
  <si>
    <t>Multiple assignments to PP order not updated in HU history</t>
  </si>
  <si>
    <t>Batch error during plant to plant 2 step transfer</t>
  </si>
  <si>
    <t>HUFUNCTIONS254 dur.reversal f.prov. of materials f.SCO (541)</t>
  </si>
  <si>
    <t>VL09 : Consumption Goods Receipt reversal does not work</t>
  </si>
  <si>
    <t>LO-HU-PR</t>
  </si>
  <si>
    <t>Processing</t>
  </si>
  <si>
    <t>HUMO: if HUM is not active, not all HUs are displayed</t>
  </si>
  <si>
    <t>LO-INT</t>
  </si>
  <si>
    <t>ERP Logistic Integration</t>
  </si>
  <si>
    <t>LO-INT-TRM</t>
  </si>
  <si>
    <t>Treasury &amp; Risk Mgmt</t>
  </si>
  <si>
    <t>Collective note: corrections TRM integration to SP01</t>
  </si>
  <si>
    <t>LO-MD</t>
  </si>
  <si>
    <t>Logistics Basic Data</t>
  </si>
  <si>
    <t>LO-MD-BOM</t>
  </si>
  <si>
    <t>Bills of Material</t>
  </si>
  <si>
    <t>ASSIGN_BASE_WRONG_ALIGNMENT dump while executing RCSARCH2</t>
  </si>
  <si>
    <t>CSKB Multi level copy of BOMs with variable-size items</t>
  </si>
  <si>
    <t>LO-MD-MM</t>
  </si>
  <si>
    <t>Material Master</t>
  </si>
  <si>
    <t>MM02: Missing checks on stock fields</t>
  </si>
  <si>
    <t>MM01/MM02: Error MM 335 when maintaining profit center</t>
  </si>
  <si>
    <t>MMBE: Error 12 151 occurs on navigation to "Display Batch"</t>
  </si>
  <si>
    <t>MM_MATNR: Missing check for MARA data in write run</t>
  </si>
  <si>
    <t>RMDATIND: Inconsistencies after execution with lock mode N</t>
  </si>
  <si>
    <t>MM_MATNR: Error W4 107 for reference material for packing</t>
  </si>
  <si>
    <t>Core Enhancement Options for Industry Solution</t>
  </si>
  <si>
    <t>LO-MD-PR</t>
  </si>
  <si>
    <t>Promotion</t>
  </si>
  <si>
    <t>Wrong Cursor position on Promotion Description screen</t>
  </si>
  <si>
    <t>LO-MD-RA</t>
  </si>
  <si>
    <t>Assortment / Listing</t>
  </si>
  <si>
    <t>MM42 : Deletion of additional data incorrect (layout module)</t>
  </si>
  <si>
    <t>MM42: Maintaining addnl data for generic articles, variants</t>
  </si>
  <si>
    <t>MM42: MALG records deleted during layout module assignment</t>
  </si>
  <si>
    <t>WLWBN / WSM4L: Articles are listed with deletion indicator</t>
  </si>
  <si>
    <t>LO-MD-RDM</t>
  </si>
  <si>
    <t>Retail Demand</t>
  </si>
  <si>
    <t>Bonus buy column missing in Logistics Control tab</t>
  </si>
  <si>
    <t>LO-MD-RPC</t>
  </si>
  <si>
    <t>Retail Pricing</t>
  </si>
  <si>
    <t>VKP5 : Message VE 108: Error for pricing items</t>
  </si>
  <si>
    <t>VKP3/VKP4: Error MM108/pricing items/document</t>
  </si>
  <si>
    <t>Price point rounding despite pricing reference material</t>
  </si>
  <si>
    <t>LO-SCI</t>
  </si>
  <si>
    <t>Supply Chain Planning Interface (SCPI)</t>
  </si>
  <si>
    <t>LO-SCI-POI</t>
  </si>
  <si>
    <t>POI</t>
  </si>
  <si>
    <t>Transfer of material master data despite distribution lock</t>
  </si>
  <si>
    <t>LO-SPM</t>
  </si>
  <si>
    <t>Service Parts Manage</t>
  </si>
  <si>
    <t>/SPE/VL 300 issued for SPED output</t>
  </si>
  <si>
    <t>LO-SPM-INB</t>
  </si>
  <si>
    <t>Inbound Process</t>
  </si>
  <si>
    <t>Empty packagings are deleted during EWM confirmation</t>
  </si>
  <si>
    <t>Customer partners are not transferred to inbound delivery</t>
  </si>
  <si>
    <t>VL60: Longtext not saved during creation of inbound delivery</t>
  </si>
  <si>
    <t>Incorrect WM movement type for quantity cancelation in VL60</t>
  </si>
  <si>
    <t>Error message VL 603 at goods receipt for delivery in EWM</t>
  </si>
  <si>
    <t>Create IBD with SPED: Batch split item numbering</t>
  </si>
  <si>
    <t>Missing packing control for batch split items for SPED</t>
  </si>
  <si>
    <t>LO-SPM-OUT</t>
  </si>
  <si>
    <t>Non-eWM relevant items wrongly distributed to eWM</t>
  </si>
  <si>
    <t>LO-SPM-RET</t>
  </si>
  <si>
    <t>Complaints and Retur</t>
  </si>
  <si>
    <t>IDoc stuck in ERP after publishing Returns ASN in SNC system</t>
  </si>
  <si>
    <t>LO-SPM-STO</t>
  </si>
  <si>
    <t>Stock Transfers</t>
  </si>
  <si>
    <t>SPED: Inbound delivery can be created before goods issue (2)</t>
  </si>
  <si>
    <t>LO-SPM-X</t>
  </si>
  <si>
    <t>Cross-Application To</t>
  </si>
  <si>
    <t>Batch split item movement type in transportation X-docking</t>
  </si>
  <si>
    <t>Billing type determination with transportation cross-docking</t>
  </si>
  <si>
    <t>Variant config.</t>
  </si>
  <si>
    <t>Overwriting material number of BOM item</t>
  </si>
  <si>
    <t>Incomplete configuration message although status is released</t>
  </si>
  <si>
    <t>Performance during search for material variants</t>
  </si>
  <si>
    <t>Object characteristic with conversion exit</t>
  </si>
  <si>
    <t>Runtime error MESSAGE_TYPE_X - CUDB_SPECIALIZE_INSTANCE</t>
  </si>
  <si>
    <t>LO-VC-CHR</t>
  </si>
  <si>
    <t>Value Assignment</t>
  </si>
  <si>
    <t>tablecontrol error</t>
  </si>
  <si>
    <t>LO-VC-MAT</t>
  </si>
  <si>
    <t>Material Variants</t>
  </si>
  <si>
    <t>RCUUPDMATVAR: Enhancing the selection options</t>
  </si>
  <si>
    <t>LO-VC-WUI</t>
  </si>
  <si>
    <t>Variant Config.</t>
  </si>
  <si>
    <t>Incorrect assignment of document for configuration</t>
  </si>
  <si>
    <t>MM</t>
  </si>
  <si>
    <t>MM-IM</t>
  </si>
  <si>
    <t>MM-IM-GF</t>
  </si>
  <si>
    <t>MM-IM-GF-COBL</t>
  </si>
  <si>
    <t>CO Account Assignmen</t>
  </si>
  <si>
    <t>Partner profit center during tranfer postings</t>
  </si>
  <si>
    <t>MM-IM-GF-CUST</t>
  </si>
  <si>
    <t>IM Customizing</t>
  </si>
  <si>
    <t>OMJA: Incorrect special stock indicator in detail view</t>
  </si>
  <si>
    <t>MM-IM-GF-POVL</t>
  </si>
  <si>
    <t>Purchase Order Valua</t>
  </si>
  <si>
    <t>MAA: Error 00 088: Local currency with 3 decimal places</t>
  </si>
  <si>
    <t>MAA2: Error msg. M7 437 for inbound del. for subcontracting</t>
  </si>
  <si>
    <t>MAA2: MIGO displays an incorrect account assignment object</t>
  </si>
  <si>
    <t>MAA2: Error M7 437 when posting GR or releasing SES</t>
  </si>
  <si>
    <t>MAA2: Error M7 437 when displaying GR document in MB03</t>
  </si>
  <si>
    <t>MM-IM-GF-PRNT</t>
  </si>
  <si>
    <t>IM Ouput Determinati</t>
  </si>
  <si>
    <t>MB90: Default printer is not considered while generating PDF</t>
  </si>
  <si>
    <t>MM-IM-GF-REP</t>
  </si>
  <si>
    <t>IM Reporting, no LIS</t>
  </si>
  <si>
    <t>MB5B: Documents with less than 10 chars. cannnot be selected</t>
  </si>
  <si>
    <t>MM-IM-GI</t>
  </si>
  <si>
    <t>Goods Issue and Return Delivery</t>
  </si>
  <si>
    <t>MM-IM-GI-GI</t>
  </si>
  <si>
    <t>Goods Movmnt. w/o Re</t>
  </si>
  <si>
    <t>MB1A: DUMP PERFORM_PARAMETER_MISSING - Movable qty function</t>
  </si>
  <si>
    <t>MM-IM-GR</t>
  </si>
  <si>
    <t>AAPO181 during goods receipt without quantity</t>
  </si>
  <si>
    <t>MM-IM-GR-MIGO</t>
  </si>
  <si>
    <t>Goods Receipt from E</t>
  </si>
  <si>
    <t>MIGO: Distribute qty: F4 in batch with incorrect material</t>
  </si>
  <si>
    <t>MIGO: F4 help for supplier batch number does not work</t>
  </si>
  <si>
    <t>MM-IM-RS</t>
  </si>
  <si>
    <t>Reservations</t>
  </si>
  <si>
    <t>MB25: Dump "ITAB_DUPLICATE_KEY" during selection</t>
  </si>
  <si>
    <t>MM-IM-ST</t>
  </si>
  <si>
    <t>Stock Transfer / Transfer Posting</t>
  </si>
  <si>
    <t>MM-IM-ST-PO</t>
  </si>
  <si>
    <t>Stock Transfer for S</t>
  </si>
  <si>
    <t>VL02N: Message M7 226 when posting goods issue</t>
  </si>
  <si>
    <t>MM-IM-VP</t>
  </si>
  <si>
    <t>Balance Sheet Val.</t>
  </si>
  <si>
    <t>MM-IM-VP: Checkman Fehler</t>
  </si>
  <si>
    <t>MRF3, MRL9: COMPUTE_BCD_OVERFLOW</t>
  </si>
  <si>
    <t>MM-IV</t>
  </si>
  <si>
    <t>Invoice Verification</t>
  </si>
  <si>
    <t>MM-IV-CA</t>
  </si>
  <si>
    <t>G/L Clearing Account</t>
  </si>
  <si>
    <t>MR11:CKMLGRIR 023 for value-only article and previous period</t>
  </si>
  <si>
    <t>MR11SHOW: GR/IR account remains cleared after cancellation</t>
  </si>
  <si>
    <t>MM-IV-GF</t>
  </si>
  <si>
    <t>MM-IV-GF-EDI</t>
  </si>
  <si>
    <t>Electronic Data Inte</t>
  </si>
  <si>
    <t>EDI: Subsequent debits/credits</t>
  </si>
  <si>
    <t>MM-IV-GF-ES</t>
  </si>
  <si>
    <t>Enterprise Services</t>
  </si>
  <si>
    <t>SOA: Corrections for test report</t>
  </si>
  <si>
    <t>y</t>
  </si>
  <si>
    <t>MM-IV-LIV</t>
  </si>
  <si>
    <t>Logistics IV</t>
  </si>
  <si>
    <t>Dummy</t>
  </si>
  <si>
    <t>MM-IV-LIV-BAPI</t>
  </si>
  <si>
    <t>BAPI</t>
  </si>
  <si>
    <t>BAPI_INCOMINGINVOICE_PARK: FF707 prevents parking</t>
  </si>
  <si>
    <t>BAPI: Field NAME_3 not transferred to invoice.</t>
  </si>
  <si>
    <t>MM-IV-LIV-CRE</t>
  </si>
  <si>
    <t>Entry MIRO</t>
  </si>
  <si>
    <t>MAA: Follow-up corrections for Note 1589521</t>
  </si>
  <si>
    <t>MIRO: Warning message M8 504 not in message log</t>
  </si>
  <si>
    <t>MIRO: Delivery note number is not displayed completely</t>
  </si>
  <si>
    <t>MM-IV: Error during syntax check</t>
  </si>
  <si>
    <t>MIRO: Accessibility corrections</t>
  </si>
  <si>
    <t>MM-IV-LIV-PP</t>
  </si>
  <si>
    <t>Preliminary Posting</t>
  </si>
  <si>
    <t>MIR7: EhP6 DInv, remove CPE buffer handling prototype</t>
  </si>
  <si>
    <t>MIR7: EhP6 DInv, Technischer Hinweis zu Support 01</t>
  </si>
  <si>
    <t>MIRO/MIR7: Incorrect calculation of due date</t>
  </si>
  <si>
    <t>MM-PUR</t>
  </si>
  <si>
    <t>MM-PUR-GF</t>
  </si>
  <si>
    <t>MM-PUR-GF-ACC</t>
  </si>
  <si>
    <t>Account assignment</t>
  </si>
  <si>
    <t>MAA: MIGO: Poor performance</t>
  </si>
  <si>
    <t>MM-PUR-GF-ATP</t>
  </si>
  <si>
    <t>Availability check</t>
  </si>
  <si>
    <t>Update of EKET table after co06</t>
  </si>
  <si>
    <t>MM-PUR-GF-DP</t>
  </si>
  <si>
    <t>Down Payment Process</t>
  </si>
  <si>
    <t>Downpayment Request Amount higher than PO item value</t>
  </si>
  <si>
    <t>MM-PUR-GF-DVS</t>
  </si>
  <si>
    <t>Documents and (DMS)</t>
  </si>
  <si>
    <t>Access to Linked Documents NOT possible</t>
  </si>
  <si>
    <t>Release Order might create DRAD entry wrongly</t>
  </si>
  <si>
    <t>MM-PUR-GF-EDI</t>
  </si>
  <si>
    <t>Electronic Data</t>
  </si>
  <si>
    <t>EKPO-LABNR and/or EKPO-IDNLF not set via ORDRSP</t>
  </si>
  <si>
    <t>MM-PUR-GF-ES</t>
  </si>
  <si>
    <t>Fixes of PurchasingContract serivces</t>
  </si>
  <si>
    <t>Sales Order not updated by confirmation process EDI/SOA</t>
  </si>
  <si>
    <t>CCM: Plant dependent &amp; plant independent cond. not created</t>
  </si>
  <si>
    <t>BAPI_REQUISITION_RELEASE_GEN releases deleted items</t>
  </si>
  <si>
    <t>PurchasingContractERPRequest_V1 - WBS element not considered</t>
  </si>
  <si>
    <t>Changing data in BAdI pur_se_pcerpmntrq1_asyn has no effect</t>
  </si>
  <si>
    <t>Error in WUF Mapping for PR Sourcing Request</t>
  </si>
  <si>
    <t>PurchaseOrderERPRequest_In_V1: Message log doubled</t>
  </si>
  <si>
    <t>ESOA: Contract replicated from SRM has price zero</t>
  </si>
  <si>
    <t>Collective Note for EhP6 in MM-PUR</t>
  </si>
  <si>
    <t>MM-PUR-GF-GR</t>
  </si>
  <si>
    <t>Interface-Gds receip</t>
  </si>
  <si>
    <t>MIGO: Short dump RAISE_EXCEPTION when selecting PO</t>
  </si>
  <si>
    <t>MM-PUR-GF-PA</t>
  </si>
  <si>
    <t>Partner</t>
  </si>
  <si>
    <t>MRP: Memory and runtime problems</t>
  </si>
  <si>
    <t>MM-PUR-GF-STO</t>
  </si>
  <si>
    <t>Stock Transfer</t>
  </si>
  <si>
    <t>vendor field not cleared for Stock transfer order</t>
  </si>
  <si>
    <t>ATP check not triggered with change in accounting data</t>
  </si>
  <si>
    <t>MM-PUR-GF-TEXT</t>
  </si>
  <si>
    <t>Texts</t>
  </si>
  <si>
    <t>VA02: PR item text is not deleted</t>
  </si>
  <si>
    <t>MM-PUR-OA</t>
  </si>
  <si>
    <t>Outline Purchase Agreements With Vendors</t>
  </si>
  <si>
    <t>MM-PUR-OA-BAPI</t>
  </si>
  <si>
    <t>BAPIs - Outline</t>
  </si>
  <si>
    <t>Gross price unchanged with target quantity change</t>
  </si>
  <si>
    <t>MM-PUR-OA-SCH</t>
  </si>
  <si>
    <t>Scheduling Agreement</t>
  </si>
  <si>
    <t>Background processing terminates in the case of lock error</t>
  </si>
  <si>
    <t>Poor performance during admin. of scheduling agreements</t>
  </si>
  <si>
    <t>MM-PUR-PO</t>
  </si>
  <si>
    <t>Purchase Orders</t>
  </si>
  <si>
    <t>ME59N: Incorrect selection for ref. purchasing organization</t>
  </si>
  <si>
    <t>Update of differential invoice flag</t>
  </si>
  <si>
    <t>MM-PUR-PO-BAPI</t>
  </si>
  <si>
    <t>BAPIs - Purchase ord</t>
  </si>
  <si>
    <t>BAPI: Header conditions not created or modified in PO</t>
  </si>
  <si>
    <t>BAPI_PO_CHANGE: Header conditions are not transferred</t>
  </si>
  <si>
    <t>MM-PUR-PO-GUI</t>
  </si>
  <si>
    <t>Userinterface - Purc</t>
  </si>
  <si>
    <t>ME23N: Header status - invoice value in local currency</t>
  </si>
  <si>
    <t>ME2DP does not display PO with down payment category V or M</t>
  </si>
  <si>
    <t>Field length insufficient for PRIO_REQ and PRIO_URG</t>
  </si>
  <si>
    <t>MM-PUR-REQ</t>
  </si>
  <si>
    <t>Purchase Requisitions</t>
  </si>
  <si>
    <t>MM-PUR-REQ-BAPI</t>
  </si>
  <si>
    <t>BAPIs - Purchase req</t>
  </si>
  <si>
    <t>BAPI_PR_CHANGE: cannot save parked requisition</t>
  </si>
  <si>
    <t>MM-PUR-SQ</t>
  </si>
  <si>
    <t>Sources of Supply</t>
  </si>
  <si>
    <t>MM-PUR-SQ-QTA</t>
  </si>
  <si>
    <t>Quota Arrangement</t>
  </si>
  <si>
    <t>MEQ1 Maintain Quotation: No Check for MARA-MSTAE</t>
  </si>
  <si>
    <t>MM-PUR-SSP</t>
  </si>
  <si>
    <t>Self-Service Pro</t>
  </si>
  <si>
    <t>E-procurement SP01</t>
  </si>
  <si>
    <t>MM-SRV</t>
  </si>
  <si>
    <t>Services Management</t>
  </si>
  <si>
    <t>MIRO: Time out occurs in retrieving deliveries</t>
  </si>
  <si>
    <t>MAA2: Different data in ME_READ_ITEM_INVOICE</t>
  </si>
  <si>
    <t>MM-SRV-ES</t>
  </si>
  <si>
    <t>PurchasingContractERPRequest_In_V1 mapping Clean up</t>
  </si>
  <si>
    <t>PO with Material items Account assignment 'U' should be Held</t>
  </si>
  <si>
    <t>CCM: Total Value is not displayed in service overview scrn.</t>
  </si>
  <si>
    <t>MM-SRV-GF</t>
  </si>
  <si>
    <t>Incorrect behaviour of FIND button in contract limits.</t>
  </si>
  <si>
    <t>PLM</t>
  </si>
  <si>
    <t>Product Lifecycle Management</t>
  </si>
  <si>
    <t>PLM-WUI</t>
  </si>
  <si>
    <t>PLM Web User Interface</t>
  </si>
  <si>
    <t>PLM-WUI-APP</t>
  </si>
  <si>
    <t>PLM Web Applications</t>
  </si>
  <si>
    <t>PLM-WUI-APP-GSS</t>
  </si>
  <si>
    <t>Guided Structure Synchronization</t>
  </si>
  <si>
    <t>PLM-WUI-APP-GSS-R2M</t>
  </si>
  <si>
    <t>Recipe to Manufactur</t>
  </si>
  <si>
    <t>Synchronization of a new recipe version: BOM E256</t>
  </si>
  <si>
    <t>PM</t>
  </si>
  <si>
    <t>Plant Maintenance</t>
  </si>
  <si>
    <t>RDS EAM Business Analytics -  WCCP Completion and Downport</t>
  </si>
  <si>
    <t>PM-EQM</t>
  </si>
  <si>
    <t>Equi/techn. objects</t>
  </si>
  <si>
    <t>Sammelkorrekturhinweis für Linear Asset Management EhP6 SP01</t>
  </si>
  <si>
    <t>Transaction CC04: Linear data not copied</t>
  </si>
  <si>
    <t>IBIP: Equipment longtext is not properly updated</t>
  </si>
  <si>
    <t>PM-EQM-FL</t>
  </si>
  <si>
    <t>Functional Locations</t>
  </si>
  <si>
    <t>Field ITOB-SPARTE is not updated</t>
  </si>
  <si>
    <t>PM-WOC</t>
  </si>
  <si>
    <t>Maint. order mgt.</t>
  </si>
  <si>
    <t>Sammelhinweis PM-WOC Korrekturen in EhP6 SP01</t>
  </si>
  <si>
    <t>PM-WOC-LE</t>
  </si>
  <si>
    <t>List Editing</t>
  </si>
  <si>
    <t>RIAUFK20: SAPSQL_WHERE_PARENTHESES for "Status exclusive"</t>
  </si>
  <si>
    <t>PM-WOC-MB</t>
  </si>
  <si>
    <t>Mobile Scenarios</t>
  </si>
  <si>
    <t>MAM: Order update is not possible from client</t>
  </si>
  <si>
    <t>MAM: Initial replication of measurement points not possible</t>
  </si>
  <si>
    <t>PM-WOC-MN</t>
  </si>
  <si>
    <t>Maintenance Notifica</t>
  </si>
  <si>
    <t>PM/CS notification: Revision plant cannot be hidden</t>
  </si>
  <si>
    <t>BAPI: Unable to create service notification</t>
  </si>
  <si>
    <t>PM-WOC-MO</t>
  </si>
  <si>
    <t>Maintenance Orders</t>
  </si>
  <si>
    <t>BAPI: Cost is not getting determined for an order</t>
  </si>
  <si>
    <t>IW32: Order displayed for which you are not authorized</t>
  </si>
  <si>
    <t>Archive: Archive PM/CS orders based on network projects</t>
  </si>
  <si>
    <t>Customizing confirmation: Using incorrect order category</t>
  </si>
  <si>
    <t>BAPI_ALM_ORDER_MAINTAIN: New scheduling of order</t>
  </si>
  <si>
    <t>IW31/32: Log not found error during release of order</t>
  </si>
  <si>
    <t>PM-WOC-MO-ACC</t>
  </si>
  <si>
    <t>Settlement rule created with temporary order number</t>
  </si>
  <si>
    <t>PM-WOC-MO-CUM</t>
  </si>
  <si>
    <t>Compatible Units</t>
  </si>
  <si>
    <t>No CU data available when generating a settlement rule (OAA)</t>
  </si>
  <si>
    <t>PM-WOC-MO-MAT</t>
  </si>
  <si>
    <t>Stock material, BOM</t>
  </si>
  <si>
    <t>Unable to enter alternative unit for non stock material</t>
  </si>
  <si>
    <t>PP</t>
  </si>
  <si>
    <t>PP-FLW</t>
  </si>
  <si>
    <t>Flow Manufacturing</t>
  </si>
  <si>
    <t>PP-FLW-SEQ</t>
  </si>
  <si>
    <t>Sequence Planning</t>
  </si>
  <si>
    <t>Consistency error in program SAPLSP00 screen 620</t>
  </si>
  <si>
    <t>PP-IS</t>
  </si>
  <si>
    <t>MCRE/S026: no update to Withdrawl qty with split valuation</t>
  </si>
  <si>
    <t>S021 incorrect updation upon planned order conversion</t>
  </si>
  <si>
    <t>Repetitive Manufacturing Statistical setup : component scrap</t>
  </si>
  <si>
    <t>PP-MES</t>
  </si>
  <si>
    <t>Integration with Man</t>
  </si>
  <si>
    <t>Unnecessary creation of background tasks in doc. processing</t>
  </si>
  <si>
    <t>PP-MP</t>
  </si>
  <si>
    <t>Master Planning</t>
  </si>
  <si>
    <t>PP-MP-DEM</t>
  </si>
  <si>
    <t>Demand Management</t>
  </si>
  <si>
    <t>MD79: Wrong number of periods are exported</t>
  </si>
  <si>
    <t>PP-MRP</t>
  </si>
  <si>
    <t>Material Requirements Planning</t>
  </si>
  <si>
    <t>PP-MRP-PE</t>
  </si>
  <si>
    <t>Planning Evaluation</t>
  </si>
  <si>
    <t>MD04: exception message 30 incorrectly displayed</t>
  </si>
  <si>
    <t>MD04 not showing button 'Material Master Links to Documents'</t>
  </si>
  <si>
    <t>PP-MRP-PR</t>
  </si>
  <si>
    <t>Planning Execution</t>
  </si>
  <si>
    <t>DYNPRO_FIELD_CONVERSION: Negative req qty for co-product</t>
  </si>
  <si>
    <t>PP-PI</t>
  </si>
  <si>
    <t>Production Planning for Process Industries</t>
  </si>
  <si>
    <t>PP-PI-MD</t>
  </si>
  <si>
    <t>PP-PI-MD-MRC</t>
  </si>
  <si>
    <t>Master Recipe</t>
  </si>
  <si>
    <t>C202: Error while creating external relationship in recipe</t>
  </si>
  <si>
    <t>PP-PI-PDO</t>
  </si>
  <si>
    <t>Process Data Doc.</t>
  </si>
  <si>
    <t>Transaction COPA creates too many lock entries</t>
  </si>
  <si>
    <t>PP-PI-PMA</t>
  </si>
  <si>
    <t>Process Management</t>
  </si>
  <si>
    <t>PP-PI-PMA-MSG</t>
  </si>
  <si>
    <t>Process Message</t>
  </si>
  <si>
    <t>PI_CONS: Log contains error message CO470</t>
  </si>
  <si>
    <t>PP-PI-POR</t>
  </si>
  <si>
    <t>Process Order</t>
  </si>
  <si>
    <t>Information system: Successor data is missing</t>
  </si>
  <si>
    <t>PP-PN</t>
  </si>
  <si>
    <t>Production Network</t>
  </si>
  <si>
    <t>OPM Collective note for SP01</t>
  </si>
  <si>
    <t>PP-PN-NO</t>
  </si>
  <si>
    <t>Network Objects</t>
  </si>
  <si>
    <t>Correction of the fields Meter Water/Liquid Ratio,fraction</t>
  </si>
  <si>
    <t>PP-PN-NOP</t>
  </si>
  <si>
    <t>Network Operations</t>
  </si>
  <si>
    <t>Eingabefähigkeit in OPM Plantafel bei Sichtenwechsel</t>
  </si>
  <si>
    <t>PP-SFC</t>
  </si>
  <si>
    <t>Production Orders</t>
  </si>
  <si>
    <t>Sammelhinweis für Korrekturen im ECC6.00 EHP6 SP01</t>
  </si>
  <si>
    <t>CO05/COR5: Error message TD607 during order release</t>
  </si>
  <si>
    <t>PP-SFC-EXE</t>
  </si>
  <si>
    <t>Order Execution</t>
  </si>
  <si>
    <t>PP-SFC-EXE-CON</t>
  </si>
  <si>
    <t>Confirmation</t>
  </si>
  <si>
    <t>Confirmation: Fields too short for translation</t>
  </si>
  <si>
    <t>Order-type-dependent quantity layout - Activities</t>
  </si>
  <si>
    <t>CORUPROC1 creates postprocessing records three times</t>
  </si>
  <si>
    <t>PP-SFC-EXE-HUM</t>
  </si>
  <si>
    <t>Handling Unit Manage</t>
  </si>
  <si>
    <t>COWBPACK: unloading point data is not transfered</t>
  </si>
  <si>
    <t>PP-SFC-PLN</t>
  </si>
  <si>
    <t>Order Planning</t>
  </si>
  <si>
    <t>CO41/COR8: Collective orders not generated in same sequence</t>
  </si>
  <si>
    <t>PP-SFC-PLN-HEA</t>
  </si>
  <si>
    <t>Header / Operation</t>
  </si>
  <si>
    <t>Transferring standard key text</t>
  </si>
  <si>
    <t>Item account assignment: Incorrect system message</t>
  </si>
  <si>
    <t>Incorrect MRP controller for material with MRP area</t>
  </si>
  <si>
    <t>PS</t>
  </si>
  <si>
    <t>Project System</t>
  </si>
  <si>
    <t>PS-IS</t>
  </si>
  <si>
    <t>Exel export in CM25: second column empty</t>
  </si>
  <si>
    <t>PS-IS-LDB</t>
  </si>
  <si>
    <t>Logical database</t>
  </si>
  <si>
    <t>/PSIS/ program is constantly generated</t>
  </si>
  <si>
    <t>LDB PSJ: A lot of paging memory is required II</t>
  </si>
  <si>
    <t>PS-MAT</t>
  </si>
  <si>
    <t>Material</t>
  </si>
  <si>
    <t>Component overview layout not changable</t>
  </si>
  <si>
    <t>PS-REV</t>
  </si>
  <si>
    <t>Revenues and Eamings</t>
  </si>
  <si>
    <t>PS-REV-ACT</t>
  </si>
  <si>
    <t>Act. Rev. + Forecast</t>
  </si>
  <si>
    <t>DP91: Personnel number displayed instead of name of employee</t>
  </si>
  <si>
    <t>PS-ST</t>
  </si>
  <si>
    <t>Structures</t>
  </si>
  <si>
    <t>Appropriation requests: Incorrect ACL authorizations</t>
  </si>
  <si>
    <t>Required Corrections in the System Documentation</t>
  </si>
  <si>
    <t>PS-ST-MIL</t>
  </si>
  <si>
    <t>Milestone</t>
  </si>
  <si>
    <t>BAPI_PROJECT_MAINTAIN- Milestone wrongly attached to WBS</t>
  </si>
  <si>
    <t>PS-ST-PB</t>
  </si>
  <si>
    <t>Project Builder</t>
  </si>
  <si>
    <t>Actual Dates ready for input when TECO flag set to activity</t>
  </si>
  <si>
    <t>PSM</t>
  </si>
  <si>
    <t>Public Sector Management</t>
  </si>
  <si>
    <t>PSM-FM</t>
  </si>
  <si>
    <t>Funds Management</t>
  </si>
  <si>
    <t>Error Message RE145 when creating Material Reservation</t>
  </si>
  <si>
    <t>PSM-FM-BU</t>
  </si>
  <si>
    <t>Budgeting and Availability Control</t>
  </si>
  <si>
    <t>PSM-FM-BU-AC</t>
  </si>
  <si>
    <t>Availability Control</t>
  </si>
  <si>
    <t>Revenues in expenditure cover pool are zero in FMBV</t>
  </si>
  <si>
    <t>Technical note</t>
  </si>
  <si>
    <t>PSM-FM-PO</t>
  </si>
  <si>
    <t>Funds Management-Specific Postings</t>
  </si>
  <si>
    <t>PSM-FM-PO-EF</t>
  </si>
  <si>
    <t>Earmarked Funds</t>
  </si>
  <si>
    <t>RFFMREPO: Statistical reduction is not taken into account</t>
  </si>
  <si>
    <t>Number range buffering for earmarked funds (IRW_BELEG)</t>
  </si>
  <si>
    <t>Print Earmarked Funds Document via PDF/Adobe-Forms</t>
  </si>
  <si>
    <t>PSM-FM-UP</t>
  </si>
  <si>
    <t>Actual Update and Commitment Update</t>
  </si>
  <si>
    <t>PSM-FM-UP-AD</t>
  </si>
  <si>
    <t>Funded Program derived incorrectly for WRX/WRY lines</t>
  </si>
  <si>
    <t>Funded Program incorrect when posting Service Entry Sheet</t>
  </si>
  <si>
    <t>PSM-FM-UP-CM</t>
  </si>
  <si>
    <t>Earmarked funds document updated with incorrect price II</t>
  </si>
  <si>
    <t>Material Reservation MM: Error message RE 207</t>
  </si>
  <si>
    <t>QM</t>
  </si>
  <si>
    <t>Quality Management</t>
  </si>
  <si>
    <t>QM-CA</t>
  </si>
  <si>
    <t>Quality Certificates</t>
  </si>
  <si>
    <t>QM-CA-CG</t>
  </si>
  <si>
    <t>Certificate Creation</t>
  </si>
  <si>
    <t>QCMS: Country key is not set</t>
  </si>
  <si>
    <t>QM-IM</t>
  </si>
  <si>
    <t>Quality Inspection</t>
  </si>
  <si>
    <t>BAPI_INSPOPER_GETDETAIL does not display all char. data</t>
  </si>
  <si>
    <t>QM-IM-IL</t>
  </si>
  <si>
    <t>Inspection Lot Creat</t>
  </si>
  <si>
    <t>QA03: WM data not filled in inspection lot</t>
  </si>
  <si>
    <t>QM-IM-RR</t>
  </si>
  <si>
    <t>Results Recording</t>
  </si>
  <si>
    <t>QE51N - Data for second signature is not displayed</t>
  </si>
  <si>
    <t>QM-IM-UD</t>
  </si>
  <si>
    <t>Inspection Lot Comp.</t>
  </si>
  <si>
    <t>BADI INSPECTIONLOT_UPDAT: Incorrect error handling</t>
  </si>
  <si>
    <t>QM-PT</t>
  </si>
  <si>
    <t>Quality Planning</t>
  </si>
  <si>
    <t>QM-PT-IP</t>
  </si>
  <si>
    <t>Inspection Planning</t>
  </si>
  <si>
    <t>CWBQM: Inspection characteristic: Target value deleted</t>
  </si>
  <si>
    <t>QM-QN</t>
  </si>
  <si>
    <t>Quality Notification</t>
  </si>
  <si>
    <t>QM01: Assignment of purchasing doc. with LOEKZ not possible</t>
  </si>
  <si>
    <t>SCM-APO-INT-CDS</t>
  </si>
  <si>
    <t>Sales Scheduling</t>
  </si>
  <si>
    <t>Short Dump when implementing Badi CIF_SDLSE_002</t>
  </si>
  <si>
    <t>Production Data</t>
  </si>
  <si>
    <t>INT-PDS: Exclusive lock on table OPMODE</t>
  </si>
  <si>
    <t>INT-PDS: Wrong mode duration due to unit conversion</t>
  </si>
  <si>
    <t>INT-PDS: Endless loop during formula evaluation</t>
  </si>
  <si>
    <t>INT-PDS: Conversion when units differs for follow-up (2)</t>
  </si>
  <si>
    <t>INT-PDS: Component assignment of phantom assemblies missing</t>
  </si>
  <si>
    <t>SCM-APO-INT-MOR</t>
  </si>
  <si>
    <t>Maintenance Order</t>
  </si>
  <si>
    <t>OM11 for CIF inbound of maintenance orders</t>
  </si>
  <si>
    <t>CIF queue: Cyclical relationships in the order</t>
  </si>
  <si>
    <t>SCM-APO-INT-PCM</t>
  </si>
  <si>
    <t>Production Campaign</t>
  </si>
  <si>
    <t>Transfer of multi product campaign to ERP is not correct</t>
  </si>
  <si>
    <t>Validity date is incorrect when campaign is changed in APO</t>
  </si>
  <si>
    <t>SCM-APO-MD</t>
  </si>
  <si>
    <t>SCM-APO-MD-PDS</t>
  </si>
  <si>
    <t>PDS-EXP: Rescheduling subcontracting orders: Duration 0</t>
  </si>
  <si>
    <t>SCM-APO-PPS</t>
  </si>
  <si>
    <t>Production Planning and Detailed Scheduling</t>
  </si>
  <si>
    <t>SCM-APO-PPS-SL</t>
  </si>
  <si>
    <t>Shelf Life</t>
  </si>
  <si>
    <t>Shelf life expiration date of batch is blank in APO</t>
  </si>
  <si>
    <t>SCM-APO-VS</t>
  </si>
  <si>
    <t>Vehicle Scheduling</t>
  </si>
  <si>
    <t>SCM-APO-VS-MAP</t>
  </si>
  <si>
    <t>Integration</t>
  </si>
  <si>
    <t>SCM-APO-VS-MAP-SH</t>
  </si>
  <si>
    <t>Shipments R/3</t>
  </si>
  <si>
    <t>Transfer of shipment terminates with message /SAPAPO/VS 609</t>
  </si>
  <si>
    <t>SCM-FRE</t>
  </si>
  <si>
    <t>Forecasting and Replenishment</t>
  </si>
  <si>
    <t>SCM-FRE-ERP</t>
  </si>
  <si>
    <t>SAP F&amp;R - Interfaces</t>
  </si>
  <si>
    <t>FRE_C4: exclusion by subitem category</t>
  </si>
  <si>
    <t>Erroneous ISO assignment with mass transfer of lane data</t>
  </si>
  <si>
    <t>Wrong unit of measure conversion /ISO codes</t>
  </si>
  <si>
    <t>FRE04 settings for 'Historical PO' for delta transfer</t>
  </si>
  <si>
    <t>SCM-FRE-SUB</t>
  </si>
  <si>
    <t>Product Substitution</t>
  </si>
  <si>
    <t>FRE50: Initial sending of follow-up switch data not possible</t>
  </si>
  <si>
    <t>SCM-ICH</t>
  </si>
  <si>
    <t>Supply Network Collaboration</t>
  </si>
  <si>
    <t>SCM-ICH-DIO</t>
  </si>
  <si>
    <t>Data Inbound / Data</t>
  </si>
  <si>
    <t>ROEMPROACT2: Confirmed PO is not assigned to vendor</t>
  </si>
  <si>
    <t>SCM-ICH-ERP</t>
  </si>
  <si>
    <t>ERP-ICH Integration</t>
  </si>
  <si>
    <t>PROACT: Incorrect stock quantity with order UOM</t>
  </si>
  <si>
    <t>PROACT IDoc contains incorrect Unit of Measure for Demand</t>
  </si>
  <si>
    <t>SD</t>
  </si>
  <si>
    <t>SD-BF</t>
  </si>
  <si>
    <t>SD-BF-AC</t>
  </si>
  <si>
    <t>Availability Check</t>
  </si>
  <si>
    <t>Header Texts duplicated in backorder processing</t>
  </si>
  <si>
    <t>MATP and RBA-STO ATP trees are not converted automatically.</t>
  </si>
  <si>
    <t>Performance issue when launching transaction CO06</t>
  </si>
  <si>
    <t>SD-BF-AC-APO</t>
  </si>
  <si>
    <t>ATP Interface Sales</t>
  </si>
  <si>
    <t>Performance problems: Deletion of field catalog</t>
  </si>
  <si>
    <t>SD-BF-AC-BOP</t>
  </si>
  <si>
    <t>Backorder Processing</t>
  </si>
  <si>
    <t>V_V2: exclude sales doc. with no "sched. line allowed"</t>
  </si>
  <si>
    <t>SD-BF-CM</t>
  </si>
  <si>
    <t>CSFG: Credit value not updated correctly</t>
  </si>
  <si>
    <t>Letter of credit status of rejected items</t>
  </si>
  <si>
    <t>RVKRED07 ignores order with external delivery</t>
  </si>
  <si>
    <t>UKM_RVKRED07 does not take external delivery into account</t>
  </si>
  <si>
    <t>SD-BF-CPE</t>
  </si>
  <si>
    <t>CPE in SD</t>
  </si>
  <si>
    <t>CPE in IS-OIL:Formula not copied into PO call-off (SAP_APPL)</t>
  </si>
  <si>
    <t>CPE ABAP reference data not passed to evaluation</t>
  </si>
  <si>
    <t>SD-BIL</t>
  </si>
  <si>
    <t>Billing</t>
  </si>
  <si>
    <t>SD-BIL-GF</t>
  </si>
  <si>
    <t>SD-BIL-GF-AR</t>
  </si>
  <si>
    <t>Archiving Billing</t>
  </si>
  <si>
    <t>Enhancement options are missing in archiving programs</t>
  </si>
  <si>
    <t>SD-BIL-GF-OC</t>
  </si>
  <si>
    <t>Output Control Bill.</t>
  </si>
  <si>
    <t>SAPscript: Shipper's (Our) Account Number at the Customer</t>
  </si>
  <si>
    <t>SAPscript: Shipper's (our) account number at customer (2)</t>
  </si>
  <si>
    <t>SD-BIL-IV</t>
  </si>
  <si>
    <t>Proc. billing doc.</t>
  </si>
  <si>
    <t>CSFG: Billing document items with pricing error</t>
  </si>
  <si>
    <t>CSFG: Incorrect costs for batch split</t>
  </si>
  <si>
    <t>SD-BIL-IV-DP</t>
  </si>
  <si>
    <t>Down Payments</t>
  </si>
  <si>
    <t>SD/FI-CA: Resource-related down payments</t>
  </si>
  <si>
    <t>SD-BIL-IV-IF</t>
  </si>
  <si>
    <t>External Billing</t>
  </si>
  <si>
    <t>Error KI 203 in the general billing interface</t>
  </si>
  <si>
    <t>SD-BIL-IV-PC</t>
  </si>
  <si>
    <t>Payment Cards</t>
  </si>
  <si>
    <t>Billing document: Incorrect billed values in authorization</t>
  </si>
  <si>
    <t>SD-BIL-RB</t>
  </si>
  <si>
    <t>Rebate Processing</t>
  </si>
  <si>
    <t>Verification level/drill-down - No subtotals</t>
  </si>
  <si>
    <t>SD-BIL-RR</t>
  </si>
  <si>
    <t>Revenue Recognition</t>
  </si>
  <si>
    <t>VF47: Incorrect error for doc. items that do not exist</t>
  </si>
  <si>
    <t>SD-EDI</t>
  </si>
  <si>
    <t>Electronic Data Interchange</t>
  </si>
  <si>
    <t>SD-EDI-OM</t>
  </si>
  <si>
    <t>Outbound Messages</t>
  </si>
  <si>
    <t>SD-EDI-OM-IV</t>
  </si>
  <si>
    <t>OM Invoices</t>
  </si>
  <si>
    <t>IDOC - INVOIC: Tax jurisdiction code TXJCD</t>
  </si>
  <si>
    <t>IDOC - INVOIC: Tax juristiction code TXJCD (2)</t>
  </si>
  <si>
    <t>SD-FT</t>
  </si>
  <si>
    <t>Foreign Trade</t>
  </si>
  <si>
    <t>SD-FT-COM</t>
  </si>
  <si>
    <t>Communications/Print</t>
  </si>
  <si>
    <t>Different selection for first print and repeat print</t>
  </si>
  <si>
    <t>SD-FT-GOV</t>
  </si>
  <si>
    <t>Declarations to Auth</t>
  </si>
  <si>
    <t>Czech Intrastat : Declaring the "special unit of measure"</t>
  </si>
  <si>
    <t>SD-FT-LOC</t>
  </si>
  <si>
    <t>Doc. Pymt. Guarantee</t>
  </si>
  <si>
    <t>Hard-coded username in SAPMV86E</t>
  </si>
  <si>
    <t>SD-MD</t>
  </si>
  <si>
    <t>SD-MD-CM</t>
  </si>
  <si>
    <t>Conditions/CondMaint</t>
  </si>
  <si>
    <t>Condition IDocs: Country part initial in variable key</t>
  </si>
  <si>
    <t>Directory traversal when creating conditions (batch input)</t>
  </si>
  <si>
    <t>SD-MD-MM</t>
  </si>
  <si>
    <t>Material Maintenance</t>
  </si>
  <si>
    <t>SD-MD-MM-CS</t>
  </si>
  <si>
    <t>Enhanced Material</t>
  </si>
  <si>
    <t>Short dump MOVE_TO_LIT_NOTALLOWED_NODATA, material view</t>
  </si>
  <si>
    <t>Incorrect available quantity in enhanced material search</t>
  </si>
  <si>
    <t>SD-SLS</t>
  </si>
  <si>
    <t>Entry in validity index (VAKGU) is not deleted</t>
  </si>
  <si>
    <t>Check of order data for consolidation II</t>
  </si>
  <si>
    <t>Redundant MARC accesses</t>
  </si>
  <si>
    <t>CBAD Improvement for checking elements in a package</t>
  </si>
  <si>
    <t>SD-SLS-ES</t>
  </si>
  <si>
    <t>V1 837 with CustomerReturnERPUpdateRequestConfirmation_In</t>
  </si>
  <si>
    <t>SD-SLS-GF</t>
  </si>
  <si>
    <t>SD-SLS-GF-IF</t>
  </si>
  <si>
    <t>Sales Documents BAPI</t>
  </si>
  <si>
    <t>Delivery schedule type is not filled</t>
  </si>
  <si>
    <t>IDoc application statistics of order processing incorrect</t>
  </si>
  <si>
    <t>SD-SLS-GF-RE</t>
  </si>
  <si>
    <t>SD Reporting</t>
  </si>
  <si>
    <t>SDQ3 / SDV3: Documents missing in the list</t>
  </si>
  <si>
    <t>V.25: Multiple release for each document</t>
  </si>
  <si>
    <t>ESOA doc. flow: Dump because delivery number does not exist</t>
  </si>
  <si>
    <t>Incorrect date during delivery in document flow</t>
  </si>
  <si>
    <t>SD-SLS-GF-VA</t>
  </si>
  <si>
    <t>SD BOM, Variant proc</t>
  </si>
  <si>
    <t>Termination CU 013 for BAPI_SALESORDER_CHANGE</t>
  </si>
  <si>
    <t>SD-SLS-OA</t>
  </si>
  <si>
    <t>Outline Agreements (Customer)</t>
  </si>
  <si>
    <t>SD-SLS-OA-CCO</t>
  </si>
  <si>
    <t>Customer Contracts</t>
  </si>
  <si>
    <t>Message V5 024: There are no valid cancellation rules</t>
  </si>
  <si>
    <t>SD-SLS-SO</t>
  </si>
  <si>
    <t>Sales Orders</t>
  </si>
  <si>
    <t>CSFG: No unchecked delivery after header change</t>
  </si>
  <si>
    <t>CSFG: Duplicate unchecked delivery for header delivery block</t>
  </si>
  <si>
    <t>SD-SLS-SO-TP</t>
  </si>
  <si>
    <t>SD Third-party order</t>
  </si>
  <si>
    <t>Endless loop when posting ORDRSP IDocs</t>
  </si>
  <si>
    <t>SRM</t>
  </si>
  <si>
    <t>Supplier Relationship Management</t>
  </si>
  <si>
    <t>SRM-EBP</t>
  </si>
  <si>
    <t>SRM-EBP-CGS</t>
  </si>
  <si>
    <t>Conf. Goods/Services</t>
  </si>
  <si>
    <t>Not able to post more than one SES for service PO from SRM</t>
  </si>
  <si>
    <t>WEC</t>
  </si>
  <si>
    <t>Web Channel Experience Management</t>
  </si>
  <si>
    <t>WEC-FRW</t>
  </si>
  <si>
    <t>WEC Framework</t>
  </si>
  <si>
    <t>Collective note for Web Channel R2 development</t>
  </si>
  <si>
    <t>XAP</t>
  </si>
  <si>
    <t>Collaborative Cross Applications</t>
  </si>
  <si>
    <t>XAP-MBA</t>
  </si>
  <si>
    <t>Mobile Business Applications</t>
  </si>
  <si>
    <t>XAP-MBA-DSD</t>
  </si>
  <si>
    <t>Direct Store Deliver</t>
  </si>
  <si>
    <t>MDSD: Tour does not get downloaded due to pricing error.</t>
  </si>
  <si>
    <t>XX-CSC</t>
  </si>
  <si>
    <t>Country-Specific Developments</t>
  </si>
  <si>
    <t>XX-CSC-AR</t>
  </si>
  <si>
    <t>Argentina</t>
  </si>
  <si>
    <t>XX-CSC-AR-LO</t>
  </si>
  <si>
    <t>Logistics</t>
  </si>
  <si>
    <t>J1ACAE: For one-time customer, TXT file is built incorrectly</t>
  </si>
  <si>
    <t>XX-CSC-BG</t>
  </si>
  <si>
    <t>Bulgaria</t>
  </si>
  <si>
    <t>XX-CSC-BG-LO</t>
  </si>
  <si>
    <t>Intrastat Bulgaria - New Function Modules</t>
  </si>
  <si>
    <t>XX-CSC-BR</t>
  </si>
  <si>
    <t>Brazil</t>
  </si>
  <si>
    <t>Static enhancement section removal</t>
  </si>
  <si>
    <t>XX-CSC-BR-MM</t>
  </si>
  <si>
    <t>LPP not calculated by STO with multiple items</t>
  </si>
  <si>
    <t>Cancellation of outgoing Nota Fiscal erase LPP table</t>
  </si>
  <si>
    <t>XX-CSC-BR-NFE</t>
  </si>
  <si>
    <t>NF-e</t>
  </si>
  <si>
    <t>NF-e: Cancel NF-e prior to Authorization</t>
  </si>
  <si>
    <t>Skipping canceled NF-e posted under Conting. with Val. Error</t>
  </si>
  <si>
    <t>NF-e: Val. Error on sending return for incoming NF (model 4)</t>
  </si>
  <si>
    <t>NF-e: BAdI CL_NFE_PRINT not to be called for Incoming Autom.</t>
  </si>
  <si>
    <t>NF-e: Reversing Contingency recovers wrong NF-e status</t>
  </si>
  <si>
    <t>NF-e: Selection of NF-es switched to Contingency</t>
  </si>
  <si>
    <t>NF-e Monitor: Selection by event related data</t>
  </si>
  <si>
    <t>BR: Control of duplicate incoming NF(e) for NF Writer</t>
  </si>
  <si>
    <t>NF-e: Legal Change- Electronic Correction Letter (EHP6 only)</t>
  </si>
  <si>
    <t>NF-e: wrong type of the field B20K_MOD Model Coupon Fiscal</t>
  </si>
  <si>
    <t>XX-CSC-BR-NFEIN</t>
  </si>
  <si>
    <t>Inc. Aut.  GRC NFe</t>
  </si>
  <si>
    <t>NF-e: Future delivery - prerequisites</t>
  </si>
  <si>
    <t>NF-e Incoming XML for purchase order in foreign currency</t>
  </si>
  <si>
    <t>NF-e Incoming-Prerequisites for Subcontracting</t>
  </si>
  <si>
    <t>NF-e incoming - Prerequisites for Future Delivery Invoice</t>
  </si>
  <si>
    <t>NF-e tax values in excluded base / other base</t>
  </si>
  <si>
    <t>NF-e Incoming: RFC error when PO has attachments</t>
  </si>
  <si>
    <t>NF-e ICMS amount in excluded base / other base not correct</t>
  </si>
  <si>
    <t>NF-e: Quantity zero in Fiscal Workplace</t>
  </si>
  <si>
    <t>XX-CSC-BR-REP</t>
  </si>
  <si>
    <t>Reporting</t>
  </si>
  <si>
    <t>SPED-EFD: C113 - Clear Standard Limitation of NF Types</t>
  </si>
  <si>
    <t>IN86: Items from Nota Fiscal are not properly listed</t>
  </si>
  <si>
    <t>MANAD: DT_INC_ALT filtering correction in record I050</t>
  </si>
  <si>
    <t>EFD-Contributions: Enhancement 10</t>
  </si>
  <si>
    <t>SPED generic objects: Enhancement 07</t>
  </si>
  <si>
    <t>EFD-Contributions: Enhancement 11</t>
  </si>
  <si>
    <t>EFD-Contributions: Enhancement 12</t>
  </si>
  <si>
    <t>XX-CSC-CL</t>
  </si>
  <si>
    <t>Chile</t>
  </si>
  <si>
    <t>CL: Material Description shows in wrong language for output</t>
  </si>
  <si>
    <t>XX-CSC-CN</t>
  </si>
  <si>
    <t>China</t>
  </si>
  <si>
    <t>XX-CSC-CN-GTI</t>
  </si>
  <si>
    <t>Golden Tax Interface</t>
  </si>
  <si>
    <t>Material number empty if material description not maintained</t>
  </si>
  <si>
    <t>XX-CSC-ES</t>
  </si>
  <si>
    <t>Spain</t>
  </si>
  <si>
    <t>XX-CSC-ES-FICA</t>
  </si>
  <si>
    <t>Contract Accounting</t>
  </si>
  <si>
    <t>FI-CA: Potential Directory Traversal-Additional corrections</t>
  </si>
  <si>
    <t>XX-CSC-FR</t>
  </si>
  <si>
    <t>France</t>
  </si>
  <si>
    <t>RFUMSV50 does not take into account the BOE due date</t>
  </si>
  <si>
    <t>XX-CSC-IN</t>
  </si>
  <si>
    <t>India</t>
  </si>
  <si>
    <t>XX-CSC-IN-FI</t>
  </si>
  <si>
    <t>Financial Acc.</t>
  </si>
  <si>
    <t>Downpayment Clearing latest correction</t>
  </si>
  <si>
    <t>Provision: If PO is not in INR, tax calculation is wrong.</t>
  </si>
  <si>
    <t>PAN Check is not happeing for Customer invoice</t>
  </si>
  <si>
    <t>PAN CHECK- For documents with external number range.</t>
  </si>
  <si>
    <t>J1INEMIS : Does not display documents for customer</t>
  </si>
  <si>
    <t>XX-CSC-IN-MM</t>
  </si>
  <si>
    <t>Materials Mngmt</t>
  </si>
  <si>
    <t>Time out Error while subcontracting challan reconciliation</t>
  </si>
  <si>
    <t>IN: Quantity based condition values are not defaulted in PO</t>
  </si>
  <si>
    <t>Part1 tab not displayed for excise item in GR display- MIGO</t>
  </si>
  <si>
    <t>Wrong excise invoice capture allowed multiple times in J1IEX</t>
  </si>
  <si>
    <t>No Excise tab in MIGO display when excise captured in J1IEX</t>
  </si>
  <si>
    <t>Incorrect taxes calculated during MIRO for Acc. assigned PO</t>
  </si>
  <si>
    <t>Wrong non deductable tax calculation while goods receipt</t>
  </si>
  <si>
    <t>XX-CSC-IN-SD</t>
  </si>
  <si>
    <t>Sales &amp; Distrib</t>
  </si>
  <si>
    <t>ABAP Runtime error while referring Mother Excise- J1IIN/J1IS</t>
  </si>
  <si>
    <t>Timeout Error due to performance issue for RG1 extract- J2I5</t>
  </si>
  <si>
    <t>In J1IJ the system is not picking the supplementary invoice</t>
  </si>
  <si>
    <t>FI error handling for COPA related customization missing</t>
  </si>
  <si>
    <t>Excise related details not updated in depot register-J1IJCHK</t>
  </si>
  <si>
    <t>Error 8I-332 when UoMs are different and IS-Oil active- J1IJ</t>
  </si>
  <si>
    <t>XX-CSC-INMA</t>
  </si>
  <si>
    <t>Inflation Management</t>
  </si>
  <si>
    <t>XX-CSC-INMA-FI</t>
  </si>
  <si>
    <t>XX-CSC-INMA-FI-AA</t>
  </si>
  <si>
    <t>Inflation FI-AA: wrong area posting</t>
  </si>
  <si>
    <t>XX-CSC-JP</t>
  </si>
  <si>
    <t>Japan</t>
  </si>
  <si>
    <t>Cancellation of Monthly Invoices and Payer Invoices</t>
  </si>
  <si>
    <t>Cancellation of MIs with Tax Adjustment</t>
  </si>
  <si>
    <t>XX-CSC-MX</t>
  </si>
  <si>
    <t>Mexico</t>
  </si>
  <si>
    <t>Digital Invoice Mexico: Manual taxes in FI customer invoice</t>
  </si>
  <si>
    <t>Digital Invoice Mexico: Authority Check PFL_GET_PARAMETER</t>
  </si>
  <si>
    <t>XX-CSC-PL</t>
  </si>
  <si>
    <t>Poland</t>
  </si>
  <si>
    <t>XX-CSC-PL-LO</t>
  </si>
  <si>
    <t>DP Poland: Error KM 133 due to batch split during delivery</t>
  </si>
  <si>
    <t>XX-CSC-PT</t>
  </si>
  <si>
    <t>Portugal</t>
  </si>
  <si>
    <t>Digital Signature PT: Authorization check for MM</t>
  </si>
  <si>
    <t>XX-CSC-PT-FIAA</t>
  </si>
  <si>
    <t>Mapas Fiscais SNC Form 32 and 31</t>
  </si>
  <si>
    <t>PT: Mapas Fiscais - Wrong overall total in Form 33.17</t>
  </si>
  <si>
    <t>Errors in New SNC forms Mapas Fiscais</t>
  </si>
  <si>
    <t>PT: Mapas Fiscais - Error in Form 32.01 column 15</t>
  </si>
  <si>
    <t>PT: Mapas Fiscais - Column totals are wrong in Form 3203 PDF</t>
  </si>
  <si>
    <t>XX-CSC-RU</t>
  </si>
  <si>
    <t>Russia</t>
  </si>
  <si>
    <t>XX-CSC-RU-FI</t>
  </si>
  <si>
    <t>RU:Transport Tax Decl PDF Error- Multiple line items</t>
  </si>
  <si>
    <t>RFUMSV53: Down Payment Clearing Processing</t>
  </si>
  <si>
    <t>J_3RFPDE/CR: Drill Down for Shifted Fiscal Year</t>
  </si>
  <si>
    <t>Sales/Purchase Ledger: downpayment request</t>
  </si>
  <si>
    <t>J_3RTAX21_09: Incorrect format of OKVED-code in XML-file</t>
  </si>
  <si>
    <t>Form OS-14 is not printed for incoming asset transfers</t>
  </si>
  <si>
    <t>RFUMSV53: Clearing Without Items Processing</t>
  </si>
  <si>
    <t>OS-forms: Wrong document number in intercompany transfer</t>
  </si>
  <si>
    <t>Sales/Purchase Ledger: Extra comma in PDF by posting dates</t>
  </si>
  <si>
    <t>Sales/Purchase Ledger: bank statement</t>
  </si>
  <si>
    <t>Balance sheet forms: Russia: Legal changes 2011</t>
  </si>
  <si>
    <t>Maintenance View: Payment Terms for Shelf Life of Goods</t>
  </si>
  <si>
    <t>RFUMSV50: Down payment clearing via FBA3 or FBA8</t>
  </si>
  <si>
    <t>RFUMSV50: Payment reversal FBRA</t>
  </si>
  <si>
    <t>RFUMSV50: Invoice with wrong taxes</t>
  </si>
  <si>
    <t>XX-CSC-RU-LO</t>
  </si>
  <si>
    <t>New waybill form (RU)</t>
  </si>
  <si>
    <t>XX-CSC-TH</t>
  </si>
  <si>
    <t>Thailand</t>
  </si>
  <si>
    <t>ODN TH:VAT no is not generated for manual tax lines in MIRO.</t>
  </si>
  <si>
    <t>XX-CSC-XX</t>
  </si>
  <si>
    <t>Country spec. C &amp; F</t>
  </si>
  <si>
    <t>checkman errors</t>
  </si>
  <si>
    <t>XX-PROJ-CHO</t>
  </si>
  <si>
    <t>Chorus</t>
  </si>
  <si>
    <t>XX-PROJ-CHO-FI</t>
  </si>
  <si>
    <t>Chorus FIN Session</t>
  </si>
  <si>
    <t>FPDP_CREATE: Exitkommandos auf Einstiegsbild</t>
  </si>
  <si>
    <t>FPDP_CREATE: Down payment amount in header not displayed</t>
  </si>
  <si>
    <t>ME2DP/FPDP_START: Various problems</t>
  </si>
  <si>
    <t>FPDP_CREATE:Down payment amt displayed incorrectly in header</t>
  </si>
  <si>
    <t>XX-PROJ-PRC</t>
  </si>
  <si>
    <t>Procurement Card</t>
  </si>
  <si>
    <t>PCRD: Kartenfile kann mehrfach abgespeichert werden</t>
  </si>
  <si>
    <t>SAPKH60601</t>
  </si>
  <si>
    <t>SAPKH60602</t>
  </si>
  <si>
    <t>AC-COB</t>
  </si>
  <si>
    <t>Coding Block</t>
  </si>
  <si>
    <t>Call of the Coding Block via Class interface</t>
  </si>
  <si>
    <t>Archived WBS element disappears in FB02</t>
  </si>
  <si>
    <t>Improvement of the layout of screen SAPLKACB 1016</t>
  </si>
  <si>
    <t>BAPI: Reversal document not updated</t>
  </si>
  <si>
    <t>Enhancement of the ACCTIT update</t>
  </si>
  <si>
    <t>Incorrect domain for BAPI amount fields AMT_BASE and TAX_AMT</t>
  </si>
  <si>
    <t>AC-INT-ECS</t>
  </si>
  <si>
    <t>Error Correction</t>
  </si>
  <si>
    <t>ECS list report: Select by "ECS Item Created On" not working</t>
  </si>
  <si>
    <t>Document filtering during knowledge base generation</t>
  </si>
  <si>
    <t>Enhancement of KB runtime version generation</t>
  </si>
  <si>
    <t>Global 'nosearch' flag for characteristics</t>
  </si>
  <si>
    <t>cBASE / ConfigStore</t>
  </si>
  <si>
    <t>Dump DATREF_NOT_ASSIGNED in CUCB_CHECK_EXISTENCE_OF_INSTA</t>
  </si>
  <si>
    <t>Low Level Config.</t>
  </si>
  <si>
    <t>PDS-INT: Selective Integration of object dependency II</t>
  </si>
  <si>
    <t>AP-MD-BF</t>
  </si>
  <si>
    <t>AP-MD-BF-SYN</t>
  </si>
  <si>
    <t>Master Data Synchron</t>
  </si>
  <si>
    <t>Potential disclosure of persisted data in Synchronization</t>
  </si>
  <si>
    <t>Falsche SY-SUBRC Abfrage in VMD_EI_API_MAP_STRUCTURE</t>
  </si>
  <si>
    <t>BP_CVI: Subrange texts not written to XO and data base</t>
  </si>
  <si>
    <t>Incorrect validation for withholding tax exemption rate</t>
  </si>
  <si>
    <t>CMD_EI_API_CHECK: requ. fields checks can not be suppressed</t>
  </si>
  <si>
    <t>SAP BP SYN: Dump in transaction XK01</t>
  </si>
  <si>
    <t>Last Dunning Area in Company Code cannot be deleted</t>
  </si>
  <si>
    <t>Systems tries to add already existing partner functions</t>
  </si>
  <si>
    <t>Duplicate Partner Functions for Vendors not validated</t>
  </si>
  <si>
    <t>Wrong field names returned from CVI-API KNVV-check</t>
  </si>
  <si>
    <t>Korrektur Rückreplikation Prepaid-Account SAP_APPL</t>
  </si>
  <si>
    <t>Missing activ. of extended XML handl. II_BUPA_BPRELSHPCHGRC</t>
  </si>
  <si>
    <t>SOA BP: BP by ID - call of outbound BAdI with input data</t>
  </si>
  <si>
    <t>BP SYN: Time-out error due to more Contact Person locks</t>
  </si>
  <si>
    <t>SYN: Synchronization wrongly deletes duplicate bank details</t>
  </si>
  <si>
    <t>Bank detail not synchronised from Business partner to Vendor</t>
  </si>
  <si>
    <t>Same adurl entry is inserted twice in address table</t>
  </si>
  <si>
    <t>Legal Case Management correction of delivery</t>
  </si>
  <si>
    <t>Incorrect File selection dialog in e-Discovery reports (RW)</t>
  </si>
  <si>
    <t>DRB: Supplement to number range problem SD</t>
  </si>
  <si>
    <t>DRB: Corrections for Note 1573695</t>
  </si>
  <si>
    <t>DRB: "Services for Object" in SD</t>
  </si>
  <si>
    <t>DRB: Material document missing</t>
  </si>
  <si>
    <t>BW-BCT-CL</t>
  </si>
  <si>
    <t>Classification Sys</t>
  </si>
  <si>
    <t>Master data for characteristics not fully extracted</t>
  </si>
  <si>
    <t>BW-BCT: Performance for CO-OM budget extractors</t>
  </si>
  <si>
    <t>Activating LOG table for error analysis of CO delta queue</t>
  </si>
  <si>
    <t>BW-BCT: EIB for line item extract w/ business trans. RKLN</t>
  </si>
  <si>
    <t>BW-BCT-CO-PA</t>
  </si>
  <si>
    <t>Profitab. analysis</t>
  </si>
  <si>
    <t>Short text for hierarchy nodes truncated to 10 characters</t>
  </si>
  <si>
    <t>Text/master data DataSource is not generated</t>
  </si>
  <si>
    <t>WBS element and marketing element with external format</t>
  </si>
  <si>
    <t>BW-BCT-CO-PC</t>
  </si>
  <si>
    <t>Product Cost Control</t>
  </si>
  <si>
    <t>Performance improvement: Extractor for 0CO_PC_ACT_10</t>
  </si>
  <si>
    <t>0CO_PC_ACT_10: Extraction delta profit group</t>
  </si>
  <si>
    <t>0CO_PC_PCP_30: Dump with exception CX_SY_CONVERSION_OVERFLOW</t>
  </si>
  <si>
    <t>0CO_PC_PCP_30: Long runtime for active material ledger</t>
  </si>
  <si>
    <t>Extractor 0CO_PC_PCP_03, 0CO_PC_PCP_30: Long runtime</t>
  </si>
  <si>
    <t>Bad performance of extractor 0CO_PC_PCP_02</t>
  </si>
  <si>
    <t>0CO_PC_PCP_30: Termination due to information message CK 375</t>
  </si>
  <si>
    <t>Datasource 0CO_PC_02 : Incorrect control costs</t>
  </si>
  <si>
    <t>Documents missing in delta load for 0FI_*_4 datasources</t>
  </si>
  <si>
    <t>Problems with tables BWFI_AEDAT, BWFI_AEDA2 or BWFI_AEDA3</t>
  </si>
  <si>
    <t>0ASSET_AFAB_ATTR: Depreciation areas loaded multiple times</t>
  </si>
  <si>
    <t>BW-BCT-FI-GL</t>
  </si>
  <si>
    <t>General Ledger</t>
  </si>
  <si>
    <t>Missing documents during extraction by 0FI_*_4 extractors</t>
  </si>
  <si>
    <t>BW-BCT-ISR</t>
  </si>
  <si>
    <t>Retail &amp; Cons. Prod.</t>
  </si>
  <si>
    <t>PI: Short dump creating purchase order of the service type</t>
  </si>
  <si>
    <t>Error message WM 127 during extraction using 2LIS_02_SCL</t>
  </si>
  <si>
    <t>BW-BCT-ISR-AA</t>
  </si>
  <si>
    <t>Analytical Apps</t>
  </si>
  <si>
    <t>PI: Time variable not taken into account</t>
  </si>
  <si>
    <t>WAHD1: Error message WAHD209</t>
  </si>
  <si>
    <t>BW-BCT-ISR-POS</t>
  </si>
  <si>
    <t>Point of Sales</t>
  </si>
  <si>
    <t>PLUG: Bonus buy description with bottom-extraction</t>
  </si>
  <si>
    <t>BW-BCT-LE</t>
  </si>
  <si>
    <t>BW-BCT-LE-TRA</t>
  </si>
  <si>
    <t>Transport</t>
  </si>
  <si>
    <t>VTBW, VIFBW:Long runtime/termination for transports with HUs</t>
  </si>
  <si>
    <t>BKLAS incorrect for material documents with DMBUM &lt;&gt; 0</t>
  </si>
  <si>
    <t>RMCBNERP: Profit center populated incorrectly</t>
  </si>
  <si>
    <t>BW-BCT-MM-IV</t>
  </si>
  <si>
    <t>BW: Incorrect material class for POs for external service</t>
  </si>
  <si>
    <t>MCEX032: Field cannot be selected</t>
  </si>
  <si>
    <t>Structure COBL_MRM_FF</t>
  </si>
  <si>
    <t>BW/LIS: Schedule lines with zero quantity not extracted</t>
  </si>
  <si>
    <t>OLI3BW fills DBWMNG, DBWGEO, ELIKZ for POs w/invoicing plan</t>
  </si>
  <si>
    <t>Positive values seen in fields for cancelled material docu.</t>
  </si>
  <si>
    <t>LIS Query results not matching with ODP query</t>
  </si>
  <si>
    <t>0PM_PRM_PLCS_2: Runtime error DBIF_RSQL_SQL_ERROR</t>
  </si>
  <si>
    <t>Incorr. costs when there are several pkgs for same call date</t>
  </si>
  <si>
    <t>BW-BCT-PM</t>
  </si>
  <si>
    <t>Fields GROSS_WGT and LOAD_WGT in extractor 0FLEET</t>
  </si>
  <si>
    <t>Runtime of BW extractor 0PM_SCH_PLND_ORDER</t>
  </si>
  <si>
    <t>Delta on 2LIS_17_I3HDR 2LIS_18_I3HDR based on status change</t>
  </si>
  <si>
    <t>Logging of Select options for PM extractor 0EQUIPMENT_ATTR</t>
  </si>
  <si>
    <t>BW-BCT-PP-KAN</t>
  </si>
  <si>
    <t>Kanban</t>
  </si>
  <si>
    <t>2LIS_04_PKKANBAN (RSA3) Initial data extraction doesn't work</t>
  </si>
  <si>
    <t>BW-BCT-PS</t>
  </si>
  <si>
    <t>PSBW: Syntax-error in SAPLPSBW for PS-extractors (V)</t>
  </si>
  <si>
    <t>BW-BCT-SD-BIL</t>
  </si>
  <si>
    <t>Product hierarchy: Performance when loading to BW</t>
  </si>
  <si>
    <t>Open sales order value not completely cleared</t>
  </si>
  <si>
    <t>Incorrect BW extraction for RBA main item</t>
  </si>
  <si>
    <t>CA-BK</t>
  </si>
  <si>
    <t>Bank</t>
  </si>
  <si>
    <t>CheckMan 2011</t>
  </si>
  <si>
    <t>CA-CL</t>
  </si>
  <si>
    <t>Classification</t>
  </si>
  <si>
    <t>Syntax error in program SAPLCLD1</t>
  </si>
  <si>
    <t>CA-DMF</t>
  </si>
  <si>
    <t>Demand Management Foundation</t>
  </si>
  <si>
    <t>CA-DMF-PRM</t>
  </si>
  <si>
    <t>Promotions</t>
  </si>
  <si>
    <t>BAdI to filter MDG Change Pointer Creation</t>
  </si>
  <si>
    <t>DRFOUT does not recognize the price ref. art at org. level</t>
  </si>
  <si>
    <t>BAPI_DOCUMENT_CHECKIN_REPLACE2:Problem with content version</t>
  </si>
  <si>
    <t>Document Description deletable even if it is mandatory</t>
  </si>
  <si>
    <t>Additional files cannot be added using BAPI_DOCUMENT_LOAD</t>
  </si>
  <si>
    <t>Document conversion triggered via status change fails</t>
  </si>
  <si>
    <t>Unable to display files stored in Archive link</t>
  </si>
  <si>
    <t>DOCUMENT_MAIN01: BAdI method to add additional classes</t>
  </si>
  <si>
    <t>CV02N:Pop-up for save appears even when no changes were done</t>
  </si>
  <si>
    <t>CS14: Search Help with '=' in document structure</t>
  </si>
  <si>
    <t>BAPI_DOCUMENT_CHANGE2: Error message not returned</t>
  </si>
  <si>
    <t>Checkman error in function module ARCHIV_GET_CLIENT_META</t>
  </si>
  <si>
    <t>Electronic Signatures in DMS and PLM Web UI</t>
  </si>
  <si>
    <t>Electronic Signature Logs in DMS and PLM Web UI</t>
  </si>
  <si>
    <t>BAPI_DOCUMENT_GETFRONTENDTYPE:Method GET_FRONTEND not called</t>
  </si>
  <si>
    <t>Electronic Signature Logs in DMS - Extension to Note 1667288</t>
  </si>
  <si>
    <t>CA-DMS-DCD</t>
  </si>
  <si>
    <t>Document Distr.</t>
  </si>
  <si>
    <t>DCD: Filename attached to e-mail is truncated to 50 chars</t>
  </si>
  <si>
    <t>CVI6: Heading information is not displayed properly</t>
  </si>
  <si>
    <t>CVI6: Document Number displayed with preceding zeros</t>
  </si>
  <si>
    <t>CVI6: Defining layouts in the result list</t>
  </si>
  <si>
    <t>Unable to link a material with special characters to a DIR</t>
  </si>
  <si>
    <t>After error message 26/455, the status log is not updated</t>
  </si>
  <si>
    <t>Change Documents not written during deletion of a file</t>
  </si>
  <si>
    <t>Recipient List is locked when two users display at same time</t>
  </si>
  <si>
    <t>Deletion of DIRs happening incorrectly in Project Builder</t>
  </si>
  <si>
    <t>CA-DMS-EUI</t>
  </si>
  <si>
    <t>Easy DMS Interface</t>
  </si>
  <si>
    <t>Authorization check on status not done while deleting DIR</t>
  </si>
  <si>
    <t>Drag &amp; Drop of DIRs should not evaluate Deletion ACL</t>
  </si>
  <si>
    <t>CA-DMS-RTV</t>
  </si>
  <si>
    <t>Retrieval</t>
  </si>
  <si>
    <t>Error in CV04N while searching with status &amp; Date From field</t>
  </si>
  <si>
    <t>CV04N: Incorrect message when changing layout in hit list</t>
  </si>
  <si>
    <t>DMS: Sorting on classification data is wrong in CV04N</t>
  </si>
  <si>
    <t>CA-GTF-BS</t>
  </si>
  <si>
    <t>Business Application Support</t>
  </si>
  <si>
    <t>CA-GTF-BS-MC</t>
  </si>
  <si>
    <t>Message Control</t>
  </si>
  <si>
    <t>Text replacement for output title is not correct</t>
  </si>
  <si>
    <t>report RSCLCMFP displays too many entries</t>
  </si>
  <si>
    <t>Output not displayed correctly from archive</t>
  </si>
  <si>
    <t>Inconsistent message handling in message class CPE_ERP</t>
  </si>
  <si>
    <t>CPE: Analysis</t>
  </si>
  <si>
    <t>Change of effect of business attribute on finding</t>
  </si>
  <si>
    <t>CPE: test data container for formula assembly incorrect</t>
  </si>
  <si>
    <t>CPE: Corrections to documentation</t>
  </si>
  <si>
    <t>No Value Help for Condition Type when creating CPE Formula</t>
  </si>
  <si>
    <t>CPE: 0 condition records for formula assembly determined</t>
  </si>
  <si>
    <t>CPE: Incorrect quantity during price simulation in contract</t>
  </si>
  <si>
    <t>RCPE_TEST_FE_CREATE_CUST: Data uploaded incompletely</t>
  </si>
  <si>
    <t>CPEP price not getting updated</t>
  </si>
  <si>
    <t>CPE price not getting created in trading contract</t>
  </si>
  <si>
    <t>Country specific obj</t>
  </si>
  <si>
    <t>Payment form is printed out twice (caused by note 1032097)</t>
  </si>
  <si>
    <t>Links from DMEE screens to application help incorrect</t>
  </si>
  <si>
    <t>FTWH/FTWY - Performance when deleting duplicates</t>
  </si>
  <si>
    <t>FTWB: Text element reference for Archiving Object</t>
  </si>
  <si>
    <t>FTWE/FTWE1: Message unclear when data not present in file</t>
  </si>
  <si>
    <t>Filling KNB1 fields in segment TXW_KNVV</t>
  </si>
  <si>
    <t>Dump TSV_TNEW_PAGE_ALLOC_FAILED during extract run</t>
  </si>
  <si>
    <t>FTWL - Import of extracts triggers message XW 097</t>
  </si>
  <si>
    <t>FTW1A-Termination DBIF_RSQL_SQL_ERROR in PROCESS_CD_MATERIAL</t>
  </si>
  <si>
    <t>Runtime when reading compressed extracts</t>
  </si>
  <si>
    <t>FTWN - Status message is imprecise</t>
  </si>
  <si>
    <t>FTWN - Incorrect status for archived views</t>
  </si>
  <si>
    <t>CA-GTF-FCC</t>
  </si>
  <si>
    <t>Financial Closing</t>
  </si>
  <si>
    <t>PERIOD_DAY_DETERMINE as RFC</t>
  </si>
  <si>
    <t>CA-GTF-SP</t>
  </si>
  <si>
    <t>Business Suite SP</t>
  </si>
  <si>
    <t>Side panel for Web Dynpro ABAP applications not available</t>
  </si>
  <si>
    <t>CA-IAM</t>
  </si>
  <si>
    <t>Issue &amp; Activity Management</t>
  </si>
  <si>
    <t>CA-IAM-QIM</t>
  </si>
  <si>
    <t>Quality Issue Mgmt</t>
  </si>
  <si>
    <t>QIM: Problems when navigating to the action</t>
  </si>
  <si>
    <t>CA-JVA</t>
  </si>
  <si>
    <t>Joint Venture and Production Sharing Accounting</t>
  </si>
  <si>
    <t>CA-JVA-JVA</t>
  </si>
  <si>
    <t>Joint Venture Accounting</t>
  </si>
  <si>
    <t>CA-JVA-JVA-IF</t>
  </si>
  <si>
    <t>Integration Funct.</t>
  </si>
  <si>
    <t>Unexpected Venture Splitting on Depreciation Postings</t>
  </si>
  <si>
    <t>CO Plan price calculation: Missing update in JVA</t>
  </si>
  <si>
    <t>GJL7: Fixing wrong CO doc check</t>
  </si>
  <si>
    <t>GJ912 when trying to edit additional data via MORE button</t>
  </si>
  <si>
    <t>ENJOY: Recovery Indicator not re-derived at new cost object</t>
  </si>
  <si>
    <t>Wrong values in local currency amount in special JV ledgers</t>
  </si>
  <si>
    <t>Wrong equity group derived when posting FI document</t>
  </si>
  <si>
    <t>No equity group derived when running KP90/KP91 in background</t>
  </si>
  <si>
    <t>SL not posting zero lines present in JVSO1</t>
  </si>
  <si>
    <t>MBST: Error V1 801 when posting reversal with CRP</t>
  </si>
  <si>
    <t>FBCJ: recovery indicator not re-derived for new cost object</t>
  </si>
  <si>
    <t>CA-JVA-JVA-IS</t>
  </si>
  <si>
    <t>CN41: JIB/JIBE data not displayed for networks</t>
  </si>
  <si>
    <t>Master Data Governan</t>
  </si>
  <si>
    <t>Docomentation has been corrected (SAP_APPL)</t>
  </si>
  <si>
    <t>MDG: Distribution of business partner relationships</t>
  </si>
  <si>
    <t>MDG: Changedocuments form primary persistency not displayed</t>
  </si>
  <si>
    <t>MDG: Enhancing Enterprise Search template</t>
  </si>
  <si>
    <t>MDGS: wrong error types (warning instead of information)</t>
  </si>
  <si>
    <t>MDG: Key mapping written with temporary IDs</t>
  </si>
  <si>
    <t>Enhancements Bus.Partner SUITE Replicate Service for MDG 6.1</t>
  </si>
  <si>
    <t>Search help "Customers in MDG hub..." doesn't show persons</t>
  </si>
  <si>
    <t>MDGC: no warnings for multiple assignment of industry codes</t>
  </si>
  <si>
    <t>MDGC Authorization check for customer local copy</t>
  </si>
  <si>
    <t>MDG: Wrong handling of inbound messages (SOA)</t>
  </si>
  <si>
    <t>MDGC: customer search select. screen is blocked after error</t>
  </si>
  <si>
    <t>MDGC: Issue when creating an Enterprise Search Connector</t>
  </si>
  <si>
    <t>MDG: No distribution of customers from ECC to MDG Hub</t>
  </si>
  <si>
    <t>MDG Customer and Supplier: Dump in SOA-Inbound</t>
  </si>
  <si>
    <t>SAP_MDG-S /-C: Message MDG_BS_BP_MLT_AS 020</t>
  </si>
  <si>
    <t>Search Help "Customers in MDG ...": Search fields too long</t>
  </si>
  <si>
    <t>MDGC Local Copy: duplicate messages in error log</t>
  </si>
  <si>
    <t>MDGC Local Copy: No message when copying client-only record</t>
  </si>
  <si>
    <t>CA-MDG-APP-FIN</t>
  </si>
  <si>
    <t>MDG Financials</t>
  </si>
  <si>
    <t>Responsible Change to IMS</t>
  </si>
  <si>
    <t>MDGF:Termination during import of financial report structure</t>
  </si>
  <si>
    <t>MDGF:Termin during distribution of consolid report structure</t>
  </si>
  <si>
    <t>Error KBAS_XI_PROXY 078 in P/C CGroup hierarchy replication</t>
  </si>
  <si>
    <t>CA-MDG-APP-MM</t>
  </si>
  <si>
    <t>MDG Material</t>
  </si>
  <si>
    <t>MDG MAT: Unnecessary locks for MARM and MEAN during check</t>
  </si>
  <si>
    <t>MDG: wrong message for required purchasing organization data</t>
  </si>
  <si>
    <t>MDG: issues with field properties for address-data</t>
  </si>
  <si>
    <t>MDGS/ MDGC: no required fields check for communication data</t>
  </si>
  <si>
    <t>MDGS: exception when creating dunning data</t>
  </si>
  <si>
    <t>MDG: customer/ supplier requires role which can not be added</t>
  </si>
  <si>
    <t>MDGS: no check performed for dunning data</t>
  </si>
  <si>
    <t>Activation error after import of vendors with ext. numbering</t>
  </si>
  <si>
    <t>MDGS: error when adding additional purchasing data</t>
  </si>
  <si>
    <t>MDGS: no data validation of entered vendor subrange</t>
  </si>
  <si>
    <t>MDGC: wrong defaulting of role when creating customer</t>
  </si>
  <si>
    <t>MDGS: T042 not considered for payment method supplement</t>
  </si>
  <si>
    <t>MDGS: issues with supplier company code data and incoterms</t>
  </si>
  <si>
    <t>Issues in supplier company code data (navigation, validat.)</t>
  </si>
  <si>
    <t>MDGS: no message navigation for supplier dunning data</t>
  </si>
  <si>
    <t>MDGS: wrong field properties for addition. purchasing data</t>
  </si>
  <si>
    <t>MDG: Creating a default customer/supplier from PPO</t>
  </si>
  <si>
    <t>CA-MDG-DRF</t>
  </si>
  <si>
    <t>Data Replication Fra</t>
  </si>
  <si>
    <t>Extensibility for PMR Integration</t>
  </si>
  <si>
    <t>Performance of Data Replication for Source of Supply</t>
  </si>
  <si>
    <t>DRFOUT: Transfer of Display and Generic Article to PMR</t>
  </si>
  <si>
    <t>CA-SUR</t>
  </si>
  <si>
    <t>Web Survey</t>
  </si>
  <si>
    <t>Checkman, other errors and marginal corrections</t>
  </si>
  <si>
    <t>CA-TS</t>
  </si>
  <si>
    <t>Time Sheet</t>
  </si>
  <si>
    <t>CAT2 generating empty work items for status 50 records</t>
  </si>
  <si>
    <t>CATS_APPR_LITE: reversal check for MM-SRV</t>
  </si>
  <si>
    <t>Transaction CATS_DA: Cancelled documents are not displayed</t>
  </si>
  <si>
    <t>Approved records not transferred to infotype table</t>
  </si>
  <si>
    <t>Syntax error in function group BAPICATS and BAPIEMPLOYEECATS</t>
  </si>
  <si>
    <t>CATS_APPR_LITE: Performance issue during Reset Approval</t>
  </si>
  <si>
    <t>CAT2/3:back button does not work properly in follow-on doc</t>
  </si>
  <si>
    <t>Archiving Objects Corrections - CATS</t>
  </si>
  <si>
    <t>RCATS_ARCH_ARCHIVING program not working in prod mode</t>
  </si>
  <si>
    <t>CA-TS-IA</t>
  </si>
  <si>
    <t>Internet Applics.</t>
  </si>
  <si>
    <t>Performance problem in CAPP transaction</t>
  </si>
  <si>
    <t>CA-TS-IA-XS</t>
  </si>
  <si>
    <t>Self Services Web Dy</t>
  </si>
  <si>
    <t>WD CATS: Consolidated note 2 for Time Recording and Approval</t>
  </si>
  <si>
    <t>CATS Webdypro:MSS Approve Working Time Performance Problem</t>
  </si>
  <si>
    <t>CATS WDA:Workflow not triggered when record is saved</t>
  </si>
  <si>
    <t>CA-TS-MM</t>
  </si>
  <si>
    <t>Integr.Ext.Services</t>
  </si>
  <si>
    <t>Missing authorization for service PO's in TCode CATM</t>
  </si>
  <si>
    <t>Planning processor: Incorrect lock entries for intervals</t>
  </si>
  <si>
    <t>IS-PS dummy note</t>
  </si>
  <si>
    <t>Missing authorization check on KSB5</t>
  </si>
  <si>
    <t>CO-OM Tools: Connecting SAP HANA to SE16N part 2</t>
  </si>
  <si>
    <t>OBJH: Correction of inconsistencies</t>
  </si>
  <si>
    <t>CO Master Data - Field width of 'Status' view</t>
  </si>
  <si>
    <t>No F4 help available for CO groups(Eg.Cost Center Group)</t>
  </si>
  <si>
    <t>Short Dump for deep structure of CI_AUFK</t>
  </si>
  <si>
    <t>No selection variant can be added in search result</t>
  </si>
  <si>
    <t>Dummy note for code cleanups in CO</t>
  </si>
  <si>
    <t>OKP1: No check for S_TABU_NAM</t>
  </si>
  <si>
    <t>CO-OM tools: Connecting SAP HANA to SE16N part 3</t>
  </si>
  <si>
    <t>Error message for empty AUFNR in method READ_ORDER_WITH_TEXT</t>
  </si>
  <si>
    <t>COTB: Enhancing authorization module</t>
  </si>
  <si>
    <t>CO_AT: Dump when creating AT in LEAN configuration</t>
  </si>
  <si>
    <t>EXIT_SAPLKBER_001: Logic enhancement III</t>
  </si>
  <si>
    <t>SE16N: Runtime when saving</t>
  </si>
  <si>
    <t>Group maintenance: Deletion authorization in background</t>
  </si>
  <si>
    <t>Parallel actual valuation not availble in CJI3</t>
  </si>
  <si>
    <t>CO-OM Tools: Connection of SAP HANA to SE16N part 4</t>
  </si>
  <si>
    <t>CO-OM tools: Connecting SAP HANA to SE16N part 5</t>
  </si>
  <si>
    <t>Missing authorization check in CO-OM</t>
  </si>
  <si>
    <t>CO-OM-ABC</t>
  </si>
  <si>
    <t>Activity-Based Cost.</t>
  </si>
  <si>
    <t>Template allocation: Short dump in RKWTP_CPTJ</t>
  </si>
  <si>
    <t>Function StatisticalKeyFigure does not work for WBS-elements</t>
  </si>
  <si>
    <t>Template allocation: Generation error</t>
  </si>
  <si>
    <t>CO-OM-ABC-B</t>
  </si>
  <si>
    <t>Planning</t>
  </si>
  <si>
    <t>CPUK: Error message CN 055 is unjustified</t>
  </si>
  <si>
    <t>Template allocation: Error for WBS elements and networks</t>
  </si>
  <si>
    <t>CO-OM-ABC-F</t>
  </si>
  <si>
    <t>Template allocation: Error during reversal</t>
  </si>
  <si>
    <t>Template allocation: No navigation to message log</t>
  </si>
  <si>
    <t>CO-OM-ACT</t>
  </si>
  <si>
    <t>Activity Types</t>
  </si>
  <si>
    <t>CO-OM-ACT-F</t>
  </si>
  <si>
    <t>KSII: Incomplete transfer of cost components to COPA</t>
  </si>
  <si>
    <t>Planned price iteration: Prices in object currency zero</t>
  </si>
  <si>
    <t>Parall csts of goods mfd: No line itms for vers 000 for KSII</t>
  </si>
  <si>
    <t>Cost Center Acctg</t>
  </si>
  <si>
    <t>K_COSTCENTER_SELECT_SINGLE: Performance problem</t>
  </si>
  <si>
    <t>READ_COSTCENTER does not display correct results</t>
  </si>
  <si>
    <t>Displaying standard hierarchy: Missing authorization check</t>
  </si>
  <si>
    <t>Blank chars lost during text maintenance in field breakdown</t>
  </si>
  <si>
    <t>OKEON: Perf problem if enterprise org is active in CO area</t>
  </si>
  <si>
    <t>Runtime error while creating a cost center</t>
  </si>
  <si>
    <t>KS04: Does not find all dependent COKA records</t>
  </si>
  <si>
    <t>KS01: Business area is not treated as required field</t>
  </si>
  <si>
    <t>KS13: Dump in own selection variant with cust-defined fields</t>
  </si>
  <si>
    <t>OKEON: Error B1 422 "Logical system &amp; does not exist"</t>
  </si>
  <si>
    <t>Buffering problem in BAPI_COSTCENTER_DELETEMULTIPLE</t>
  </si>
  <si>
    <t>OKEON: Dump when returning from variant transaction</t>
  </si>
  <si>
    <t>OKENN: Adding results to favorites</t>
  </si>
  <si>
    <t>KS14: Deletion of CCtrs does not delete hierarchy assignment</t>
  </si>
  <si>
    <t>CO-OM-CCA-B</t>
  </si>
  <si>
    <t>KP26 or Excel upload for KP26: Dump RAISE_EXCEPTION</t>
  </si>
  <si>
    <t>KP06ff: Dump RAISE_EXCEPTION, routine IK500_FILL_DATA</t>
  </si>
  <si>
    <t>KBxxN display: Checking time authorization (tax auditor)</t>
  </si>
  <si>
    <t>Incorr error message when reposting using line item report</t>
  </si>
  <si>
    <t>KBxxN single entry: Change of cust-specific fields ignored</t>
  </si>
  <si>
    <t>Dummy-Hinweis zur Erstellung von Korrekturen</t>
  </si>
  <si>
    <t>Allocation: Incorrect determination of validity of receivers</t>
  </si>
  <si>
    <t>KSA8: Call of overhead rates does not work</t>
  </si>
  <si>
    <t>Allocation: Short dump TABLE_INVALID_INDEX for dual postings</t>
  </si>
  <si>
    <t>CO-OM-CCA-G</t>
  </si>
  <si>
    <t>Reporting, iViews</t>
  </si>
  <si>
    <t>KSB5: Navigating to KBxxN without document number</t>
  </si>
  <si>
    <t>Parallel costs of goods mfd: Line item report w/ zero lines</t>
  </si>
  <si>
    <t>CO-OM-CEL</t>
  </si>
  <si>
    <t>Cost Element Acctg</t>
  </si>
  <si>
    <t>Delete obsolete documents</t>
  </si>
  <si>
    <t>CO-OM-IS</t>
  </si>
  <si>
    <t>Infosystem, iViews</t>
  </si>
  <si>
    <t>KAEP: Line item reporting enhancements with SAP HANA II</t>
  </si>
  <si>
    <t>KAEP: Line item report enhancements with SAP HANA III</t>
  </si>
  <si>
    <t>Missing objects in content bundle FIN_REP_SIMPL_4</t>
  </si>
  <si>
    <t>KAEP: Interface</t>
  </si>
  <si>
    <t>KAEP: Enhancements to line item reporting with SAP HANA IV</t>
  </si>
  <si>
    <t>KAEP: Enhancements to line item reporting with SAP HANA V</t>
  </si>
  <si>
    <t>Creating an internal order: Copy of single settlement rule</t>
  </si>
  <si>
    <t>Internal order investment program: Hide year/position</t>
  </si>
  <si>
    <t>Creating internal order: Functional area from resp. cost ctr</t>
  </si>
  <si>
    <t>SAPLKOBS KOSRLIST maximum length of text symbols changed</t>
  </si>
  <si>
    <t>Interior order ALE dump: ALE MOVE_TO_LIT_NOTALLOWED_NODATA</t>
  </si>
  <si>
    <t>Selection internal orders with CI_AUFK fields incomplete</t>
  </si>
  <si>
    <t>Business entity: Display of orders terminates</t>
  </si>
  <si>
    <t>BAPI_INTERNALORDER_CREATE CI_AUFK: Packed fields</t>
  </si>
  <si>
    <t>Create order types: Object class not filled</t>
  </si>
  <si>
    <t>Internal order: Automatic coll.proc.: Selection with WBS</t>
  </si>
  <si>
    <t>Creating internal order: Poor performance w/ field selection</t>
  </si>
  <si>
    <t>CO-OM-OPA-B</t>
  </si>
  <si>
    <t>CO Renewal Project Planning - Corrections in SP 1 and SP 2</t>
  </si>
  <si>
    <t>Attribute selection not supported</t>
  </si>
  <si>
    <t>BPFCTRA0: Unjustified error 00 208 for =SUM</t>
  </si>
  <si>
    <t>Runtime error ITAB_STRUC_ACCESS_VIOLATION</t>
  </si>
  <si>
    <t>Errors in avail. ctrl after deletion flag set for order/ntwk</t>
  </si>
  <si>
    <t>Records remain in table BPTR despite deactiv. of avail. ctrl</t>
  </si>
  <si>
    <t>CO-OM-OPA-D</t>
  </si>
  <si>
    <t>RKANBU01 updates commitment data despite error message</t>
  </si>
  <si>
    <t>RKANBU01 does not edit any purchase orders</t>
  </si>
  <si>
    <t>CO-OM-OPA-F</t>
  </si>
  <si>
    <t>Settl.: Settl. type in receiver list not language-dependent</t>
  </si>
  <si>
    <t>Inv. measure: AW509 for line items as investment support</t>
  </si>
  <si>
    <t>Time stamp in settlement parameter when creating w/ template</t>
  </si>
  <si>
    <t>Overhead rates: Functional Area is not derived (3)</t>
  </si>
  <si>
    <t>Settlement rule list: Total using amount rules</t>
  </si>
  <si>
    <t>ERP accelerators: Overhead costing/accrual calculation</t>
  </si>
  <si>
    <t>CO-PA</t>
  </si>
  <si>
    <t>COPA: diverse Korrekturen</t>
  </si>
  <si>
    <t>KEAW: Unexplained differences CO/PA from WBS</t>
  </si>
  <si>
    <t>SETTLEMENT: Unnecessary zero line items</t>
  </si>
  <si>
    <t>Profitability analysis with Accelerated CO-PA</t>
  </si>
  <si>
    <t>Termination with KE499 due to missing profitability segments</t>
  </si>
  <si>
    <t>KE29N:TDD (account based) reversal document number.</t>
  </si>
  <si>
    <t>KE28: duplicate entry possible for record type</t>
  </si>
  <si>
    <t>Corrections to CO-PA accelerator</t>
  </si>
  <si>
    <t>HDB: Incorrect locks or too many locks in CO-PA accelerator</t>
  </si>
  <si>
    <t>Corrections for CO-PA XML generator</t>
  </si>
  <si>
    <t>KE29N: no updated detail info after reversal available</t>
  </si>
  <si>
    <t>KE27: performance problems caused by accessing TKEVAA table</t>
  </si>
  <si>
    <t>KE28: source data is used as reference base.</t>
  </si>
  <si>
    <t>HDB: Replication locks when reading CO-PA data</t>
  </si>
  <si>
    <t>Ergebnisrechnung mit dem ERP Accelerator</t>
  </si>
  <si>
    <t>HDB: Planning report does not read from SAP HANA</t>
  </si>
  <si>
    <t>KEHC: Top-down distribution to HDB cannot be deactivated</t>
  </si>
  <si>
    <t>CO-PA-ACT</t>
  </si>
  <si>
    <t>Flow of actual value</t>
  </si>
  <si>
    <t>Incorrect reference item with FI intercompany posting</t>
  </si>
  <si>
    <t>ALE:Incorrect characteristics in IDOC</t>
  </si>
  <si>
    <t>Revenue realization: Inconsistent data in CO-PA</t>
  </si>
  <si>
    <t>Error KE 499 when saving a service notification</t>
  </si>
  <si>
    <t>Costs missing in account-based CO-PA</t>
  </si>
  <si>
    <t>Error reading material cost estimate ignored</t>
  </si>
  <si>
    <t>Error MLCCS 030 in periodic valuation</t>
  </si>
  <si>
    <t>Incoming order: Customer(KNDNR) initial in line item</t>
  </si>
  <si>
    <t>Incoming sales order: Incorrect exchange rate for VA02</t>
  </si>
  <si>
    <t>Error MLCCS 030 in periodic valuation II</t>
  </si>
  <si>
    <t>KE27: Valuation of record type "H" not possible</t>
  </si>
  <si>
    <t>CO-PA-IS</t>
  </si>
  <si>
    <t>KE30: Data for selected fiscal years is missing</t>
  </si>
  <si>
    <t>KE91 function: Read upon each navigation step</t>
  </si>
  <si>
    <t>KE24: No archive data selected for document number</t>
  </si>
  <si>
    <t>KE24: runtime error  DBIF_RSQL_INVALID_CURSOR</t>
  </si>
  <si>
    <t>KE25: Reading archived plan data does not work</t>
  </si>
  <si>
    <t>CO-PA-SPP</t>
  </si>
  <si>
    <t>Sales/profit plan.</t>
  </si>
  <si>
    <t>KE1x: The same INDXKEY for different jobs</t>
  </si>
  <si>
    <t>No cost element for planned settlement</t>
  </si>
  <si>
    <t>Valuation call control exit - plan mass processing.</t>
  </si>
  <si>
    <t>KEPM - checkman error</t>
  </si>
  <si>
    <t>CO-PA-TO</t>
  </si>
  <si>
    <t>Tools</t>
  </si>
  <si>
    <t>Retractor: Characteristic is transferred incorrectly</t>
  </si>
  <si>
    <t>Retraction: Cost element cannot be assigned in KELC</t>
  </si>
  <si>
    <t>KE499 after archiving profitability segments - Addons</t>
  </si>
  <si>
    <t>Archiving object COPAC_xxxx: Write session canceled</t>
  </si>
  <si>
    <t>Missing selection texts at archiving object COPA2_xxxx</t>
  </si>
  <si>
    <t>KE499 after archiving profitability segments - Addon II</t>
  </si>
  <si>
    <t>MLCCS 012 when confirming an activity</t>
  </si>
  <si>
    <t>CKM3: Cost component split for preliminary valuation</t>
  </si>
  <si>
    <t>Partner business area missing in case of order settlement</t>
  </si>
  <si>
    <t>Incorr act cost comp split for stock transf w/ stand price 0</t>
  </si>
  <si>
    <t>Error MLCCS 013 or MLCCS 015 during order settlement</t>
  </si>
  <si>
    <t>COGM: Extended settings for depreciations</t>
  </si>
  <si>
    <t>CKMLPOH: Incorrect plus/minus sign of goods issue value</t>
  </si>
  <si>
    <t>Revaluation of intercompany delta profit</t>
  </si>
  <si>
    <t>Enhancement for Note 832322</t>
  </si>
  <si>
    <t>CKMM: Adjusting quantity fields when switching to 2/V</t>
  </si>
  <si>
    <t>ERP Accelerators: Interface material ledger</t>
  </si>
  <si>
    <t>ERP accelerators: Enhancing the material ledger</t>
  </si>
  <si>
    <t>SIT: Cost component split not rolled up in legal view</t>
  </si>
  <si>
    <t>BADI_ENDING_INV: Program termination with BCD_FIELD_OVERFLOW</t>
  </si>
  <si>
    <t>CKM3: Single-level differences in usage after LTPC</t>
  </si>
  <si>
    <t>ERP Accelerators: Enhancements in ML drilldown reporting</t>
  </si>
  <si>
    <t>BADI_ENDING_INV: Program termination w/ COMPUTE_BCD_OVERFLOW</t>
  </si>
  <si>
    <t>CO88: Dump ITAB_ACTIVE_KEY_VIOLATION</t>
  </si>
  <si>
    <t>MM01: Initial price control when creating with reference</t>
  </si>
  <si>
    <t>Transaction S_P99_41000062 does not display unit of measure</t>
  </si>
  <si>
    <t>SIT: Incrr price w/ transf. from valuated prjct/sls ord. stk</t>
  </si>
  <si>
    <t>Incorrect currencies for a controlling area</t>
  </si>
  <si>
    <t>CKMM: missing CCS when update task was stopped</t>
  </si>
  <si>
    <t>CKMADJUST: Error C+313 without specifying company code</t>
  </si>
  <si>
    <t>Incorrect release of new cost comp split for standard price</t>
  </si>
  <si>
    <t>CKMLCP: "Mark Material Prices" step is not wanted</t>
  </si>
  <si>
    <t>Incorrect process category for invoices</t>
  </si>
  <si>
    <t>Error CO-796 when creating production order</t>
  </si>
  <si>
    <t>CKM3: Improvements for display of special stock</t>
  </si>
  <si>
    <t>External inventory valuation for inflation valuation</t>
  </si>
  <si>
    <t>SAP HANA Accelerator, corrections</t>
  </si>
  <si>
    <t>CO-PC-ACT-AVR</t>
  </si>
  <si>
    <t>alt. valuation run</t>
  </si>
  <si>
    <t>COGM run: "Revaluate Material" option not visible</t>
  </si>
  <si>
    <t>CO-PC-ACT-DUV</t>
  </si>
  <si>
    <t>Distr. Usage Diff.</t>
  </si>
  <si>
    <t>Material documents have no reference to original phy inv doc</t>
  </si>
  <si>
    <t>Parallel processing is inefficient for too many plants</t>
  </si>
  <si>
    <t>Error MLCCS 202 when releasing future prices</t>
  </si>
  <si>
    <t>Planned price release is not executed</t>
  </si>
  <si>
    <t>Transaction code in ML doc for BAPI_MATVAL_DEBIT_CREDIT</t>
  </si>
  <si>
    <t>CO-PC-IS</t>
  </si>
  <si>
    <t>Info.Syst. CO-PC</t>
  </si>
  <si>
    <t>Wrong error message during authority check</t>
  </si>
  <si>
    <t>KKBC_ORD - TSV_TNEW_PAGE_ALLOC_FAILED during line item call</t>
  </si>
  <si>
    <t>RKKBSELL: Default currency is incorrect</t>
  </si>
  <si>
    <t>KKBC - Values from funds reservation missing in commitment</t>
  </si>
  <si>
    <t>KKBC_PKO - WIP quantities incorrect for DI product cost col.</t>
  </si>
  <si>
    <t>CO-PC Accelerator</t>
  </si>
  <si>
    <t>Terminatn LOAD_PROGRAM_NOT_FOUND in KKR_COLLECT_OBJECTS_PROR</t>
  </si>
  <si>
    <t>CO-PC Accelerator Customizing</t>
  </si>
  <si>
    <t>KKBC: text for partner object missing</t>
  </si>
  <si>
    <t>KKBC: Origin for Overhead missing if no costs are selected</t>
  </si>
  <si>
    <t>RKKBALV1: Fields from order item not filled</t>
  </si>
  <si>
    <t>RKKBALV1: Production version is not filled</t>
  </si>
  <si>
    <t>CO production order: "Completed" status with RKKBABS0</t>
  </si>
  <si>
    <t>Quantity-based overhead rate: Msg SG105 w/ date 00.00.0000</t>
  </si>
  <si>
    <t>Scrap variance/WIP at targets: Message KV161</t>
  </si>
  <si>
    <t>Overhead rates: Error message KA 700 (entry in table COEP)</t>
  </si>
  <si>
    <t>Overheads from calculation: Error log does not exist</t>
  </si>
  <si>
    <t>RKKBABS0: Connection to Schedule Manager</t>
  </si>
  <si>
    <t>IAOM_EXTOB: Terminates with SAPSQL_WHERE_FOR_ALL_MISMATCH</t>
  </si>
  <si>
    <t>Production order creation fails due to settlmt rule (KO 311)</t>
  </si>
  <si>
    <t>Replication of project type from PPM to ECC fails: IAOM 003</t>
  </si>
  <si>
    <t>Cust. for results anal.: Saving actual/plan percentge column</t>
  </si>
  <si>
    <t>KKF6N: Error message KO 344</t>
  </si>
  <si>
    <t>Overhead rate: Dump GETWA_NOT_ASSIGNED / msg COIOB NOT FOUND</t>
  </si>
  <si>
    <t>POWER List CO-PC-OBJ: keine Fix/Var Trennung im Ist</t>
  </si>
  <si>
    <t>CO-PC-PCP: Checkman Fehler</t>
  </si>
  <si>
    <t>Itemization: Multilevel breakdown of recursive structures</t>
  </si>
  <si>
    <t>RMSERI40: Termination SAPSQL_ARRAY_INSERT_DUPREC</t>
  </si>
  <si>
    <t>Planned costs in customer order not updated</t>
  </si>
  <si>
    <t>Plan credit missing in production order</t>
  </si>
  <si>
    <t>VA02/VA03: Message CK 375 when you call a cost estimate</t>
  </si>
  <si>
    <t>CK40N: runtime error on unauthorized costing variant</t>
  </si>
  <si>
    <t>VA01, VA02: Quantity struct for material var exploded incorr</t>
  </si>
  <si>
    <t>CK75 - ABAP dump</t>
  </si>
  <si>
    <t>Incorrect target costs for joint products with fixed price</t>
  </si>
  <si>
    <t>Cost determination in COHV returns errors but not in CO02</t>
  </si>
  <si>
    <t>Incorrect costs for order split</t>
  </si>
  <si>
    <t>VA02: Error message CK 182 during costing</t>
  </si>
  <si>
    <t>Missing conversion in valuation with purchasing info record</t>
  </si>
  <si>
    <t>Valuation by Inforecord Price via Condition Table fails</t>
  </si>
  <si>
    <t>SAPRCK23: Runtime error TABLE_INVALID_INDEX</t>
  </si>
  <si>
    <t>Incorr costing results w/ "Purchasing info record" strategy</t>
  </si>
  <si>
    <t>Error message CK 182 during costing</t>
  </si>
  <si>
    <t>CK 018 or runtime error for purchasing info record strategy</t>
  </si>
  <si>
    <t>CO-PC-PCP-PRU</t>
  </si>
  <si>
    <t>Price Updates</t>
  </si>
  <si>
    <t>CK24: Error CK 495 or C+ 072 during marking</t>
  </si>
  <si>
    <t>ECP, aggregated items: Revenues cannot be mapped (KK 694)</t>
  </si>
  <si>
    <t>ECP:Dump d/t runtime error RAISE_EXCEPTION (INTERNAL_ERROR)</t>
  </si>
  <si>
    <t>CNECP_MAINTAIN: Additional fields are initialized</t>
  </si>
  <si>
    <t>No change to organizational units in ad hoc costing</t>
  </si>
  <si>
    <t>Unauthorized change of displayed contents in CO-PC-PCP-REF</t>
  </si>
  <si>
    <t>CO-PC-PCP-WQS</t>
  </si>
  <si>
    <t>Prod.Cstg w/Qty Str.</t>
  </si>
  <si>
    <t>CK11N: Incorr price qty unit for valuatn w/ purch info rec</t>
  </si>
  <si>
    <t>CK11N, CK13N: Incorrect text in costing structure</t>
  </si>
  <si>
    <t>CK11N, CK40N, Mat Ledger active: split valuated material</t>
  </si>
  <si>
    <t>CK11N: Error message CK 641 for nonvaluated material</t>
  </si>
  <si>
    <t>CK40N: Date control is incorrect</t>
  </si>
  <si>
    <t>Enhancing SAPLXCKA: Missing data in the table T_KEPH</t>
  </si>
  <si>
    <t>Costing ignores special procurement of the costing view</t>
  </si>
  <si>
    <t>CRM-ANA</t>
  </si>
  <si>
    <t>CRM Analytics</t>
  </si>
  <si>
    <t>CRM-ANA-SRV</t>
  </si>
  <si>
    <t>Service Analytics</t>
  </si>
  <si>
    <t>CRM-ANA-SRV-BW</t>
  </si>
  <si>
    <t>BW Data Exchange</t>
  </si>
  <si>
    <t>0CRM_SRVCNF_COSTS: Revenue has wrong sign</t>
  </si>
  <si>
    <t>CRM-BE</t>
  </si>
  <si>
    <t>CRM-BE-FI</t>
  </si>
  <si>
    <t>Transf.to Accounting</t>
  </si>
  <si>
    <t>BKPF-REINDAT has value '  .  .    ' for postings from CRM</t>
  </si>
  <si>
    <t>CRM-BF</t>
  </si>
  <si>
    <t>CRM-BF-CFG</t>
  </si>
  <si>
    <t>Product Configuratio</t>
  </si>
  <si>
    <t>CU34/35 dumps for variant table with 64 columns</t>
  </si>
  <si>
    <t>CRM-BTX</t>
  </si>
  <si>
    <t>Business Transactions</t>
  </si>
  <si>
    <t>CRM-BTX-BF</t>
  </si>
  <si>
    <t>Basic Functions for Business Transactions</t>
  </si>
  <si>
    <t>CRM-BTX-BF-ATP</t>
  </si>
  <si>
    <t>Confirmed quantity not updated for global ATP</t>
  </si>
  <si>
    <t>CRM-BTX-BF-CFG</t>
  </si>
  <si>
    <t>Errors from CBASE are not transferred to CRM</t>
  </si>
  <si>
    <t>CRM-BTX-BF-EBI</t>
  </si>
  <si>
    <t>Integration ERP</t>
  </si>
  <si>
    <t>Equip. of SD item not updated when changing confirmation</t>
  </si>
  <si>
    <t>External billing scenario: FKDAT cannot be changed</t>
  </si>
  <si>
    <t>CRM-BTX-BF-IF</t>
  </si>
  <si>
    <t>R/3 Interface for Bu</t>
  </si>
  <si>
    <t>During initial load gross value is incorrect</t>
  </si>
  <si>
    <t>CRM Upload: Prices disappear</t>
  </si>
  <si>
    <t>Conditions such as VPRS &amp; MWST missing in R/3 doc. II</t>
  </si>
  <si>
    <t>Contact person has incorrect address after request load</t>
  </si>
  <si>
    <t>CRM-BTX-BF-LOG</t>
  </si>
  <si>
    <t>Transferring PRCOMPONENTS to BAPI_PR_CREATE</t>
  </si>
  <si>
    <t>Bad performance of function module CRM_SRV_DELIVERY_TRIGGER</t>
  </si>
  <si>
    <t>Short dump in ERP and SYSFAIL in CRM outbound queue</t>
  </si>
  <si>
    <t>CRM-BTX-ERP</t>
  </si>
  <si>
    <t>CRM UI for ERP Sales</t>
  </si>
  <si>
    <t>Display of CRM Activities in the ERP Document Flow</t>
  </si>
  <si>
    <t>Short dump CALL_FUNCTION_REMOTE_ERROR in ERP</t>
  </si>
  <si>
    <t>Description text in ERP document flow for CRM activities II</t>
  </si>
  <si>
    <t>CRM-BTX-SLO</t>
  </si>
  <si>
    <t>Sales Transaction</t>
  </si>
  <si>
    <t>Syst. config. for SPM: Incorrect alt. product no. in deliv.</t>
  </si>
  <si>
    <t>CRM-IC</t>
  </si>
  <si>
    <t>Interaction Center WebClient</t>
  </si>
  <si>
    <t>CRM-IC-ACO</t>
  </si>
  <si>
    <t>Accounting</t>
  </si>
  <si>
    <t>FSSC: BOR BUS3008-Missing Data Type for Importing Parameters</t>
  </si>
  <si>
    <t>FSSC: Error shows when search in Business Context</t>
  </si>
  <si>
    <t>Enhance BOR method BKPF-&gt;DISPLAYDOC for transaction launch</t>
  </si>
  <si>
    <t>Enhance function module SSC_BP_KNB1_DE_EIOUT</t>
  </si>
  <si>
    <t>FSSC: Customer Mapping for Substitute System(ERP RFC Module)</t>
  </si>
  <si>
    <t>CRM-IC-PRV</t>
  </si>
  <si>
    <t>Provider Transaction</t>
  </si>
  <si>
    <t>Proxy CO_ISX_CC_CTR_PROV_SERVICES not current</t>
  </si>
  <si>
    <t>CRM-ISA</t>
  </si>
  <si>
    <t>Internet Sales</t>
  </si>
  <si>
    <t>Nonunique Email Scenario w/ shopgroups:ERP new DDIC objects</t>
  </si>
  <si>
    <t>New Fields added to COM Interface Address structures</t>
  </si>
  <si>
    <t>VEND_MAIN bdoc fails with regional address check in ERP</t>
  </si>
  <si>
    <t>Replication of BP fails for the pricing data</t>
  </si>
  <si>
    <t>Empty bank record errors out BP to Customer Replication</t>
  </si>
  <si>
    <t>BP Taxnumber deleted in R/3 using Direct send</t>
  </si>
  <si>
    <t>Formal revision of the report COM_BUPA_SEND_BP</t>
  </si>
  <si>
    <t>Request load of BP from ERP to CRM throws CCard error R1561</t>
  </si>
  <si>
    <t>No replication of material sales text to CRM from ECC</t>
  </si>
  <si>
    <t>CRM-MKT</t>
  </si>
  <si>
    <t>Marketing</t>
  </si>
  <si>
    <t>CRM-MKT-SEG</t>
  </si>
  <si>
    <t>Segmentation</t>
  </si>
  <si>
    <t>CRM-MKT-SEG-TGR</t>
  </si>
  <si>
    <t>Target Groups</t>
  </si>
  <si>
    <t>Binary search for map_extract_item_data</t>
  </si>
  <si>
    <t>CS</t>
  </si>
  <si>
    <t>Customer Service (formerly: PM-SM)</t>
  </si>
  <si>
    <t>CS-BD</t>
  </si>
  <si>
    <t>CS-BD-BP</t>
  </si>
  <si>
    <t>Performance issue when entering partner data</t>
  </si>
  <si>
    <t>Email address not displayed for the partner</t>
  </si>
  <si>
    <t>CS-CI</t>
  </si>
  <si>
    <t>Customer Interaction</t>
  </si>
  <si>
    <t>CS-CI-CIC</t>
  </si>
  <si>
    <t>Action Box transaction is executed incorrectly by default</t>
  </si>
  <si>
    <t>Multiple select and de-select buttons are not available</t>
  </si>
  <si>
    <t>Incorrect check for Initial container values in FO process</t>
  </si>
  <si>
    <t>CS-CM</t>
  </si>
  <si>
    <t>Call Management</t>
  </si>
  <si>
    <t>CS-CM-SN</t>
  </si>
  <si>
    <t>Service Notification</t>
  </si>
  <si>
    <t>Sales data not copied to the CS order</t>
  </si>
  <si>
    <t>Service notification is saved w/o account assignment object</t>
  </si>
  <si>
    <t>CS-IB</t>
  </si>
  <si>
    <t>Installed Base Mgmt</t>
  </si>
  <si>
    <t>Inconsistent master data created in IB51/IB52</t>
  </si>
  <si>
    <t>CS-SE</t>
  </si>
  <si>
    <t>Service Execution</t>
  </si>
  <si>
    <t>Dump when creating CS order from CS Notification</t>
  </si>
  <si>
    <t>IW34: Error when creating a CS order</t>
  </si>
  <si>
    <t>IW32:Parnter information not saved on creation of salesorder</t>
  </si>
  <si>
    <t>Generate Authorizations for Consolidation Group impossible</t>
  </si>
  <si>
    <t>Flag 'Total Divestiture due to Merger' is not saved</t>
  </si>
  <si>
    <t>Cons Chart of Account: hierarchy change is very slow</t>
  </si>
  <si>
    <t>EC-CS-CSF-C</t>
  </si>
  <si>
    <t>Validation</t>
  </si>
  <si>
    <t>Warnings G00 621, 623 and 625 in the validation log</t>
  </si>
  <si>
    <t>Dump BCD_FIELD_OVERFLOW in validation</t>
  </si>
  <si>
    <t>EC-CS-CSF-F</t>
  </si>
  <si>
    <t>Posting</t>
  </si>
  <si>
    <t>Back (F3) function in manual posting</t>
  </si>
  <si>
    <t>Consolidation of investments: Error message GK 660</t>
  </si>
  <si>
    <t>C/I method details: FS items are not accessible</t>
  </si>
  <si>
    <t>Other comprehensive income in step acquisition</t>
  </si>
  <si>
    <t>Posting hidden reserves - error message G00 807 (2)</t>
  </si>
  <si>
    <t>CX6C3: unjustified error message GK 660 (2)</t>
  </si>
  <si>
    <t>Statistical posting missing for equity method</t>
  </si>
  <si>
    <t>EC-CS-ICS</t>
  </si>
  <si>
    <t>Additional Functions</t>
  </si>
  <si>
    <t>CXNR: Balances of general ledger are determined incorrectly</t>
  </si>
  <si>
    <t>EC-CS-INT</t>
  </si>
  <si>
    <t>Data Transfer/int.</t>
  </si>
  <si>
    <t>Error G00657 during flexible upload of data</t>
  </si>
  <si>
    <t>Activity 16 cannot be maintained for auth. object E_CS_DIMEN</t>
  </si>
  <si>
    <t>EC-CS-IS</t>
  </si>
  <si>
    <t>Wrong fiscal year is displayed in the document header</t>
  </si>
  <si>
    <t>EC-EIS-DB</t>
  </si>
  <si>
    <t>Database</t>
  </si>
  <si>
    <t>EC-EIS: Characteristic of type DATS</t>
  </si>
  <si>
    <t>EC-EIS: Generation error with RKC_READ_CFNNN</t>
  </si>
  <si>
    <t>EC-EIS: Hierarchy with characteristic without check table</t>
  </si>
  <si>
    <t>Currency transl for reference characteristic with hierarchy</t>
  </si>
  <si>
    <t>Currency translation is not saved</t>
  </si>
  <si>
    <t>GL drilldown report error when using BACK button</t>
  </si>
  <si>
    <t>KH263 error during transaction FDI5, FKI5 or KKML5</t>
  </si>
  <si>
    <t>Buffering for reading table T242Q</t>
  </si>
  <si>
    <t>Technical enhancements for drilldown reporting</t>
  </si>
  <si>
    <t>Wrong values in object list output - calculated II</t>
  </si>
  <si>
    <t>FAGLPOS_APRE does not have a component called "YE"</t>
  </si>
  <si>
    <t>Report Painter - wrong "Changed by" user after import</t>
  </si>
  <si>
    <t>EC-PCA</t>
  </si>
  <si>
    <t>Profit Center Accounting</t>
  </si>
  <si>
    <t>EC-PCA-ACT</t>
  </si>
  <si>
    <t>Actual Data</t>
  </si>
  <si>
    <t>Deleting transaction data at company code level</t>
  </si>
  <si>
    <t>EHP5: Incorrect origin object type for order item</t>
  </si>
  <si>
    <t>RPCA_DEL_DOC: Enhancement for multiple selection</t>
  </si>
  <si>
    <t>RPCA_DEL_REFDOC: Enhancement for multiple selection</t>
  </si>
  <si>
    <t>Missing authorization check in EC-PCA-ACT</t>
  </si>
  <si>
    <t>EC-PCA-BS</t>
  </si>
  <si>
    <t>Basic Settings</t>
  </si>
  <si>
    <t>COGM: Err KT 354 when assigning currency + valuation profile</t>
  </si>
  <si>
    <t>EC-PCA-IS</t>
  </si>
  <si>
    <t>KE5Z: Branching to documents from another system</t>
  </si>
  <si>
    <t>RCOPCA02: Text of display variant not displayed correctly</t>
  </si>
  <si>
    <t>EC-PCA-MD</t>
  </si>
  <si>
    <t>BAPI_PROFITCENTER_CREATE changes 'created on'/'created by'</t>
  </si>
  <si>
    <t>EC-PCA-TP</t>
  </si>
  <si>
    <t>Transfer Prices</t>
  </si>
  <si>
    <t>8KEQ, 8KEP: Error KT 354 or KM 443 when creating/activating</t>
  </si>
  <si>
    <t>EHS</t>
  </si>
  <si>
    <t>Environment, Health and Safety</t>
  </si>
  <si>
    <t>EHS-HEA</t>
  </si>
  <si>
    <t>Occupational Health</t>
  </si>
  <si>
    <t>EHS-HEA-BD</t>
  </si>
  <si>
    <t>Incorrect output when you print questionnaires</t>
  </si>
  <si>
    <t>EP-PCT-MAN</t>
  </si>
  <si>
    <t>Manufacturing Packages</t>
  </si>
  <si>
    <t>EP-PCT-MAN-M</t>
  </si>
  <si>
    <t>BP for Manufacturing</t>
  </si>
  <si>
    <t>Incorrect finish dates in production/process order worklist</t>
  </si>
  <si>
    <t>EP-PCT-MAN-MT</t>
  </si>
  <si>
    <t>BP for Maint Technic</t>
  </si>
  <si>
    <t>Portal:Incorrect authorization check for planner group field</t>
  </si>
  <si>
    <t>QISR_UI: QISRSCEANRIO test execution doesn't work</t>
  </si>
  <si>
    <t>QISR_UI: Dump TSV_TNEW_PAGE_ALLOC_FAILED</t>
  </si>
  <si>
    <t>ISR: Blank characters in field values are deleted</t>
  </si>
  <si>
    <t>CPPR: Create RFx button disabled for released PR</t>
  </si>
  <si>
    <t>Dump while creating Service purchase Requisition</t>
  </si>
  <si>
    <t>Vendor POWL: Authorization check for incorrect user</t>
  </si>
  <si>
    <t>CPPR: CONVT_NO_NUMBER when triggering RFx creation</t>
  </si>
  <si>
    <t>Performance issue in Buyer Role when selecting PO data</t>
  </si>
  <si>
    <t>Material does not appear in POWL Query - 'My Materials'</t>
  </si>
  <si>
    <t>CPPR: Material number is sent out formatted to SRM</t>
  </si>
  <si>
    <t>SPPR: Supplier name not being displayed when processing PRs</t>
  </si>
  <si>
    <t>RFx submission date in wrong formatting and not customizable</t>
  </si>
  <si>
    <t>RFx SOA not send for released PReq with display only mode</t>
  </si>
  <si>
    <t>CPPR: MMPUR_BASE 202 not raised</t>
  </si>
  <si>
    <t>CONVT_NO_NUMBER while using Vendor Confirmation worklist</t>
  </si>
  <si>
    <t>Incorrect Mouse over text for fields under item category D</t>
  </si>
  <si>
    <t>Account Assignment category and Requisitioner are blank</t>
  </si>
  <si>
    <t>Automatic Acc Assign not cleared on Save</t>
  </si>
  <si>
    <t>Team4 - NWIQ:Account assignment error and dump</t>
  </si>
  <si>
    <t>No 'Text' is displayed for Message in SPPR</t>
  </si>
  <si>
    <t>Dump while entering service line in service PR</t>
  </si>
  <si>
    <t>Team4 -EHP6SP02:Creation of more than 5 level hier possibl</t>
  </si>
  <si>
    <t>Team4-EHP6SP02 PRitem can't be deleted after trnsfr to SRM</t>
  </si>
  <si>
    <t>EAM Task list leads to dump on Save</t>
  </si>
  <si>
    <t>EP-PCT-SD</t>
  </si>
  <si>
    <t>Sales &amp; Distribution Packages</t>
  </si>
  <si>
    <t>EP-PCT-SD-S</t>
  </si>
  <si>
    <t>BP for Sales</t>
  </si>
  <si>
    <t>Customer fact sheet: No sales areas for consumer</t>
  </si>
  <si>
    <t>Customer fact sheet: Blank PDF for consumer</t>
  </si>
  <si>
    <t>Worklist: Information message displayed as error</t>
  </si>
  <si>
    <t>RAABST02: Error messages MQ555 and MQ557 with XZORG</t>
  </si>
  <si>
    <t>ERP Accelerators:  FI-AA interface - SAPLABRA</t>
  </si>
  <si>
    <t>Fiscal year variants - derived depreciation area</t>
  </si>
  <si>
    <t>ERP Accelerators: FI-AA enhancement</t>
  </si>
  <si>
    <t>Mass retirement with revenue: Error AA 816</t>
  </si>
  <si>
    <t>Creating several depreciation areas: T093B entries missing</t>
  </si>
  <si>
    <t>GETWA_NOT_ASSIGNED when changing fixed assets using BAPI</t>
  </si>
  <si>
    <t>AS02 - CJ 021 "WBS element &amp; does not exist"</t>
  </si>
  <si>
    <t>BUS1022.change: Missing date fields in IDoc segments</t>
  </si>
  <si>
    <t>Switching to depreciation key with fewer depreciation types</t>
  </si>
  <si>
    <t>Unjustified error when changing time-dependent depr terms</t>
  </si>
  <si>
    <t>AS01/AS11 - Equipment integration: Display of name</t>
  </si>
  <si>
    <t>AS02/AS03: Displaying insurable value (error AA061)</t>
  </si>
  <si>
    <t>BAPI: Changes lost when investment support measure deleted</t>
  </si>
  <si>
    <t>MESSAGE_TYPE_X when creating/releasing investment measure</t>
  </si>
  <si>
    <t>FI-AA-AA-B</t>
  </si>
  <si>
    <t>Transaction Figures</t>
  </si>
  <si>
    <t>RASIMU02: Incorrect period values for APC and depreciations</t>
  </si>
  <si>
    <t>FI-AA-AA-C</t>
  </si>
  <si>
    <t>Transactions</t>
  </si>
  <si>
    <t>Retirement with group asset: AA378 / AA379</t>
  </si>
  <si>
    <t>FPG1: Dump SAPSQL_ARRAY_INSERT_DUPREC in table ANLC II</t>
  </si>
  <si>
    <t>Multiple settlement of investment support/revaluation</t>
  </si>
  <si>
    <t>AAPO 191 for asset postings after upgrading from 470</t>
  </si>
  <si>
    <t>ABUMN: Partner information not filled correctly</t>
  </si>
  <si>
    <t>AC 565 in payment run</t>
  </si>
  <si>
    <t>AA 629 or AA 310 w/ cash disc. subs. activation on assets</t>
  </si>
  <si>
    <t>Error message AA 478 as warning message</t>
  </si>
  <si>
    <t>Various errors after chnge to asset no. w/ intracmpny trnsf.</t>
  </si>
  <si>
    <t>AAPO161 during inspection lot processing QA11</t>
  </si>
  <si>
    <t>Entered segment deleted when posting to asset</t>
  </si>
  <si>
    <t>Error AA 571 during clearing of down payments</t>
  </si>
  <si>
    <t>Group assets with special treatment of retirement</t>
  </si>
  <si>
    <t>Down payment clearing from MIRO in foreign currency</t>
  </si>
  <si>
    <t>AA 358 for transfer posting with restricted transaction type</t>
  </si>
  <si>
    <t>Migration: Reversing periodic postings error M8 577</t>
  </si>
  <si>
    <t>Cost center not derived from statistical CO object</t>
  </si>
  <si>
    <t>Transfer to new fixed assets: Base value not transferred</t>
  </si>
  <si>
    <t>Functional area derivation from WBS (investment project)</t>
  </si>
  <si>
    <t>FKKORD1: Error AA614 for request with fixed asset</t>
  </si>
  <si>
    <t>Transport contains entries for derived areas</t>
  </si>
  <si>
    <t>ACSET: Entries for depreciation run</t>
  </si>
  <si>
    <t>Maintaining transaction types: Display of affiliated company</t>
  </si>
  <si>
    <t>Proportional values missing in derived area</t>
  </si>
  <si>
    <t>AU070 for non-posting areas for year-end closing</t>
  </si>
  <si>
    <t>Incorrect value "Ordinary Depreciation Revaluation" in query</t>
  </si>
  <si>
    <t>Reading enhanced fixed asset master data from archive</t>
  </si>
  <si>
    <t>AW01N: Incorrect display of remaining life</t>
  </si>
  <si>
    <t>Reporting: Mid-year report date in closed fiscal year (II)</t>
  </si>
  <si>
    <t>RASIMU02: Transactions/depreciations in wrong period</t>
  </si>
  <si>
    <t>AW01N - Simulating time-dependent depreciation terms</t>
  </si>
  <si>
    <t>AW01N: Flexibility of the display of related objects</t>
  </si>
  <si>
    <t>FI-AF</t>
  </si>
  <si>
    <t>FI-AF-DPC</t>
  </si>
  <si>
    <t>Down Payment Chains</t>
  </si>
  <si>
    <t>DP chains/deferred tax: Error during debit-side part. payts</t>
  </si>
  <si>
    <t>Interface Note: WT line exclusions (Blank)</t>
  </si>
  <si>
    <t>ILM: Message handling FI write programs</t>
  </si>
  <si>
    <t>Interface Note: Withholding tax line exclusions</t>
  </si>
  <si>
    <t>Interface Note: Withholding tax line exclusions 2</t>
  </si>
  <si>
    <t>Corrections to WT Exclusions</t>
  </si>
  <si>
    <t>WT Exclusions: Interface note 3</t>
  </si>
  <si>
    <t>Sustainability</t>
  </si>
  <si>
    <t>Implementation: Exclusions for Extended Withholding Taxes</t>
  </si>
  <si>
    <t>FIN UI decoupling: Technical corrections 2</t>
  </si>
  <si>
    <t>FIN UI decoupling: Technical corrections 4</t>
  </si>
  <si>
    <t>FB05: AGZEI empty in cleared items</t>
  </si>
  <si>
    <t>FBA2/FBA7: Payment orders are not taken into account</t>
  </si>
  <si>
    <t>FB08: XNEGP set even though not allowed in company code</t>
  </si>
  <si>
    <t>FB01: Changing reconciliation account without changing FIPOS</t>
  </si>
  <si>
    <t>One-time screen: Bank country is not proposed</t>
  </si>
  <si>
    <t>FI: Ready for input status of SCB indicator for South Africa</t>
  </si>
  <si>
    <t>FB05: XREF3 too small on screen 5102</t>
  </si>
  <si>
    <t>Incorrect amounts in down payment clearing</t>
  </si>
  <si>
    <t>Down payment: Baseline date for payment is hidden</t>
  </si>
  <si>
    <t>FB01/alternative payee: No partner bank type entered</t>
  </si>
  <si>
    <t>MIRO: Baseline date for payment in case of amount split</t>
  </si>
  <si>
    <t>FPDP_CREATE: Information message FPDP_DOWN_PAYMENTS 019</t>
  </si>
  <si>
    <t>FBA2/FBA7: Amount calculated incorrectly (III)</t>
  </si>
  <si>
    <t>FBA2/FBA7: Incorrect clearing date for down payment request</t>
  </si>
  <si>
    <t>ENJOY/FB01: Default baseline date for payment</t>
  </si>
  <si>
    <t>FPDP_CREATE: NETWR is not displayed</t>
  </si>
  <si>
    <t>Decoupling of function module FI_F4_ZTERM</t>
  </si>
  <si>
    <t>FI: HKTID not transferred from invoice reference</t>
  </si>
  <si>
    <t>FBD1: Assignment for special G/L accounts ready for input</t>
  </si>
  <si>
    <t>FB05: Credit control area in vendor partial payment</t>
  </si>
  <si>
    <t>F110: No individual payment with the same document number</t>
  </si>
  <si>
    <t>F110: Parallel processing of payment runs</t>
  </si>
  <si>
    <t>F110 Code improvements</t>
  </si>
  <si>
    <t>PRL error in bank selection according to partner bank type</t>
  </si>
  <si>
    <t>F110: Cross-company code clearing</t>
  </si>
  <si>
    <t>F110 Payment despite impermissible country of destination</t>
  </si>
  <si>
    <t>F110: Budget overrun in availability control</t>
  </si>
  <si>
    <t>F110 Extended individual payment (9)</t>
  </si>
  <si>
    <t>F110: Error in bank selection in accordance with BTE 1810</t>
  </si>
  <si>
    <t>SEPA: Check of paying company code is missing</t>
  </si>
  <si>
    <t>F110: Message FZ 310 with account key VSK</t>
  </si>
  <si>
    <t>F110 ... Report variants cannot be specified</t>
  </si>
  <si>
    <t>F110 Company code parameter: Dump DATA_LENGTH_0</t>
  </si>
  <si>
    <t>F110 F4 input help for custom selection</t>
  </si>
  <si>
    <t>F110 Dump with COMPUTE_BCD_OVERFLOW</t>
  </si>
  <si>
    <t>F110 ... Scheduling when the posting period is closed</t>
  </si>
  <si>
    <t>EFTS Ireland - One day processing</t>
  </si>
  <si>
    <t>BE_BEPDTA_FOR: Belgium DMEE Format for Foreign Payments</t>
  </si>
  <si>
    <t>DDA Phase 2 development</t>
  </si>
  <si>
    <t>RFESR000: File upload using network path</t>
  </si>
  <si>
    <t>RFFOES_T: Payment incorrectly classified as 'Special'.</t>
  </si>
  <si>
    <t>RFESR000: Duplicate XBLNR for down payment in FB05 posting.</t>
  </si>
  <si>
    <t>RFFOF__T:Wrong bank account number in the file for 'TW'&amp;'CH'</t>
  </si>
  <si>
    <t>Italy: Documentation for Legal Change in 2010</t>
  </si>
  <si>
    <t>RFFONO_T:Grouping of SCB indicator in segment BETFOR01.</t>
  </si>
  <si>
    <t>DMEE:SE_UTLI_SISU:Reference no. is not passed in DME file</t>
  </si>
  <si>
    <t>Italy: Splitting during Proposal Editing based on CUP/CIG</t>
  </si>
  <si>
    <t>RFFOJP_T: Background run error F5263 from F111</t>
  </si>
  <si>
    <t>RFIDATEB00: Posting type TRF not picked up properly</t>
  </si>
  <si>
    <t>Italy CUP/CIG: Vendor master screen, CUP_DOC_IT and RFFOIT_B</t>
  </si>
  <si>
    <t>RFEBBECODA00: Multiple IBAN entries for same vendor/customer</t>
  </si>
  <si>
    <t>RFFONO_T: KIDNO Missing in output DME File using F111</t>
  </si>
  <si>
    <t>RFFOES_T:The control key was append to the account number</t>
  </si>
  <si>
    <t>Italy CUP/CIG: Filter creation for BADI implementation</t>
  </si>
  <si>
    <t>RFFOES_T:Payments are incorrectly classified by the program</t>
  </si>
  <si>
    <t>DMEE: V3_IZV: Vendor name is not correct in the DME file</t>
  </si>
  <si>
    <t>RFFOGB_T: RTI changes for Payroll</t>
  </si>
  <si>
    <t>PS2:Only last 2 digits filled for 'Reference Operation' node</t>
  </si>
  <si>
    <t>RFEBNORDIC: Credit note in the file is not identified.</t>
  </si>
  <si>
    <t>RFFOBE_I: Payment text not correct for garnishment payment</t>
  </si>
  <si>
    <t>RFFOJP_T: Bank to Bank Transfer through Payment Request</t>
  </si>
  <si>
    <t>RFIDATEB00:Busniess Transaction Code '166'was not recognized</t>
  </si>
  <si>
    <t>RFFOJP_T:Error scheduling multiple print jobs through F110</t>
  </si>
  <si>
    <t>Italy CUP/CIG:issue with multiple POs with different CUP/CIG</t>
  </si>
  <si>
    <t>RFFONO_T: Invoice curreny not filled in DME file</t>
  </si>
  <si>
    <t>Italy: BOE associated with CUP/CIG not posted due to error</t>
  </si>
  <si>
    <t>RFOBBE_I: Reference document number is truncated in DME file</t>
  </si>
  <si>
    <t>RFFOIT_B: CUP/CIG details in record 50/60</t>
  </si>
  <si>
    <t>RFFOHK_A:Error BFIBL02 280 generated during execution</t>
  </si>
  <si>
    <t>RFFOJP_T - Negative Amount while posting the document</t>
  </si>
  <si>
    <t>RFFOIT_B:Incomplete invoice text-SGTXT value in record 50/60</t>
  </si>
  <si>
    <t>FBWE:CUP/CIG:Too Many pop ups for the Bills of Exchange Docs</t>
  </si>
  <si>
    <t>RFIDATEB00: Extended Business Transaction Codes by STUZZA</t>
  </si>
  <si>
    <t>RFEBCH00: Problem with PC Download - F4 Help Button</t>
  </si>
  <si>
    <t>RFFOF__V:RFFOF__T:Error BFIBL02280 issued wrongly</t>
  </si>
  <si>
    <t>IT: CUP/CIG FB02 and bank selection in payment program</t>
  </si>
  <si>
    <t>RFFOJP_L:Error BFIBL02 280 generated during execution</t>
  </si>
  <si>
    <t>RFFONO_T: ZNME2 of the Vendor missing in output DME file</t>
  </si>
  <si>
    <t>RFEBNO00: Performance issue with batch input session</t>
  </si>
  <si>
    <t>RFFOBE_I:DME Bank Identification was not passed in DME file</t>
  </si>
  <si>
    <t>Italy:Overwriting entries in add-on fields in vendor master</t>
  </si>
  <si>
    <t>RFEBDK00: Wrong value in the field BSEG-SGTXT</t>
  </si>
  <si>
    <t>FI-AP-AP-C</t>
  </si>
  <si>
    <t>Interest</t>
  </si>
  <si>
    <t>FINTAP: Interest calculated for reversed MM invoices</t>
  </si>
  <si>
    <t>FINT posts without withholding tax</t>
  </si>
  <si>
    <t>RFKOPR00: Business area in OI list is incorrect</t>
  </si>
  <si>
    <t>IBAN changes are incorrectly displayed</t>
  </si>
  <si>
    <t>FI-AP-AP-E</t>
  </si>
  <si>
    <t>Archiving</t>
  </si>
  <si>
    <t>FG263: Archiving object FI_ACCPAYB is still running</t>
  </si>
  <si>
    <t>FI-AP-AP-G</t>
  </si>
  <si>
    <t>RFKORDxx - code improvements</t>
  </si>
  <si>
    <t>Bal confirmation by e-mail/fax: E-mail to too many receivers</t>
  </si>
  <si>
    <t>RFKORD10: Item grouping according to special G/L ind. incorr</t>
  </si>
  <si>
    <t>RFBNUM10: Number of same digits in reference number</t>
  </si>
  <si>
    <t>SAPF130K_PDF: Check list without data for vendor</t>
  </si>
  <si>
    <t>SAPF130x: No OTF data for CLOSE_FORM</t>
  </si>
  <si>
    <t>FI-AP-AP-H</t>
  </si>
  <si>
    <t>Error during selection of returned bills of exchange payable</t>
  </si>
  <si>
    <t>FI-AP-AP-I</t>
  </si>
  <si>
    <t>B.Input/Data Transf.</t>
  </si>
  <si>
    <t>Syntax error when executing RFBIDE00 and RFBIKR00</t>
  </si>
  <si>
    <t>Posting split in FI according to Note 1353125 for India</t>
  </si>
  <si>
    <t>Posting split in FI according to Note 1497092 for Spain</t>
  </si>
  <si>
    <t>BAPI: Trading partner is updated incorrectly</t>
  </si>
  <si>
    <t>Note 1546106 is too restrictive</t>
  </si>
  <si>
    <t>Tax is incorrect in down payment clearing in net procedure</t>
  </si>
  <si>
    <t>Transaction MRKO : Error F5 735 for alternative tax rate</t>
  </si>
  <si>
    <t>MIRO: Gross down payment clearing and Asset Accounting</t>
  </si>
  <si>
    <t>Note 1497092 : Parking not supported</t>
  </si>
  <si>
    <t>Message F5 788 does not contain original reconciliation acct</t>
  </si>
  <si>
    <t>MIRO/MIR6/MIR7: Err F5 650 even for pstngs w/o cash discount</t>
  </si>
  <si>
    <t>FI-AP-AP-M</t>
  </si>
  <si>
    <t>Ext. Interfaces</t>
  </si>
  <si>
    <t>INVOIC: Error message FD 060</t>
  </si>
  <si>
    <t>Search help for Web Dynpro applications</t>
  </si>
  <si>
    <t>Endless loop on the withholding tax screen</t>
  </si>
  <si>
    <t>Payment methods are not displayed in logon language</t>
  </si>
  <si>
    <t>Data element TXT30_077T without field labels</t>
  </si>
  <si>
    <t>Mandates for vendors</t>
  </si>
  <si>
    <t>Authorization check for the field BEGRU</t>
  </si>
  <si>
    <t>Dump in RFDABL00 or RFKABL00, ADD_IBAN_CHANGES</t>
  </si>
  <si>
    <t>FI-AP-AP-Q</t>
  </si>
  <si>
    <t>WithholdingTax(Calc)</t>
  </si>
  <si>
    <t>Accumulation with central invoice 1st partial payment</t>
  </si>
  <si>
    <t>Incorrect WT in Amount split tab of MIRO.</t>
  </si>
  <si>
    <t>RCT not being correctly calculated after Note 1580966</t>
  </si>
  <si>
    <t>Dump received when WT fraction greater than one in Wtax code</t>
  </si>
  <si>
    <t>Wtax info deleted when wtax code is changed using fbl1n</t>
  </si>
  <si>
    <t>No wtax when Credit Memo is paid together with invoices</t>
  </si>
  <si>
    <t>Problem with navigation in view V_WITH_EXCL_STR</t>
  </si>
  <si>
    <t>RFIDYYWT: Payment amount in LC is not displaying correctly</t>
  </si>
  <si>
    <t>Documents not getting reported incase of classical WHT</t>
  </si>
  <si>
    <t>Thailand Legal change: DMEE Format tree for Withholding tax</t>
  </si>
  <si>
    <t>RG2616: Tax amount calculated incorrectly</t>
  </si>
  <si>
    <t>Discount Deducted Mulitple Times - US reporting</t>
  </si>
  <si>
    <t>Belgium Multiple Company Code Reporting</t>
  </si>
  <si>
    <t>RFIDYYWT:Customer specific method for dynamic LDB selection</t>
  </si>
  <si>
    <t>Normal documents(without special G/L indicator) not reported</t>
  </si>
  <si>
    <t>RFIDYYWT-Wrong Amount is displayed in W/tax ex. amnt RC</t>
  </si>
  <si>
    <t>RFKQST00: Sales related items not picked up in the report</t>
  </si>
  <si>
    <t>RFIDYYWT - Dump on execution for Venezuela reporting</t>
  </si>
  <si>
    <t>Tax codes are not getting printed in report correctly</t>
  </si>
  <si>
    <t>RFKQST00- Documents with net base amount zero are reported</t>
  </si>
  <si>
    <t>RFIDYYWT: Error in multiple company code reporting</t>
  </si>
  <si>
    <t>A/R Documents reported even if payment transaction unchecked</t>
  </si>
  <si>
    <t>FBV0/FV60: Performance problems after implementing 1433004</t>
  </si>
  <si>
    <t>ENJOY: Message FP 089 after simulation</t>
  </si>
  <si>
    <t>FBV1/Fast entry: Runtime error TABLE_INVALID_INDEX</t>
  </si>
  <si>
    <t>FBV2: Various problems with VBUND</t>
  </si>
  <si>
    <t>FBV2/ENJOY: One-time data goes missing for AWTYP BKPFF</t>
  </si>
  <si>
    <t>FV60: Field ACSPLT-MWSKZ not on screen SAPLFDCB 0095</t>
  </si>
  <si>
    <t>ENJOY: Incorrect BSEC entries when posting</t>
  </si>
  <si>
    <t>FIPP.POST: Document not posted due to message F5A 054</t>
  </si>
  <si>
    <t>SEPA: Mandates for one-time documents</t>
  </si>
  <si>
    <t>SEPA: Mandates for one-time documents, parked documents</t>
  </si>
  <si>
    <t>Clearing with payment advice note: Too many items activated</t>
  </si>
  <si>
    <t>Note 1388796 incomplete</t>
  </si>
  <si>
    <t>FB17: No F4 help for customer</t>
  </si>
  <si>
    <t>Partial payt for bounced bills of exchange is not possible</t>
  </si>
  <si>
    <t>FB17: Items cannot be displayed</t>
  </si>
  <si>
    <t>Payment amount in difference postings</t>
  </si>
  <si>
    <t>SEND_PDF: Dialog box for entering mail address</t>
  </si>
  <si>
    <t>SEND_PDF: File name truncated in receiver's system</t>
  </si>
  <si>
    <t>FINT: Refunded interest calculated incorrectly</t>
  </si>
  <si>
    <t>RFMAHN21: Item disappears when dunning level is reduced</t>
  </si>
  <si>
    <t>FINT in endless loop</t>
  </si>
  <si>
    <t>F150: Individual dunning notice already executed</t>
  </si>
  <si>
    <t>F150: Interest incorrect for PDF forms</t>
  </si>
  <si>
    <t>FINT: Termination MSINT 401 FI_INTIT_POST</t>
  </si>
  <si>
    <t>FINT: No interest calculated for residual items</t>
  </si>
  <si>
    <t>Document display FB03 prevents interest reversal w/ FINTSHOW</t>
  </si>
  <si>
    <t>SEND_PDF: Address format "Foo Bar &lt;foo.bar@foo.com&gt;"</t>
  </si>
  <si>
    <t>FINT: BKPF-XBLNR not transferred from original invoice</t>
  </si>
  <si>
    <t>FINT: Incorrect line item assignment with INT_POST</t>
  </si>
  <si>
    <t>F150: Joint dunning despite different CPD data</t>
  </si>
  <si>
    <t>Dunning: ISR data incomplete for Liechtenstein (LI)</t>
  </si>
  <si>
    <t>FINTSHOW deletes ZINDT/DATA_MISMATCH</t>
  </si>
  <si>
    <t>FINT: Not possible to specify form using BAdI</t>
  </si>
  <si>
    <t>VC_T047_F displays incorrect dunning procedure</t>
  </si>
  <si>
    <t>FINT terminates with "NOT_FOUND"</t>
  </si>
  <si>
    <t>FI-AR-AR-D</t>
  </si>
  <si>
    <t>RFDOPR00/RFDOPR10/RFKOPR00/RFKOPR10: Addnl header missing</t>
  </si>
  <si>
    <t>SAPDBBRF: RFBELJ10 special handling of closing entry incorr</t>
  </si>
  <si>
    <t>GET_GKONT - Error message F9 015 due to Note 1425118</t>
  </si>
  <si>
    <t>RFDEPL00: Field overflow during totalling</t>
  </si>
  <si>
    <t>Name3 and Name4 are not displayed</t>
  </si>
  <si>
    <t>RFDSLD00/RFKSLD00: Year if non-Gregorian calendar used</t>
  </si>
  <si>
    <t>RFDABL00/RFKABL00: Company code restriction: Too much data</t>
  </si>
  <si>
    <t>FI-AR-AR-G</t>
  </si>
  <si>
    <t>SAPF130D_PDF does not send e-mails</t>
  </si>
  <si>
    <t>SEND_PDF: Mail parameters not taken into account</t>
  </si>
  <si>
    <t>F.15: Tax amount not displayed</t>
  </si>
  <si>
    <t>Address format "Foo Bar &lt;foo.bar@foo.com&gt;"</t>
  </si>
  <si>
    <t>SAPF130D: Special characters during fax transmission</t>
  </si>
  <si>
    <t>Redundant entries in BSEGC when transferring a billing doc.</t>
  </si>
  <si>
    <t>Update termin. F1 807 during posting using transaction TBB1</t>
  </si>
  <si>
    <t>No update of external taxes for non-leading ledgers</t>
  </si>
  <si>
    <t>FI-AR-AR-N</t>
  </si>
  <si>
    <t>Master data enhancement:Customer-spec function not displayed</t>
  </si>
  <si>
    <t>SEPA mandate: Sender ID for business partners in cust role</t>
  </si>
  <si>
    <t>SEPA mandate: Message SEPA 009, SENDER_DATA_DEFAULT</t>
  </si>
  <si>
    <t>SEPA mandates customers: No check for company code</t>
  </si>
  <si>
    <t>Customer SEPA mandates: Supplement data</t>
  </si>
  <si>
    <t>SEPA mandates: Message SEPA055 - No IBAN exists</t>
  </si>
  <si>
    <t>SEPA mandates for customers: Sender ID is blank</t>
  </si>
  <si>
    <t>SEPA-Mandate: Message SEPA 056 - IBAN does not relate</t>
  </si>
  <si>
    <t>FI-AR-CR</t>
  </si>
  <si>
    <t>RFDKLI40: System error F4 308 on returning to main list</t>
  </si>
  <si>
    <t>RFDKLI40: DSO value empty when using User layout</t>
  </si>
  <si>
    <t>FD33: Sales value displayed with incorrect currency</t>
  </si>
  <si>
    <t>RFDKLI40: Incorrect Country code passed to SAPphone</t>
  </si>
  <si>
    <t>RVND - special G/L indicator not supported</t>
  </si>
  <si>
    <t>FI-BL-PT-BA</t>
  </si>
  <si>
    <t>bank statement</t>
  </si>
  <si>
    <t>Defining FV058 as an error message</t>
  </si>
  <si>
    <t>FEBAN: System displays suppressed posting log</t>
  </si>
  <si>
    <t>FF67: Closing balance check of statements with deletion ind.</t>
  </si>
  <si>
    <t>Performance FIEB_RETURNS</t>
  </si>
  <si>
    <t>Account statement: Error for type of posting '9' (Reversal)</t>
  </si>
  <si>
    <t>Check deposit (RFEBSC00): Check with multiple amounts</t>
  </si>
  <si>
    <t>RFEBKATX: Dump during download to server</t>
  </si>
  <si>
    <t>RFEBCK00: Unnecessary page for HR checks</t>
  </si>
  <si>
    <t>Bank statement: Object links unnecessary for batch input</t>
  </si>
  <si>
    <t>Account statement or print: Defining breakdown</t>
  </si>
  <si>
    <t>Bank statement: Porting type 9: Reset and reversal</t>
  </si>
  <si>
    <t>V_T028P is too narrow</t>
  </si>
  <si>
    <t>ETEBAC: FEBRE-RSNUM = 1 is skipped</t>
  </si>
  <si>
    <t>RFCASH00: Opening balance is not displayed</t>
  </si>
  <si>
    <t>RFCASH20: Opening balance missing in list print</t>
  </si>
  <si>
    <t>FBCJ: Document date not a required input field</t>
  </si>
  <si>
    <t>FBCJ: Posting to closed period is possible</t>
  </si>
  <si>
    <t>FBCJ: Various errors with substitution of cost center</t>
  </si>
  <si>
    <t>FBCJ: BAdI for value date</t>
  </si>
  <si>
    <t>Unable to print bank data in Prenotification</t>
  </si>
  <si>
    <t>Avise mit RFFOEDI1 bei Personal-Zahlungen</t>
  </si>
  <si>
    <t>Authorization check in FDTA for F_REGU_BUK</t>
  </si>
  <si>
    <t>SEPA Direct Debit pain.008.001.02: Customer ID</t>
  </si>
  <si>
    <t>FPAYH: BIC for intermediary banks</t>
  </si>
  <si>
    <t>Payment advice with Adobe PDF form via mail or fax</t>
  </si>
  <si>
    <t>MT104 with PMW: Without creating prefix</t>
  </si>
  <si>
    <t>SEPA Direct Debit: Sequence Type for new Debtor Agent</t>
  </si>
  <si>
    <t>RFFOD__L: Payment summary with ALV</t>
  </si>
  <si>
    <t>FDTA: Authorization check for IDOC/RFFOEDI1</t>
  </si>
  <si>
    <t>Payment summary: Problems when printing</t>
  </si>
  <si>
    <t>SEPA payment medium: Special character and empty nodes</t>
  </si>
  <si>
    <t>Note to payee preview OBPM2: Format name too short</t>
  </si>
  <si>
    <t>F111 Extended Individual Payment</t>
  </si>
  <si>
    <t>FRFT_B - payment amount cannot be negative.</t>
  </si>
  <si>
    <t>FRFT Local curr amts in cross-country bank account transfers</t>
  </si>
  <si>
    <t>FRFT Instruction Key not populating after selection.</t>
  </si>
  <si>
    <t>F111: Termination due to error message (type = E)</t>
  </si>
  <si>
    <t>FBZ0 incorrect bank details assigned</t>
  </si>
  <si>
    <t>F8BT Selection of cross-company code bank-to-bank transfers</t>
  </si>
  <si>
    <t>BAPI additional data for BAPI_PAYMENTREQUEST_CREATE</t>
  </si>
  <si>
    <t>FIBLFFP: IBAN saved with wrong bank key.</t>
  </si>
  <si>
    <t>F111 Payee in bank-to-bank transfer</t>
  </si>
  <si>
    <t>F111: Extended individual payment (2)</t>
  </si>
  <si>
    <t>F111 payment request selected too early</t>
  </si>
  <si>
    <t>IBAN in free form payment</t>
  </si>
  <si>
    <t>FIBLFFP - message PZ088 not displayed.</t>
  </si>
  <si>
    <t>F8BW: No reversal for zero clearing</t>
  </si>
  <si>
    <t>F111 incorrect payee in payment data</t>
  </si>
  <si>
    <t>RFZALI20 displaying payee and business partner</t>
  </si>
  <si>
    <t>FI-BL-PT-US</t>
  </si>
  <si>
    <t>USbank statem/lockbx</t>
  </si>
  <si>
    <t>RFFOAVIS_FPAYM: Misleading Warning msg. HR3PRNA307 logged .</t>
  </si>
  <si>
    <t>General Ledger Acctg</t>
  </si>
  <si>
    <t>CheckMan Corrections</t>
  </si>
  <si>
    <t>Korrekturen für Dokumentation NewGL EHP5: ALE, COGM, REORG</t>
  </si>
  <si>
    <t>FAGL_MIG075 when changing a non-leading ledger FY variant</t>
  </si>
  <si>
    <t>Warning in case of crcy change  - change of message number</t>
  </si>
  <si>
    <t>RFBILA10: Use for general ledgers</t>
  </si>
  <si>
    <t>ERP Accelerators: Enhancement Application Settings</t>
  </si>
  <si>
    <t>Message in Customizing for non-leading ledgers</t>
  </si>
  <si>
    <t>ERP Accelerators: Connection to Financial Accounting</t>
  </si>
  <si>
    <t>FI-GL-BA</t>
  </si>
  <si>
    <t>Business Area Acctg</t>
  </si>
  <si>
    <t>Balance sheet adjustment: RF048 not correct</t>
  </si>
  <si>
    <t>SAPF181: Error F5 048 during batch input</t>
  </si>
  <si>
    <t>SAPF181: Reset for distribution posted multiple times</t>
  </si>
  <si>
    <t>Inheritance of business area during FI document parking</t>
  </si>
  <si>
    <t>P&amp;L Lock does not recalculate local curr. equivalents</t>
  </si>
  <si>
    <t>MCA Reversal misses FI documents</t>
  </si>
  <si>
    <t>Transport missing package interfaces</t>
  </si>
  <si>
    <t>Setting Fixed Value for field Transaction Type fails</t>
  </si>
  <si>
    <t>Allow MCA processes without Daily Ledger</t>
  </si>
  <si>
    <t>MCA: No customer specific fields in result display</t>
  </si>
  <si>
    <t>MCA Document Journal shows irrelevant Run IDs</t>
  </si>
  <si>
    <t>Incorr. validation of Profit Centers in MCA Journal</t>
  </si>
  <si>
    <t>Allow ledger customizing in MCA scenario</t>
  </si>
  <si>
    <t>'Entry does not exist in ...' in MCA Journal</t>
  </si>
  <si>
    <t>Run Administration terminates: GETWA_NOT_ASSIGNED</t>
  </si>
  <si>
    <t>Documentation Balance Sheet Report</t>
  </si>
  <si>
    <t>MCA balance carry forward stops with E001(FAGL_SFWC)</t>
  </si>
  <si>
    <t>FBMCA80: Only one MCA document number for the reversal doc</t>
  </si>
  <si>
    <t>Erweiterung ERP2005+</t>
  </si>
  <si>
    <t>Error AA 310 during post-capitalization of fixed asset</t>
  </si>
  <si>
    <t>Field overflow when clearing open items</t>
  </si>
  <si>
    <t>Migration of new general ledger: Unjustified CO doc. created</t>
  </si>
  <si>
    <t>Document splitting: Incorrect quantities</t>
  </si>
  <si>
    <t>Error msg GLT2 151 after upgrade to Enhancement Package 5</t>
  </si>
  <si>
    <t>Simulate general ledger: incorrect local currency key</t>
  </si>
  <si>
    <t>Enhancement of new logic for Logistics Invoice Verification</t>
  </si>
  <si>
    <t>Transport of ledgers for new general ledger accounting</t>
  </si>
  <si>
    <t>Document splitting: BAdI for segment for default constant</t>
  </si>
  <si>
    <t>General ledger view: Multiplied values, additional lines</t>
  </si>
  <si>
    <t>Non-leading ledger: Text in "Consistency check" dialog box</t>
  </si>
  <si>
    <t>NewGL: Incorrect posting key in clearing lines</t>
  </si>
  <si>
    <t>Problems with function module FAGL_GET_GL_DOCUMENT</t>
  </si>
  <si>
    <t>Summarizing tax items of SD for public sector</t>
  </si>
  <si>
    <t>Changing the posting periods for non-leading ledgers</t>
  </si>
  <si>
    <t>RFBISA01: Message SG001</t>
  </si>
  <si>
    <t>FAGLSFK: Dump in FAGLSKF3 print preview detail</t>
  </si>
  <si>
    <t>SAPF124: Performance during clearing of G/L accounts</t>
  </si>
  <si>
    <t>SL/GL: Incorr. DRCRK in table FAGLFLEXA after SD reversal II</t>
  </si>
  <si>
    <t>Localization for China (FIN UI decoupling)</t>
  </si>
  <si>
    <t>RFOB5200 does not recognize authorization group</t>
  </si>
  <si>
    <t>RFOB5200 changes locked data</t>
  </si>
  <si>
    <t>FBU3/ALV Grid Control: Currency displayed incorrectly (II)</t>
  </si>
  <si>
    <t>FBR2: Message F5 216 unjustified (III)</t>
  </si>
  <si>
    <t>FB03: Display of transfer pricing without authorization</t>
  </si>
  <si>
    <t>Enhancing posting logic for internal purposes</t>
  </si>
  <si>
    <t>ENJOY: BAdI FI_TRANS_DATE_DERIVE is not called</t>
  </si>
  <si>
    <t>FI: Tolerance limits in document posting</t>
  </si>
  <si>
    <t>Preparation of SAPMF05A and SAPMF05B for decoupling</t>
  </si>
  <si>
    <t>FB08: Tax reporting date</t>
  </si>
  <si>
    <t>FB05L: Amount field in local currency is ready for input</t>
  </si>
  <si>
    <t>ENJOY: Posting/completely despite validation error III</t>
  </si>
  <si>
    <t>FB03/ALV grid control: Column width cannot be changed</t>
  </si>
  <si>
    <t>FB08: Cost element (COST_ELEM) field  not filled</t>
  </si>
  <si>
    <t>FB01/Tax screen: JV account assignment block called twice</t>
  </si>
  <si>
    <t>BSEG_ADD: Exchange rate differences are null</t>
  </si>
  <si>
    <t>Function "Document -&gt; Simulate General Ledger"</t>
  </si>
  <si>
    <t>ENJOY: Configuration of G/L acct subscreen via table control</t>
  </si>
  <si>
    <t>Tax reporting date in case of reversal</t>
  </si>
  <si>
    <t>ENJOY: "Documents only in local currency" changes doc. crcy</t>
  </si>
  <si>
    <t>FB03: Various problems on the header data screen</t>
  </si>
  <si>
    <t>FIN UI decoupling: Technical corrections 1</t>
  </si>
  <si>
    <t>FIN UI decoupling: Technical corrections 5</t>
  </si>
  <si>
    <t>FIN UI decoupling: Posting with reference</t>
  </si>
  <si>
    <t>FIN UI decoupling: Technical corrections 3</t>
  </si>
  <si>
    <t>FI: CALL TRANSACTION for FB03L does not work</t>
  </si>
  <si>
    <t>FB08: Reversal document can be reversed</t>
  </si>
  <si>
    <t>FI: No authorization checks for business object BKPF</t>
  </si>
  <si>
    <t>Correcting Check Manager errors</t>
  </si>
  <si>
    <t>Service module for function group FIN_UI_DECO_MESSAGE</t>
  </si>
  <si>
    <t>Display Mode indicator for CL_FIN_UI_DECO</t>
  </si>
  <si>
    <t>FI-GL-GL-ADB</t>
  </si>
  <si>
    <t>Average Daily Balanc</t>
  </si>
  <si>
    <t>ADB Monthly Avg Calculation reports error with info message</t>
  </si>
  <si>
    <t>Display transaction GADBCOR in FI-GL area menu</t>
  </si>
  <si>
    <t>ADB extractor ignoring the company selection</t>
  </si>
  <si>
    <t>FI-GL-GL-C</t>
  </si>
  <si>
    <t>Message F7 146 with incorrect text</t>
  </si>
  <si>
    <t>FAGLB03:More characteristics -&gt; Text in selection not filled</t>
  </si>
  <si>
    <t>FBL3N: Transfer price authorization not always checked</t>
  </si>
  <si>
    <t>FAGLB03: Runtime error CONVT_NO_NUMBER for additional char.</t>
  </si>
  <si>
    <t>FAGLB03: Unsorted document currency change performed</t>
  </si>
  <si>
    <t>FAGLP03: Cost Element not transferred when called using RRI</t>
  </si>
  <si>
    <t>FI-GL-GL-E</t>
  </si>
  <si>
    <t>FI_DOCUMNT_PST: Performance</t>
  </si>
  <si>
    <t>FAGLL03: Not all records returned from archive in G/L view</t>
  </si>
  <si>
    <t>FG053 - Archiving key specified is not known to the system</t>
  </si>
  <si>
    <t>Error in field parameters in FI_DOCUMNT_WRI report</t>
  </si>
  <si>
    <t>FAGLL03: Not all records returned from archive in entry view</t>
  </si>
  <si>
    <t>FAGLL03: Not all records returned from archive read (2)</t>
  </si>
  <si>
    <t>RFUMSV20: Table RFUMSV00_BAL_IT</t>
  </si>
  <si>
    <t>Special development: Time-dependent sales/purchases tax grps</t>
  </si>
  <si>
    <t>Posting direct tax items using a BAPI</t>
  </si>
  <si>
    <t>BSET-BUPLA missing when posting using the interface</t>
  </si>
  <si>
    <t>Summarization of BSET destroys group structure of jur. level</t>
  </si>
  <si>
    <t>RFUMSV25: Error code '2' for down payments from ME2DP</t>
  </si>
  <si>
    <t>FB60 FB70: "Net proposal" tax not included in balance</t>
  </si>
  <si>
    <t>MIRO w/ minor difference: Tax in national currency incorrect</t>
  </si>
  <si>
    <t>VAT refund: Incorrect tax distribution</t>
  </si>
  <si>
    <t>NewGl document splitting: TXGRP incorr in SKT/SKE tax items</t>
  </si>
  <si>
    <t>FB60/FB70 dump BCD_ZERODIVIDE if net tax base</t>
  </si>
  <si>
    <t>RFUMSV25: Error during selection of non-tax accounts</t>
  </si>
  <si>
    <t>Idoc, Bapi: summarization of BSET entries</t>
  </si>
  <si>
    <t>Advance return/tax on sales/purchases w/ base local crrcy=0</t>
  </si>
  <si>
    <t>BAPI_ACC_DOCUMENT_REV_POST: BSEG-TAXPS is incorrectly filled</t>
  </si>
  <si>
    <t>FS 210 because several TAXPS = 000000, but others 000999</t>
  </si>
  <si>
    <t>RFUMSV00: Address data for documents for deferred tax</t>
  </si>
  <si>
    <t>PEO: Adjustment postings incorrect because PEO not active</t>
  </si>
  <si>
    <t>RFASLM00: PDF output and selection of multiple company codes</t>
  </si>
  <si>
    <t>FB60 - Tax on "Basic data" tab page w/o specifying tax code</t>
  </si>
  <si>
    <t>PEO: Terminatn maintaining V_FMPEB_ASSIGN using view cluster</t>
  </si>
  <si>
    <t>PEO: FF 759 issued due to rounding differences</t>
  </si>
  <si>
    <t>Adjstng electrnc advnce return for tx on sls/purch. for 2012</t>
  </si>
  <si>
    <t>VATDATE: Deactivating information message FF 785</t>
  </si>
  <si>
    <t>SDBONT06 dump TSV_TNEW_PAGE_ALLOC_FAILED</t>
  </si>
  <si>
    <t>RFASLD20: Header of line item list for monthly reporting</t>
  </si>
  <si>
    <t>RFUMSV25: No batch input data for SAPLKACB 0002</t>
  </si>
  <si>
    <t>FTXP - T007V  - Transport only A003 / A053 - India</t>
  </si>
  <si>
    <t>Using the enhanced BAdI BADI_TAX1_XTXIT_SET</t>
  </si>
  <si>
    <t>Document splitting when clearing down payments - GLT2 201</t>
  </si>
  <si>
    <t>Suppl to Note 1548302: Direct tax items posted using a BAPI</t>
  </si>
  <si>
    <t>Should be possible to set message  F5 896 as a warning</t>
  </si>
  <si>
    <t>RFUMSV52: Unclear header texts in columns</t>
  </si>
  <si>
    <t>FB60/MIRO: Setting tax on the "Basic data" tab page to not 0</t>
  </si>
  <si>
    <t>RFASLD20: Duplicate display for company code clearing</t>
  </si>
  <si>
    <t>FI-GL-GL-F1</t>
  </si>
  <si>
    <t>VAT reporting</t>
  </si>
  <si>
    <t>LU annual VAT return: Electronic submission</t>
  </si>
  <si>
    <t>RFIDPTFO: Grouping of document is incorrect</t>
  </si>
  <si>
    <t>RFASLD12:Documents with diff reporting and supplying country</t>
  </si>
  <si>
    <t>RFIDITVCL: 3000 Euro Communication (Italy Legal Change)</t>
  </si>
  <si>
    <t>RFIDITSR00 : Summation of local currency</t>
  </si>
  <si>
    <t>RFASLD11B:Issues related to WIA billing document,credit memo</t>
  </si>
  <si>
    <t>RFASLD11B:New EU codes to further classify delivery of goods</t>
  </si>
  <si>
    <t>SAFT-PT: Corrections RSAFT_PT_XML for 2010 (25)</t>
  </si>
  <si>
    <t>Change in Text Element of the report RFIDTSRLIST</t>
  </si>
  <si>
    <t>SAFT-PT: Corrections RSAFT_PT_XML for 2010 (26)</t>
  </si>
  <si>
    <t>RFASLD15:Issue related to reversal and payment documents</t>
  </si>
  <si>
    <t>RFUSVS14:Issue with withholding tax and filter for country</t>
  </si>
  <si>
    <t>RFUVPT00: Annual VAT Report(Legal Change 2011)</t>
  </si>
  <si>
    <t>RFASLD15 : Corrections required for Hungary</t>
  </si>
  <si>
    <t>Belgium :Sales and Purchase Journal</t>
  </si>
  <si>
    <t>RFUVPT00: Issue with xml file encoding ISO-85891</t>
  </si>
  <si>
    <t>RFUVPT00:Anexo-M Field M55 has incorrect value</t>
  </si>
  <si>
    <t>RFIDPL10 : Issue with alternative account numbers.</t>
  </si>
  <si>
    <t>SAFT-PT: Corrections RSAFT_PT_XML for 2010 (27)</t>
  </si>
  <si>
    <t>RFIDITBLIST: FI-CA enhancements</t>
  </si>
  <si>
    <t>RFIDITVCL: 3000 Euro Communication additional changes</t>
  </si>
  <si>
    <t>SAFT-PT: Corrections RSAFT_PT_XML for 2010 (28)</t>
  </si>
  <si>
    <t>RFUMSV50: Account changing in tax code customizing</t>
  </si>
  <si>
    <t>RFUMSV50: Down payment clearing via FBA3/FBA8 w/o taxes</t>
  </si>
  <si>
    <t>RFUMSV50: Wrong amount in local currency in DEFTAX_ITEM</t>
  </si>
  <si>
    <t>VAT pro rata: Assets under Construction (AuC) settlement</t>
  </si>
  <si>
    <t>SAFT-PT: Corrections RSAFT_PT_XML for 2010 (29)</t>
  </si>
  <si>
    <t>RFIDITVCL:FI-CA enhancements</t>
  </si>
  <si>
    <t>RFUSVS14:Issue in amount and data length for leasing file</t>
  </si>
  <si>
    <t>SAFT-PT: Corrections RSAFT_PT_XML for 2010 (30)</t>
  </si>
  <si>
    <t>SAFT-PT: Corrections RSAFT_PT_XML for 2010 (31)</t>
  </si>
  <si>
    <t>RFUMSV50: T030K GL Account assignment</t>
  </si>
  <si>
    <t>SAFT-PT: Corrections RSAFT_PT_XML for 2010 (32)</t>
  </si>
  <si>
    <t>SAFT-PT: Corrections RSAFT_PT_XML for 2010 (33)</t>
  </si>
  <si>
    <t>SAFT-PT: Corrections RSAFT_PT_XML for 2010 (34)</t>
  </si>
  <si>
    <t>Documentation for Golden Audit China (FI)</t>
  </si>
  <si>
    <t>RFAWVZ5P: Data record check X.400 format</t>
  </si>
  <si>
    <t>NewGL drilldown reporting: F4 help does not work for version</t>
  </si>
  <si>
    <t>F107, method 10: Manual actions 2 and 3, automatic action 7</t>
  </si>
  <si>
    <t>FAGL_CL_REGROUP: Document currency in postings</t>
  </si>
  <si>
    <t>F107: Error message FC 370 (functional area missing)</t>
  </si>
  <si>
    <t>F107, method 3: Valuation of each line item without NewGL</t>
  </si>
  <si>
    <t>F103 Account balance mixed together for more customers acc.</t>
  </si>
  <si>
    <t>NewGL allocation: Item text missing during reversal</t>
  </si>
  <si>
    <t>FAGL_CL_REGROUP: Performanceprobleme FAGL_BSBW_HISTRY</t>
  </si>
  <si>
    <t>FAGL_FC_VAL: Batch input session during valuation reset</t>
  </si>
  <si>
    <t>FAGL_FC_VAL: Runtime error IMPORT_WRONG_END_POS</t>
  </si>
  <si>
    <t>RFSUMB00 - Problem with Batch Input Date Format</t>
  </si>
  <si>
    <t>RFWERE00: Unjustified warning FR000</t>
  </si>
  <si>
    <t>FAGL_FCV: Documents not posted for 2nd/3rd currency</t>
  </si>
  <si>
    <t>FAGL_FCV: Partner not copied</t>
  </si>
  <si>
    <t>FAGL_YEC_POSTINGS Missing account assignment after doc split</t>
  </si>
  <si>
    <t>FAGL_FCV: Runtime error DYN_WHERE_PARSE_ERROR</t>
  </si>
  <si>
    <t>FAGL_FCV: Default layout ignored</t>
  </si>
  <si>
    <t>F107, method 10: Remaining term determin./interest rate 3</t>
  </si>
  <si>
    <t>Incorrect amount calculated by profit center</t>
  </si>
  <si>
    <t>FAGL_FC_VALUATION: Runtime error COMPUTE_BCD_OVERFLOW</t>
  </si>
  <si>
    <t>FAGL_FC_VAL: Message for balance valuation reset</t>
  </si>
  <si>
    <t>FAGL_FC_VAL/FAGL_FC_TRANS: FR 605/FR 608/FR 653 w/o co code</t>
  </si>
  <si>
    <t>FAGL_FC_VALUATION: Processing of GR/IR accounts</t>
  </si>
  <si>
    <t>RFWERE00: Assignment of GNB/BNG for goods return movements</t>
  </si>
  <si>
    <t>FAGL_FCV: Runtime errors due to field overflow</t>
  </si>
  <si>
    <t>SAPF100: Valuation postings in new G/L migration phase 1</t>
  </si>
  <si>
    <t>FAGL_FCV: Runtime error RAISE_EXCEPTION TYPE_NOT_FOUND</t>
  </si>
  <si>
    <t>FAGL_FCV: Valuation G/L accounts in 2nd/3rd local currency</t>
  </si>
  <si>
    <t>FAGL_FCV: Processing of GR/IR items with FI data</t>
  </si>
  <si>
    <t>FAGL_FC_TRANS: Messages FR 600 and FR 507 w/o company code</t>
  </si>
  <si>
    <t>Debit Credit Indicator After Document Split in FAGL_104.</t>
  </si>
  <si>
    <t>FAGL_FC_VALUATION: Checks for joint venture accounting</t>
  </si>
  <si>
    <t>FAGL_FCV: Accounting assignments with conversion exit</t>
  </si>
  <si>
    <t>FAGL_FC_VALUATION: Rounding difference in balance valuation</t>
  </si>
  <si>
    <t>FAGL_FC_VALUATION: CX_SY_ARITHMETIC_OVERFLOW after upgrade</t>
  </si>
  <si>
    <t>SAPF100: Custom selections KNB1/LFB1 not taken into account</t>
  </si>
  <si>
    <t>FAGL_FC_VAL: Valuation of 2nd/3rd local currency</t>
  </si>
  <si>
    <t>FAGL_FC_VALUATION: Assignments in RXD adjustment postings</t>
  </si>
  <si>
    <t>Account assingments in FAGL_YEC_POSTINHS_EHP4</t>
  </si>
  <si>
    <t>FAGL_FCV: Ledger group assignment for G/L balance valuation</t>
  </si>
  <si>
    <t>SAPF100/F.05: Error message GI357 for SL 09, table GLT3</t>
  </si>
  <si>
    <t>SAPF100: Translation - Remeasurement amount not found</t>
  </si>
  <si>
    <t>FAGL_FCV: Free selections for G/L account balances</t>
  </si>
  <si>
    <t>Transaction F107, method 10: Entry 0 for overall runtime</t>
  </si>
  <si>
    <t>FAGL_FC_VAL: Duplicate document numbers in posting list</t>
  </si>
  <si>
    <t>FAGL_FC_VAL/FAGL_FC_TRANS: Reset posting list balance val.</t>
  </si>
  <si>
    <t>F107, method 3: DMSHB_BAS when total debit &lt; total credit</t>
  </si>
  <si>
    <t>Year-end closing posting without baseline date BSEG-ZFBDT</t>
  </si>
  <si>
    <t>FAGL_TR_02: COMPUTE_BCD_OVERFLOW during closing posting</t>
  </si>
  <si>
    <t>RFSUMB00: New G/L migration - postings in phase 1</t>
  </si>
  <si>
    <t>RFSUMB00: Order and Statistical Order Are Conversely</t>
  </si>
  <si>
    <t>FI-GL-GL-I</t>
  </si>
  <si>
    <t>RFBIBL00: Transaction FB05 converted to FB05L</t>
  </si>
  <si>
    <t>Error FAGL_POST_SERVICE 014 when parking w/ acctg interface</t>
  </si>
  <si>
    <t>Short dump IMPORT_CONTAINER_MISSING during posting via RWIN</t>
  </si>
  <si>
    <t>Balance error when transferring an SF billing document</t>
  </si>
  <si>
    <t>AC interface: Doc number gaps when changing parked document</t>
  </si>
  <si>
    <t>FIPP.POSTED when changing a parked document in AC interface</t>
  </si>
  <si>
    <t>Comment lines in LGL_ACCOUNT_MASTER_MAINTAINFUT</t>
  </si>
  <si>
    <t>Termination POSTING_ILLEGAL_STATEMENT w/ update of GL master</t>
  </si>
  <si>
    <t>FI-GL-GL-RP</t>
  </si>
  <si>
    <t>Reconciliation CO-FI</t>
  </si>
  <si>
    <t>FAGLCORC: Error message GU506 for shortened fiscal year</t>
  </si>
  <si>
    <t>RTI: Missing quantity in BUV items</t>
  </si>
  <si>
    <t>RTI: Error message FAGL_LEDGER_CUST 023, classic G/L</t>
  </si>
  <si>
    <t>RTI: Incorrect amounts in profit center valuation view</t>
  </si>
  <si>
    <t>FBV2: Change log for BEWAR</t>
  </si>
  <si>
    <t>FB01/FBV1: Account assignments duplicated on tax screen 0312</t>
  </si>
  <si>
    <t>FBV0/cross-company code: update termination OA 241</t>
  </si>
  <si>
    <t>FBV2/fast entry: Incorrect data after scrolling</t>
  </si>
  <si>
    <t>FI-GL-GL-X</t>
  </si>
  <si>
    <t>DB Inconsistencies</t>
  </si>
  <si>
    <t>FAGL_ACTIVATE_OP: Clearings spec. to ledger grps not active</t>
  </si>
  <si>
    <t>SAPF190(_NACC): Reading of internal table is not optimal</t>
  </si>
  <si>
    <t>FAGLF03: Restrictions to ledger/period not checked</t>
  </si>
  <si>
    <t>FAGLF03: Error message I002 (FAGL_LEDGER_CUST) for log</t>
  </si>
  <si>
    <t>FI-GL-IS</t>
  </si>
  <si>
    <t>AIS: Problems with InfoSet /SAPQUERY/FIBR_AUDIT_02</t>
  </si>
  <si>
    <t>ERP Accelerators: Enhancements to Financial Accounting</t>
  </si>
  <si>
    <t>Wrong results of drilldown with hierarchy for display</t>
  </si>
  <si>
    <t>Drilldown report in classical GL wrong II</t>
  </si>
  <si>
    <t>New GL Drillown report type 003: Header and Selection</t>
  </si>
  <si>
    <t>RFBELJ10_NACC: Italy - Alt. Reference Number not displayed</t>
  </si>
  <si>
    <t>Wrong results of drilldown with hierarchy selection V</t>
  </si>
  <si>
    <t>FI-GL-MIG</t>
  </si>
  <si>
    <t>general ledger migration</t>
  </si>
  <si>
    <t>FI-GL-MIG-GL</t>
  </si>
  <si>
    <t>general ledger data</t>
  </si>
  <si>
    <t>newGL mig:SAPSQL_ARRAY_INSERT_DUPREC by ledger spec. posting</t>
  </si>
  <si>
    <t>Opening previous years after migration for non-leading ldgr</t>
  </si>
  <si>
    <t>New G/L Migration: DBIF_RSQL_INVALID_CURSOR dump by Reset</t>
  </si>
  <si>
    <t>Reset does not work in migration scenario 6</t>
  </si>
  <si>
    <t>Migration to new G/L: Partner segment not derived</t>
  </si>
  <si>
    <t>FI-GL-REO</t>
  </si>
  <si>
    <t>General Ledger Reorg</t>
  </si>
  <si>
    <t>Transf.posting: Security check, no account or CoCd specified</t>
  </si>
  <si>
    <t>PRCTR/SEG: Configuring message FAGL_REORGANIZATION 029</t>
  </si>
  <si>
    <t>Dummy note for code cleanups</t>
  </si>
  <si>
    <t>Lock entry for processing object list does not exist</t>
  </si>
  <si>
    <t>Restriction Characteristics for Segment Reorganization</t>
  </si>
  <si>
    <t>PRCTR: CO-PA document in SD incoming orders</t>
  </si>
  <si>
    <t>Runtime error DBIF_RSQL_INVALID_RSQL during reassignment</t>
  </si>
  <si>
    <t>Usability improvement for download/upload of assignments</t>
  </si>
  <si>
    <t>Dump ASSERTION_FAILED during reassignment</t>
  </si>
  <si>
    <t>FI-GL-REO-AA</t>
  </si>
  <si>
    <t>Reorganization of As</t>
  </si>
  <si>
    <t>No new time interval during reorg for assests not posted to</t>
  </si>
  <si>
    <t>FI-GL-REO-BF</t>
  </si>
  <si>
    <t>Background processes terminate due to deadlock</t>
  </si>
  <si>
    <t>Performance improvement for active BF FIN_GL_REORG_1</t>
  </si>
  <si>
    <t>Input help for hierarchy version</t>
  </si>
  <si>
    <t>Object lists are not indicated as processed</t>
  </si>
  <si>
    <t>Authorization check</t>
  </si>
  <si>
    <t>Runtime error ASSERTION_FAILED: Update of dummy objects</t>
  </si>
  <si>
    <t>Runtime error ASSERTION_FAILED when changing acct assignment</t>
  </si>
  <si>
    <t>Error F5 800: Inconsistent currency information</t>
  </si>
  <si>
    <t>FI-GL-REO-GL</t>
  </si>
  <si>
    <t>PRCTR/SEG: AP/AR: Various PRCTR/SEG for same account assgnmt</t>
  </si>
  <si>
    <t>PRCTR/SEG: Message FAGL_REORGANIZATION 544</t>
  </si>
  <si>
    <t>PRCTR:FAGL_REORGANIZATION 503 when simulating residual items</t>
  </si>
  <si>
    <t>PRCTR/SEG: Document splitting not updated (without message)</t>
  </si>
  <si>
    <t>PRCTR/SEG: Error FAGL_REORGANIZATION 533 during reassignment</t>
  </si>
  <si>
    <t>PRCTR/SEG: Cash discount clearing lines not reassigned</t>
  </si>
  <si>
    <t>PRCTR/SEG: Unjustified error FAGL_REORGANIZATION 532</t>
  </si>
  <si>
    <t>PRCTR/SEG: Warning message "Document was not simulated"</t>
  </si>
  <si>
    <t>PRCTR/SEG: APAR objs. missng for docs. w/ partner assignment</t>
  </si>
  <si>
    <t>PRCTR: Short dump in FAGL_R_BSIK_BSEG_WRITE_DB</t>
  </si>
  <si>
    <t>PRCTR/SEG: Generation terminates: Unstable grouping AP/AR</t>
  </si>
  <si>
    <t>PRCTR:Wrning FAGL_REORGANIZATION 505 w/ multiple acct assgmt</t>
  </si>
  <si>
    <t>PRCTR: Exception cond. NO_OBJ_TYPE in multiple accnt assgmt</t>
  </si>
  <si>
    <t>PRCTR: Error FAGL_REORGANIZATION545 during reassignment</t>
  </si>
  <si>
    <t>PRCTR: Object type not determined (FAGL_REORGANIZATION505)</t>
  </si>
  <si>
    <t>PRCTR/SEG: Error message when reassigning AP/AR</t>
  </si>
  <si>
    <t>PRCTR/SEG: Message GLT0 002 after successful reorganization</t>
  </si>
  <si>
    <t>PRCTR/SEG: Data inconsistency during generation of AP/AR</t>
  </si>
  <si>
    <t>PRCTR/SEG: ASSERTION_FAILED when reassigning AP/AR</t>
  </si>
  <si>
    <t>FI-GL-REO-MM</t>
  </si>
  <si>
    <t>PRCTR: append dump in CL_FAGL_R_OBJ_TYPE_001_MAT</t>
  </si>
  <si>
    <t>PRCTR: ITAB_ILLEGAL_SORT_ORDER,short dump GET_SPLIT_ITEMS</t>
  </si>
  <si>
    <t>PRCTR: Unjustified error FAGL_REORGANIZATION 222</t>
  </si>
  <si>
    <t>PRCTR: Performance issue - additional fields for materials</t>
  </si>
  <si>
    <t>PRCTR: Purch. orders with acc.ass. sales order</t>
  </si>
  <si>
    <t>PRCTR: Missing purchase orders with SO acct assignment</t>
  </si>
  <si>
    <t>PRCTR: Purch. orders for SO, special case valuated stock</t>
  </si>
  <si>
    <t>PRCTR: error in get_object_info - purch. ord. w. network act</t>
  </si>
  <si>
    <t>FI-SL</t>
  </si>
  <si>
    <t>Special Purpose Ledger</t>
  </si>
  <si>
    <t>FI-SL-IS</t>
  </si>
  <si>
    <t>FI-SL-IS-A</t>
  </si>
  <si>
    <t>ReportWriter/Painter</t>
  </si>
  <si>
    <t>RG102 when generating reports with many rows</t>
  </si>
  <si>
    <t>Update message "Runtime error 1004" if more than 256 columns</t>
  </si>
  <si>
    <t>Report Writer: Quick infos missing in the display</t>
  </si>
  <si>
    <t>Report Writer: Improvement to usability</t>
  </si>
  <si>
    <t>AC: Deleted archive data is not displayed</t>
  </si>
  <si>
    <t>Activity objects are not considered in RP OLC reports</t>
  </si>
  <si>
    <t>FI-SL-SL</t>
  </si>
  <si>
    <t>Performance problems when accessing table T800A or T881</t>
  </si>
  <si>
    <t>Generated includes without information about system origin</t>
  </si>
  <si>
    <t>FI-SL-SL-A</t>
  </si>
  <si>
    <t>Deadlock in SL object tables during parallel processing</t>
  </si>
  <si>
    <t>FI-SL/NewGL reversal: Inadequate error messages</t>
  </si>
  <si>
    <t>FI-SL-SL-G</t>
  </si>
  <si>
    <t>Closing ops./Per.end</t>
  </si>
  <si>
    <t>FI-SL/GL rollup: exit is run twice, which is incorrect</t>
  </si>
  <si>
    <t>Cycle maint FI/CO-PA: Contrlg area does not exist (KI 101)</t>
  </si>
  <si>
    <t>GL25: Output list formatted incorrectly for doc numbers/text</t>
  </si>
  <si>
    <t>GL25: Incorrect authorization check for object G_GLTP</t>
  </si>
  <si>
    <t>FI-SL-SL-I</t>
  </si>
  <si>
    <t>GB01: error message GI514 (not allowed currency combination)</t>
  </si>
  <si>
    <t>GB01: Problems when using "Post with reference"</t>
  </si>
  <si>
    <t>FI-SL-SL-J</t>
  </si>
  <si>
    <t>Int. / Direct Post.</t>
  </si>
  <si>
    <t>Split into smaller amounts not required</t>
  </si>
  <si>
    <t>FI-SL-SL-K</t>
  </si>
  <si>
    <t>BAPI: Error 'Field HSLxx missing in structure FIELDLIST'</t>
  </si>
  <si>
    <t>Transaction GLPLUP: F4 help list.</t>
  </si>
  <si>
    <t>GP12N: dump RAISE EXCEPTION when displaying planning layout</t>
  </si>
  <si>
    <t>Planning data integration: Error KM813 despite valid object</t>
  </si>
  <si>
    <t>FI-SL-SL-T</t>
  </si>
  <si>
    <t>Sets</t>
  </si>
  <si>
    <t>ERP accelerators: Hierarchy processing with HDB</t>
  </si>
  <si>
    <t>Obsolete</t>
  </si>
  <si>
    <t>No ALE change pointers for import</t>
  </si>
  <si>
    <t>Incorrect log entries of sets</t>
  </si>
  <si>
    <t>FI-TV</t>
  </si>
  <si>
    <t>Business Trip Management</t>
  </si>
  <si>
    <t>FI-TV-COS</t>
  </si>
  <si>
    <t>Trip Costs</t>
  </si>
  <si>
    <t>RPRAPA00 - IBAN not entered if bank account exists</t>
  </si>
  <si>
    <t>RPR_AIRP_LRS_TO_FI: Problem with posting text</t>
  </si>
  <si>
    <t>RPRAPA00 trying to insert back details twice</t>
  </si>
  <si>
    <t>RPR_AIRP_LRS_TO_FI:Termination if order/cost center too long</t>
  </si>
  <si>
    <t>FM PTRM_WEB_ACTIVITY_NPACT</t>
  </si>
  <si>
    <t>Error message BF00 013 in RPRAPA00</t>
  </si>
  <si>
    <t>EDX: Program EDX_READ_FILES dumps</t>
  </si>
  <si>
    <t>EDX: Method PROCESS_RFC trying to send DocumentSet Reply</t>
  </si>
  <si>
    <t>EDX: Adding support for negative amount in report edx_list</t>
  </si>
  <si>
    <t>EDX: Modify display PDF from archive in report edx_list</t>
  </si>
  <si>
    <t>EDX: Create Intermediate document for inbound processing</t>
  </si>
  <si>
    <t>EDX: Support for leading zeros in document number</t>
  </si>
  <si>
    <t>EDX: Archive retrieving problem in case of multi ISF docs</t>
  </si>
  <si>
    <t>EDX: Adding help link to the EDX_POLL web client</t>
  </si>
  <si>
    <t>EDX: Wrong qualifier for getting the partner ID from IDOC</t>
  </si>
  <si>
    <t>EDX: Edx Web Client support for Verify Log V1.1</t>
  </si>
  <si>
    <t>EDX: EDX_LIST report get PDF Invoice from Archive</t>
  </si>
  <si>
    <t>EDX: Add parameter list for transformation</t>
  </si>
  <si>
    <t>EDX: Read/Parse structured document from the Park table</t>
  </si>
  <si>
    <t>EDX: Corrupted PDF from Park table</t>
  </si>
  <si>
    <t>EDX: Company code is missing in report EDX_LIST</t>
  </si>
  <si>
    <t>EDX: Use simple transformation instead of templates</t>
  </si>
  <si>
    <t>EDX: Delete unused methods</t>
  </si>
  <si>
    <t>EDX: Global document type EDXISFZIP is missing</t>
  </si>
  <si>
    <t>EDX: EDX_DEL report cannot delete objects</t>
  </si>
  <si>
    <t>EDX: Dump in EDX_LIST due to long reference</t>
  </si>
  <si>
    <t>FIN-FSCM-BD</t>
  </si>
  <si>
    <t>Biller Direct</t>
  </si>
  <si>
    <t>FIN-FSCM-BD-AR</t>
  </si>
  <si>
    <t>Accounts Receivables</t>
  </si>
  <si>
    <t>Payment display for cleared payment on account is incorrect</t>
  </si>
  <si>
    <t>Priority code for CPOR enterprise service</t>
  </si>
  <si>
    <t>FTE_BSM: Incorr display of bank statements from prev years</t>
  </si>
  <si>
    <t>BCM: Zero balance notification cannot be created</t>
  </si>
  <si>
    <t>CPON: Status confirmation for payment orders</t>
  </si>
  <si>
    <t>CPON: Status "Partially Accepted by the Bank" incorrect</t>
  </si>
  <si>
    <t>Message BNK_UTIL 003: Automatic release is incorrect</t>
  </si>
  <si>
    <t>FTE_BSM: System displays incorrect bank statements</t>
  </si>
  <si>
    <t>CPON: Supplement to SAP Note 1606948 for HR advance payments</t>
  </si>
  <si>
    <t>FBPM1: Short dump TSV_TABH_POOL_NO_ROLL_MEMORY</t>
  </si>
  <si>
    <t>BNK_MONI &amp; BNK_APP: Batch amount without plus/minus sign</t>
  </si>
  <si>
    <t>RBNK_MERGE_RESET for returned Batches</t>
  </si>
  <si>
    <t>CPON: Status of batch not updated</t>
  </si>
  <si>
    <t>FBPM1: Short dump CX_SY_DYN_CALL_ILLEGAL_TYPE</t>
  </si>
  <si>
    <t>FBPM1: Batch is not created and job log is empty</t>
  </si>
  <si>
    <t>BNK_MONI: Poor performance</t>
  </si>
  <si>
    <t>CPON: Status "Partially Accepted by the Bank" incorrect (II)</t>
  </si>
  <si>
    <t>BNK_MONI: Incorrect assignment for several status reasons</t>
  </si>
  <si>
    <t>BNK_MONI: Status displays "error" even though file created</t>
  </si>
  <si>
    <t>RFFDIS00: Termination with "BCD_FIELD_OVERFLOW"</t>
  </si>
  <si>
    <t>Performance in the function module PAYDAY_DETERMINATION</t>
  </si>
  <si>
    <t>FIN-FSCM-CM-CM</t>
  </si>
  <si>
    <t>FF7B: Residual items missing if CM is generated subsequently</t>
  </si>
  <si>
    <t>FF73 allows planning advice with value date in the past</t>
  </si>
  <si>
    <t>RFTS6510: Information message instead of error message</t>
  </si>
  <si>
    <t>AVI: Enabling selection by reference number</t>
  </si>
  <si>
    <t>Error CONNE_IMPORT_WRONG_STRUCTURE with LIS setup</t>
  </si>
  <si>
    <t>Archivierte Belege im Stellvertretersystem</t>
  </si>
  <si>
    <t>FDM_COLL_POST_MIRROR with TSV_TNEW_PAGE_ALLOC_FAILED</t>
  </si>
  <si>
    <t>Error message when displaying invoice notes</t>
  </si>
  <si>
    <t>FDM_COLL01: Performance problems</t>
  </si>
  <si>
    <t>FSCM-COL: Balance inconsistencies in substitute system</t>
  </si>
  <si>
    <t>Promises to pay in substitute system</t>
  </si>
  <si>
    <t>Partial payment after invoice is archived</t>
  </si>
  <si>
    <t>FDM_COLL_GET_DOCUMENTS: Performance/incorr customer balances</t>
  </si>
  <si>
    <t>Performance of transfer to substitute system</t>
  </si>
  <si>
    <t>FDM_COLL01: Last payment incorrect after refresh</t>
  </si>
  <si>
    <t>Installment plan: Status of promise to pay</t>
  </si>
  <si>
    <t>Transfer of one-time accounts during periodic data transfer</t>
  </si>
  <si>
    <t>Process receivables: Err during residual item transfer pstng</t>
  </si>
  <si>
    <t>Transferring dunning and payment block to substitute system</t>
  </si>
  <si>
    <t>Payment behavior summary displays obsolete data</t>
  </si>
  <si>
    <t>Credit check in VL10 and collective processing</t>
  </si>
  <si>
    <t>UKM_TRANSFER_VECTOR: Performance when rebuilding master data</t>
  </si>
  <si>
    <t>Enqueue server time stamp</t>
  </si>
  <si>
    <t>FDM_PROCESS_BUFFER: No selection parameter</t>
  </si>
  <si>
    <t>FBL5N: Performance in active Dispute Management</t>
  </si>
  <si>
    <t>View V_TFDM_WRITEOFF1 is not a current setting</t>
  </si>
  <si>
    <t>Dump during dispute case creation</t>
  </si>
  <si>
    <t>Document synchronization is not performed</t>
  </si>
  <si>
    <t>Automatic document changes in certain situations</t>
  </si>
  <si>
    <t>J_1A_POST_DISCOUNT_DOCUMENTS: Cash discnt handling Argentina</t>
  </si>
  <si>
    <t>CDIS: No dialog box if currency is missing</t>
  </si>
  <si>
    <t>Treasury and Risk Ma</t>
  </si>
  <si>
    <t>Factory calendar upload: CSV file format</t>
  </si>
  <si>
    <t>FIN-FSCM-TRM-CRM</t>
  </si>
  <si>
    <t>Financial Risk Management for Commodities</t>
  </si>
  <si>
    <t>FIN-FSCM-TRM-CRM-MD</t>
  </si>
  <si>
    <t>TM: TBEX not consider data provider for commodities</t>
  </si>
  <si>
    <t>FIN-FSCM-TRM-MR</t>
  </si>
  <si>
    <t>Market Risk Analyzer</t>
  </si>
  <si>
    <t>JBWH: Deletion of Hierarchy Nodes</t>
  </si>
  <si>
    <t>FIN-FSCM-TRM-TM</t>
  </si>
  <si>
    <t>Transaction Manager</t>
  </si>
  <si>
    <t>LDBs for commodity transactions and exposures</t>
  </si>
  <si>
    <t>FIN-FSCM-TRM-TM-AC</t>
  </si>
  <si>
    <t>Translation correction: DTEL VVJNACHR, SRT1 FVW4 0130</t>
  </si>
  <si>
    <t>FIN-FSCM-TRM-TM-HM</t>
  </si>
  <si>
    <t>Exposure and Hedge</t>
  </si>
  <si>
    <t>Corrections regarding usability of Exposure Management</t>
  </si>
  <si>
    <t>FIN-FSCM-TRM-TM-TR</t>
  </si>
  <si>
    <t>Transaction Mgmt</t>
  </si>
  <si>
    <t>RFDWZFF0: existing rate in ATRAS is overwritten II</t>
  </si>
  <si>
    <t>FS-BP</t>
  </si>
  <si>
    <t>BP_CVI: Check report for checking CVI Customizing</t>
  </si>
  <si>
    <t>BP_CVI: Incorrect messages about county code (CVI_API-001)</t>
  </si>
  <si>
    <t>BP_ARC: BP archiving terminatn SAPSQL_NO_DBTAB_OR_VIEW</t>
  </si>
  <si>
    <t>BP_TRE: TRGP with set NO_CONV can be selected in input help</t>
  </si>
  <si>
    <t>BP_CVI: Checking "Last key date" for values in the future</t>
  </si>
  <si>
    <t>BP_CVI: Message "Enter the external customer number"</t>
  </si>
  <si>
    <t>RASIMUxx/RAKOPLxx: Performance problems for simulatd projcts</t>
  </si>
  <si>
    <t>IM-FA-IA</t>
  </si>
  <si>
    <t>Appropriation Req.</t>
  </si>
  <si>
    <t>Appropriation request: Error when calling plan values</t>
  </si>
  <si>
    <t>No revenue planning possible with ECP calculation</t>
  </si>
  <si>
    <t>Incorr text in srch help for appropriation requests/variants</t>
  </si>
  <si>
    <t>Downgrading poss despite connectn to appropriation request</t>
  </si>
  <si>
    <t>BAPI_APPREQUEST_GETDETAIL: Unjustified error AO 394</t>
  </si>
  <si>
    <t>Update termination when deleting project or WBS element</t>
  </si>
  <si>
    <t>IM-FA-IE</t>
  </si>
  <si>
    <t>Investment Orders</t>
  </si>
  <si>
    <t>Unjustified error message CJ824 or 00058 when creating AuC</t>
  </si>
  <si>
    <t>IM-FA-IP</t>
  </si>
  <si>
    <t>Investment Program</t>
  </si>
  <si>
    <t>IM52/IM53: Unjustified error GP 141</t>
  </si>
  <si>
    <t>No currency transfer using IM25 / RAIM_GEN_FROM_HIER</t>
  </si>
  <si>
    <t>Monitor Availability Control for Investment Programs</t>
  </si>
  <si>
    <t>IM52: Incorr conversn of overall budget with remainder conv</t>
  </si>
  <si>
    <t>Performance improvement in depreciatn simulatn for projects</t>
  </si>
  <si>
    <t>Actual/residual order plan of production orders missing</t>
  </si>
  <si>
    <t>BORGR/VL60 Batch is deleted after saving</t>
  </si>
  <si>
    <t>BORGR/VL60 Duplicate creation of the same inbound delivery</t>
  </si>
  <si>
    <t>TVLK Text determination procedure (TXTPR) has a fix value 05</t>
  </si>
  <si>
    <t>Textsymbols missing in VL32N</t>
  </si>
  <si>
    <t>Technical prerequisites for SAP Note 1662942</t>
  </si>
  <si>
    <t>BORGR: Cancellation of service subitems incomplete</t>
  </si>
  <si>
    <t>VL60/BORGR: Function keys missing when changing the profile</t>
  </si>
  <si>
    <t>IS-A-JIT</t>
  </si>
  <si>
    <t>Just-In-Time Processing</t>
  </si>
  <si>
    <t>IS-A-JIT-SMO</t>
  </si>
  <si>
    <t>SUMJC</t>
  </si>
  <si>
    <t>IS-A-LMN</t>
  </si>
  <si>
    <t>Long Material Number</t>
  </si>
  <si>
    <t>LAMA Maintenance for EhP6</t>
  </si>
  <si>
    <t>Technical prerequisite for Note 1629215</t>
  </si>
  <si>
    <t>Technical prerequisite for Note 1632932</t>
  </si>
  <si>
    <t>Technical prerequisite for the Note 1639357</t>
  </si>
  <si>
    <t>Technical prerequisite for Note 1644156</t>
  </si>
  <si>
    <t>IS Aerospace&amp;Defense</t>
  </si>
  <si>
    <t>Technical note for DIMP SPAU in layer SAP_APPL: EHP2-EHP5</t>
  </si>
  <si>
    <t>IS-ADEC-BOQ</t>
  </si>
  <si>
    <t>Bill of Quantity</t>
  </si>
  <si>
    <t>IS-ADEC-ETM</t>
  </si>
  <si>
    <t>Constr. Equipment</t>
  </si>
  <si>
    <t>My Dummy Note</t>
  </si>
  <si>
    <t>IS-ADEC-GPD</t>
  </si>
  <si>
    <t>Group.,Pegg.,Distr.</t>
  </si>
  <si>
    <t>GPD 4.71+: Recursive WBS check in GRM5 and GRM6</t>
  </si>
  <si>
    <t>Extension of SAP note 170819 to EhP4 and Above (ECC-DIMP)</t>
  </si>
  <si>
    <t>GPD600+: GRM3/4 performance improvement</t>
  </si>
  <si>
    <t>IS-ADEC-MEB</t>
  </si>
  <si>
    <t>Maintenance Event Bu</t>
  </si>
  <si>
    <t>IW28: Copying dates from revision during assignment</t>
  </si>
  <si>
    <t>IS-ADEC-PRM</t>
  </si>
  <si>
    <t>Preventive Maintenance</t>
  </si>
  <si>
    <t>IS-ADEC-PRM-TL</t>
  </si>
  <si>
    <t>Maintenance Task Lis</t>
  </si>
  <si>
    <t>IA05:Customer specific subscreen for tasklists not visible</t>
  </si>
  <si>
    <t>Technical prerequisite for Note 1637341</t>
  </si>
  <si>
    <t>Technical prerequisite for Note 1666852</t>
  </si>
  <si>
    <t>IS-CWM</t>
  </si>
  <si>
    <t>Catch Weight Mgmnt</t>
  </si>
  <si>
    <t>IS-DFS</t>
  </si>
  <si>
    <t>Industry-Spec. Comp. Defense Forces and Public Security</t>
  </si>
  <si>
    <t>IS-DFS-PM</t>
  </si>
  <si>
    <t>IS-DFS-PM-DIS</t>
  </si>
  <si>
    <t>Distr. Maintenance</t>
  </si>
  <si>
    <t>Technical prerequisite for Note 1648749</t>
  </si>
  <si>
    <t>IS-H</t>
  </si>
  <si>
    <t>Industry-Specific Component Hospital</t>
  </si>
  <si>
    <t>IS-H-PA</t>
  </si>
  <si>
    <t>Patient Accounting</t>
  </si>
  <si>
    <t>IS-H Neue Preisfindungsbedingung und Formeln für FR</t>
  </si>
  <si>
    <t>Industry-Specific Component Mill Products</t>
  </si>
  <si>
    <t>Inventory: inkonsistence of the SUB after posting (techn.)</t>
  </si>
  <si>
    <t>IS-MP-NF</t>
  </si>
  <si>
    <t>Non-Ferrous Metal</t>
  </si>
  <si>
    <t>IS-MP-SD</t>
  </si>
  <si>
    <t>Sales and Distrib.</t>
  </si>
  <si>
    <t>Erroneous VBUP record is created when user changes item nb</t>
  </si>
  <si>
    <t>Enhancement for IS-OIL Credit Management- rvkred07</t>
  </si>
  <si>
    <t>IS-OIL-DS-HPM</t>
  </si>
  <si>
    <t>Hydrocarbon Product</t>
  </si>
  <si>
    <t>Enhancement point in FV50PFLP_LIPS_PRUEFEN for IS-Oil HPM</t>
  </si>
  <si>
    <t>IS-OIL-DS-TAS</t>
  </si>
  <si>
    <t>Terminal Auto. Syst.</t>
  </si>
  <si>
    <t>Syntax error in ES_FV50XF0B_BELEG_SICHERN</t>
  </si>
  <si>
    <t>IS-PRS</t>
  </si>
  <si>
    <t>Professional Services</t>
  </si>
  <si>
    <t>IS-PRS-LS</t>
  </si>
  <si>
    <t>Lean Staffing</t>
  </si>
  <si>
    <t>Documentation correction for IMG - Activate SD Functions</t>
  </si>
  <si>
    <t>ARTMAS: Object links from article to IDoc missing</t>
  </si>
  <si>
    <t>MM42: Deleting the tax classification does not work</t>
  </si>
  <si>
    <t>ARTMAS: Maintaining incorrect main EANs for units of measure</t>
  </si>
  <si>
    <t>MM42: Delete storage bin description &amp; main storage location</t>
  </si>
  <si>
    <t>BAPI: MAMT/WLK2 overwritten with data from generic article</t>
  </si>
  <si>
    <t>MM_MATNR: Memory problems for large amt of material numbers</t>
  </si>
  <si>
    <t>Error M3 019 in required field for purchasing tax indicator</t>
  </si>
  <si>
    <t>Forecast values are incorrect when transferring</t>
  </si>
  <si>
    <t>No error message for incorrect check digit for UPC-E</t>
  </si>
  <si>
    <t>RWBE: Incorrect quantity displayed for alternative units</t>
  </si>
  <si>
    <t>MM42: Error after changing order unit</t>
  </si>
  <si>
    <t>BAPI: Error MK 011 when changing several articles</t>
  </si>
  <si>
    <t>MM41: Error MH 060 when creating generic articles</t>
  </si>
  <si>
    <t>IS-R-BD-LST</t>
  </si>
  <si>
    <t>Listing</t>
  </si>
  <si>
    <t>ASSORTMENT_AUTO_LOCAL: Generic article not correctly listed</t>
  </si>
  <si>
    <t>IS-R-BD-PCT</t>
  </si>
  <si>
    <t>Pricecatalogue</t>
  </si>
  <si>
    <t>IS-R-BD-PCT-IN</t>
  </si>
  <si>
    <t>Pricecatalogue Inbou</t>
  </si>
  <si>
    <t>WER: VEP applications cannot be copied after EHP5 upgrade</t>
  </si>
  <si>
    <t>Unable to delete partially copied pricat rule application</t>
  </si>
  <si>
    <t>[GDS] Rule Engine: Performance Simple Mappings</t>
  </si>
  <si>
    <t>[GDS] Rule Engine: Performance get_item_md_from_storage</t>
  </si>
  <si>
    <t>WRF1-KOPRO: First character used for WRS1-KOPRO</t>
  </si>
  <si>
    <t>Report title RWBTRAIM</t>
  </si>
  <si>
    <t>Full Table Scan if WRF6 or KLAH entries are missing</t>
  </si>
  <si>
    <t>Site assortment description is not changed</t>
  </si>
  <si>
    <t>Adding a vendor to the profile. WBTI does not create an LFA1</t>
  </si>
  <si>
    <t>WRF1_DATASET_CHECK: Initial value check for date</t>
  </si>
  <si>
    <t>IS-R-IFC-IN</t>
  </si>
  <si>
    <t>POS Interface, Inb.</t>
  </si>
  <si>
    <t>WPUBON processing ignores error message WP035</t>
  </si>
  <si>
    <t>WPLST messages are not cleared even after IDOC is archived</t>
  </si>
  <si>
    <t>AB: Incorrect posting value of field subtotal 4</t>
  </si>
  <si>
    <t>RDMMAN: Combination of article and store outside of validity</t>
  </si>
  <si>
    <t>WRP1: Error WT 134 during parallel run</t>
  </si>
  <si>
    <t>IS-R-LG</t>
  </si>
  <si>
    <t>Merchandise Logistics</t>
  </si>
  <si>
    <t>IS-R-LG-GR</t>
  </si>
  <si>
    <t>Error while collapsing Sub-Items in MIGO</t>
  </si>
  <si>
    <t>IS-R-LG-IM</t>
  </si>
  <si>
    <t>Performance: Transaction WBF1  Stock Overview for Empties</t>
  </si>
  <si>
    <t>Change field 'Shipping point' to multiple selection in WBF2</t>
  </si>
  <si>
    <t>IS-R-PUR-PLW</t>
  </si>
  <si>
    <t>Planning Workbench</t>
  </si>
  <si>
    <t>WWP1: Error RPUGEN006 when trying to save a purchase order</t>
  </si>
  <si>
    <t>WWP1: Error "Node Key already exists" when saving new PO</t>
  </si>
  <si>
    <t>SBWP: IDOC disappears after back from IDOC detail screen</t>
  </si>
  <si>
    <t>LE-IDW</t>
  </si>
  <si>
    <t>Decentr. WMS Integr.</t>
  </si>
  <si>
    <t>Dely item is distribution-relevant/non-distribution (2)</t>
  </si>
  <si>
    <t>LE-IDW-CEN</t>
  </si>
  <si>
    <t>Central Processing</t>
  </si>
  <si>
    <t>Lock Entries in Central System with Decentr WM scenario</t>
  </si>
  <si>
    <t>Delivery split fails due to locking error</t>
  </si>
  <si>
    <t>SHP_OBDLV_SAVE_REPLICA: wrong text lines sorting</t>
  </si>
  <si>
    <t>LE-IDW-DEC</t>
  </si>
  <si>
    <t>Local Operations</t>
  </si>
  <si>
    <t>Invalid TIMESTAMP_UTC on daylight saving time</t>
  </si>
  <si>
    <t>Extended Warehouse</t>
  </si>
  <si>
    <t>VL 599 issued during Rough Goods Receipt (VL41)</t>
  </si>
  <si>
    <t>Queue not restarted automatically after error message CO 469</t>
  </si>
  <si>
    <t>Automatic queue restart mechanism is not triggered</t>
  </si>
  <si>
    <t>Stock units of measure in ERP delivery not transferred</t>
  </si>
  <si>
    <t>Packed delivery items and consignment stock</t>
  </si>
  <si>
    <t>Lean Kit-to-order not considered with non stock item</t>
  </si>
  <si>
    <t>Delivery split from decentral system fails in central system</t>
  </si>
  <si>
    <t>LE-IEW-X</t>
  </si>
  <si>
    <t>Cross-Application</t>
  </si>
  <si>
    <t>EWM: No delivery packaging items for APM in X-HUs</t>
  </si>
  <si>
    <t>/SPE/V_PP_DLV_TY: Mat. Staging with SO stock / Proj. Stock</t>
  </si>
  <si>
    <t>Creation of EWM control cycle with template</t>
  </si>
  <si>
    <t>LM03 : Error when processing several TO items in the same SU</t>
  </si>
  <si>
    <t>with button F7 NBIN the cursor is not set on the Verify Bin</t>
  </si>
  <si>
    <t>cannot enter bulk storage unit when confirming TO with sort</t>
  </si>
  <si>
    <t>User exit screen title is defaulted to SAP or SAP/R3</t>
  </si>
  <si>
    <t>F2CLEAR button clears the non bulk storage or handling unit</t>
  </si>
  <si>
    <t>ITSMOBILE LM00 multiple login issue</t>
  </si>
  <si>
    <t>LM50 does not display sorted inventory documents</t>
  </si>
  <si>
    <t>confirm TO and wrong destination bin if differences are used</t>
  </si>
  <si>
    <t>VL03N:Field Label "Outbnd Deliv Gp" not translated in German</t>
  </si>
  <si>
    <t>SAP Enhancement options for Industry Solutions</t>
  </si>
  <si>
    <t>Immediate order: unexpected sequence of delivery items</t>
  </si>
  <si>
    <t>Production order not created for immediate order using BAPI</t>
  </si>
  <si>
    <t>VKM1: Data inconsistencies after releasing deliveries</t>
  </si>
  <si>
    <t>Incorrect determination of delivery group in VL02N and BAPI</t>
  </si>
  <si>
    <t>Error analysis with regard to modifications to credit values</t>
  </si>
  <si>
    <t>Error message VL 061 not on batch split screen</t>
  </si>
  <si>
    <t>VL06U/VL10U: Requirements of deleted items remain</t>
  </si>
  <si>
    <t>VL06U/VL10U: Order/purchase order only partially updated</t>
  </si>
  <si>
    <t>Message VL302 when reversing SIT posting using VLPOD</t>
  </si>
  <si>
    <t>BAPI_DELIVERYPROCESSING_EXEC: SIT indicator is not set</t>
  </si>
  <si>
    <t>Message M7152 when canceling an SIT posting using VL09</t>
  </si>
  <si>
    <t>Error message M7264 during SIT postings in transaction VLPOD</t>
  </si>
  <si>
    <t>User exit: Changeability of texts in the delivery</t>
  </si>
  <si>
    <t>RVV05IVB: Billed deliveries remain in the billing index</t>
  </si>
  <si>
    <t>SHP_DELIVERY_COMPLETE: Error message if nothing is selected</t>
  </si>
  <si>
    <t>LE-SHP-DL-BD</t>
  </si>
  <si>
    <t>Batch Determination</t>
  </si>
  <si>
    <t>Unit of weight in main item lost after batch determination</t>
  </si>
  <si>
    <t>Misleading display of expiration date/date of manufacture</t>
  </si>
  <si>
    <t>UoW in main item lost after batch determination (2)</t>
  </si>
  <si>
    <t>Long runtime when you delete batch split items</t>
  </si>
  <si>
    <t>LE-SHP-DL-CP</t>
  </si>
  <si>
    <t>CollectiveProcessing</t>
  </si>
  <si>
    <t>VL10: Message AG 602 not in collective processing log</t>
  </si>
  <si>
    <t>BAPI_OUTB_DELIVERY_CREATE_STO : wrong shipping point</t>
  </si>
  <si>
    <t>BAPI_DELIVERYPROCESSING_EXEC with not delivery relevant BOM</t>
  </si>
  <si>
    <t>Error Message VL 045 in BAPI_OUTB_DELIVERY_CREATE_SLS</t>
  </si>
  <si>
    <t>LE-SHP-DL-LA</t>
  </si>
  <si>
    <t>Inbound Delivery</t>
  </si>
  <si>
    <t>SPED: You can create an inbound deliv. despite an error msg.</t>
  </si>
  <si>
    <t>Timely consumption: GR via inbound del. to HU/WM stor. loc.</t>
  </si>
  <si>
    <t>Incorrect quantity calculation for subcontracting components</t>
  </si>
  <si>
    <t>Error message VLSC102 by changing quantity of SC components</t>
  </si>
  <si>
    <t>Incompletion log cannot be displayed (3)</t>
  </si>
  <si>
    <t>Shortdump: Deletion inbound del. with subcontr. components</t>
  </si>
  <si>
    <t>M7042 when generating inbound deliveries with output SPED</t>
  </si>
  <si>
    <t>Valuation type check in a two-step stock transfer process</t>
  </si>
  <si>
    <t>Batch split and empties for an inbound delivery</t>
  </si>
  <si>
    <t>Error message VL 680 for delivery items without material</t>
  </si>
  <si>
    <t>Generated packaging items relevant for distr.in inb.delivery</t>
  </si>
  <si>
    <t>LE-SHP-DL-MOV</t>
  </si>
  <si>
    <t>Delivery Creation fo</t>
  </si>
  <si>
    <t>Inconsistency after changing ST storage location in delivery</t>
  </si>
  <si>
    <t>SIT:Issue with field SITKZ in function "Deliver Sales Order"</t>
  </si>
  <si>
    <t>SIT: Unwanted delivery split for item w/o  movement type</t>
  </si>
  <si>
    <t>VLMOVE by using movment type 313: error VLMOVE012 raised</t>
  </si>
  <si>
    <t>Automatic POD confirmation despite difference quantities</t>
  </si>
  <si>
    <t>LE-SHP-DL-RM</t>
  </si>
  <si>
    <t>Reporting/Monitoring</t>
  </si>
  <si>
    <t>WS_MONITOR_OUTB_DEL_GDSI job: error message not in the spool</t>
  </si>
  <si>
    <t>Delivery group creation via VL06P and RV_SAMMG number range</t>
  </si>
  <si>
    <t>Stock transport order: Msg. 06 855 for empty shipping point</t>
  </si>
  <si>
    <t>MIGO: Performance prob. for PGRs w/ref to replenishment del.</t>
  </si>
  <si>
    <t>Error HUDIALOG 095 when packing returns delivery SOBKZ = E</t>
  </si>
  <si>
    <t>Delivery of item overview: Documentary batch</t>
  </si>
  <si>
    <t>Incorrect msg VL009 during TO creation via transaction LT0S</t>
  </si>
  <si>
    <t>LE-SHP-GF-AC</t>
  </si>
  <si>
    <t>Availability control</t>
  </si>
  <si>
    <t>ATP Underconfirmations with parallel VL10 tasks</t>
  </si>
  <si>
    <t>LE-SHP-GF-AR</t>
  </si>
  <si>
    <t>Archiving Delivery</t>
  </si>
  <si>
    <t>Improved display of archived deliveries</t>
  </si>
  <si>
    <t>LE-SHP-GF-DS</t>
  </si>
  <si>
    <t>Delivery scheduling</t>
  </si>
  <si>
    <t>Scheduling: material availability date in wrong timezone</t>
  </si>
  <si>
    <t>LE-SHP-GF-EDI</t>
  </si>
  <si>
    <t>EDI/ALE Delivery</t>
  </si>
  <si>
    <t>BAPI_OUTB_DELIVERY_CREATE_STO: wrong UoM conversion (II)</t>
  </si>
  <si>
    <t>E1EDL22-VKORG_BEZ: Field is not filled for DESADV Idoc</t>
  </si>
  <si>
    <t>LE-SHP-GF-ES</t>
  </si>
  <si>
    <t>Read service outbound del: Eligibility of order comb incorr.</t>
  </si>
  <si>
    <t>InboundDeliveryCreateRequest_In: No delivery number returned</t>
  </si>
  <si>
    <t>LE-SHP-GF-OC</t>
  </si>
  <si>
    <t>Output Determination</t>
  </si>
  <si>
    <t>Program SDADDN02: PDF/Smartform Form not found</t>
  </si>
  <si>
    <t>LD00: Sales organisation not filled in case of PDF output</t>
  </si>
  <si>
    <t>LD00: Needless pop-up when selecting preview of PDF</t>
  </si>
  <si>
    <t>CX_SY_DYN_CALL_ILLEGAL_FUNC dump with PDF form name (2)</t>
  </si>
  <si>
    <t>Adobe: PDF based forms in Norwegian language</t>
  </si>
  <si>
    <t>LE-SHP-GF-RS</t>
  </si>
  <si>
    <t>Route Scheduling</t>
  </si>
  <si>
    <t>Missing authorization check in Route Scheduling</t>
  </si>
  <si>
    <t>LE-SHP-GF-SR</t>
  </si>
  <si>
    <t>Serial Numbers Deliv</t>
  </si>
  <si>
    <t>Stock determination with serial numbers (PM_PARTNER_UPDATE)</t>
  </si>
  <si>
    <t>Post GR with reference to repl. del. by MIGO: Qty. doubled</t>
  </si>
  <si>
    <t>Incorrect document flow of a subcontracted inbound delivery</t>
  </si>
  <si>
    <t>Assigned return dely posts goods issue w/o mat.doc.in SIT</t>
  </si>
  <si>
    <t>Error message VL634 for VL09 reversal of an assigned item</t>
  </si>
  <si>
    <t>LE-SHP-PA</t>
  </si>
  <si>
    <t>Packing</t>
  </si>
  <si>
    <t>Copy Pack Quantities as Delivery Quantities</t>
  </si>
  <si>
    <t>LE-SHP-PI</t>
  </si>
  <si>
    <t>Picking</t>
  </si>
  <si>
    <t>LT12: Shelf Life Expiration Date incorrectly updated</t>
  </si>
  <si>
    <t>'Copy Pack Quantities As Dlv. Quantities' and Picking Block</t>
  </si>
  <si>
    <t>LE-TRA-FC</t>
  </si>
  <si>
    <t>Transport Freight Processing</t>
  </si>
  <si>
    <t>LE-TRA-FC-CAL</t>
  </si>
  <si>
    <t>Freight Cost Calcula</t>
  </si>
  <si>
    <t>Shipment cost document: Incorrect condition basis</t>
  </si>
  <si>
    <t>E1ADRM4-E_MAIL not populated</t>
  </si>
  <si>
    <t>IDoc SHPMNT05 segment E1ADRM6 without e-mail address</t>
  </si>
  <si>
    <t>IDOC inbound SHMNT05 - change shipment</t>
  </si>
  <si>
    <t>Segment enhancement segment type E1EDT20, IDoc type SHPMNTxx</t>
  </si>
  <si>
    <t>Sequencing problem with delivery: Shipment with EWM</t>
  </si>
  <si>
    <t>VII029: Subsequent corr. to SAP Note 1665773 - Shipment IDoc</t>
  </si>
  <si>
    <t>LE-TRA-TP</t>
  </si>
  <si>
    <t>Transportation Planning and Processing</t>
  </si>
  <si>
    <t>LE-TRA-TP-CAR</t>
  </si>
  <si>
    <t>Transportation Carri</t>
  </si>
  <si>
    <t>Handling units displayed incorrectly in VT33</t>
  </si>
  <si>
    <t>Update getting terminated while saving shipment in VT33</t>
  </si>
  <si>
    <t>LE-TRA-TP-OC</t>
  </si>
  <si>
    <t>Output Control</t>
  </si>
  <si>
    <t>Shipment output is executed for all the shipments in VT33</t>
  </si>
  <si>
    <t>LE-TRA-TP-PR</t>
  </si>
  <si>
    <t>Shipment Processing</t>
  </si>
  <si>
    <t>VT03N View Archive Shipment, missing forwarding agent name</t>
  </si>
  <si>
    <t>The error from exit EXIT_SAPLV56F_011 not shown in VT06</t>
  </si>
  <si>
    <t>LE-TRA-TP-RM</t>
  </si>
  <si>
    <t>Reporting / Monitori</t>
  </si>
  <si>
    <t>Missing shipments in VT19</t>
  </si>
  <si>
    <t>LE-TRA-TP-TS</t>
  </si>
  <si>
    <t>Time Segment</t>
  </si>
  <si>
    <t>In VT33, the dialog box for fast entry is not displayed</t>
  </si>
  <si>
    <t>LE-TRA-TPS</t>
  </si>
  <si>
    <t>Transportation Plann</t>
  </si>
  <si>
    <t>Additional leg created during SHIPPL idoc processing</t>
  </si>
  <si>
    <t>Manual assignment of deliveries to stages incorrect</t>
  </si>
  <si>
    <t>LE-TRA-XSI</t>
  </si>
  <si>
    <t>Express ship carrier</t>
  </si>
  <si>
    <t>Collective processing of parcel tracking is incorrect</t>
  </si>
  <si>
    <t>Long runtime to access database table T300T</t>
  </si>
  <si>
    <t>Standard storage location features lost if statistics active</t>
  </si>
  <si>
    <t>LE-WM-BIN</t>
  </si>
  <si>
    <t>SBL inventory</t>
  </si>
  <si>
    <t>Inventory document activated message not displayed</t>
  </si>
  <si>
    <t>LE-WM-GF</t>
  </si>
  <si>
    <t>LE-WM-GF-OC</t>
  </si>
  <si>
    <t>Posting Change transfer order does not have the BARCODE</t>
  </si>
  <si>
    <t>LE-WM-IFC</t>
  </si>
  <si>
    <t>Bad performance during collective goods movement postings</t>
  </si>
  <si>
    <t>Handling unit contains HUM and non-HUM items</t>
  </si>
  <si>
    <t>LI21 Ignores the number of items set for a material document</t>
  </si>
  <si>
    <t>LT0G - Return of stock to warehouse bins with storage units</t>
  </si>
  <si>
    <t>LE-WM-MD</t>
  </si>
  <si>
    <t>EWM: Prerequisite for warehouse KPIs with proof of delivery</t>
  </si>
  <si>
    <t>LE-WM and EWM: Migration and integration - Decimal format</t>
  </si>
  <si>
    <t>LE-WM-TFM</t>
  </si>
  <si>
    <t>Warehouse Movements</t>
  </si>
  <si>
    <t>Poor performance with LT0H/LT0I</t>
  </si>
  <si>
    <t>Issue with storage type search help in palletization screen</t>
  </si>
  <si>
    <t>Storage type search help during stock removal</t>
  </si>
  <si>
    <t>No delivery update during TO creation</t>
  </si>
  <si>
    <t>Short dump occurs during TO confirmation or cancellation</t>
  </si>
  <si>
    <t>LE-WM-TFM-PP</t>
  </si>
  <si>
    <t>WM-PP-Interface</t>
  </si>
  <si>
    <t>Identical accesses on TR tables cause performance issues</t>
  </si>
  <si>
    <t>Doubled quantities when staging using deliveries</t>
  </si>
  <si>
    <t>Batch determination with Release of Process/Production Order</t>
  </si>
  <si>
    <t>LE-WM-TFM-RP</t>
  </si>
  <si>
    <t>Replenishment</t>
  </si>
  <si>
    <t>LP24 -  Does not consider open transfer orders</t>
  </si>
  <si>
    <t>LE-WM-TFM-TR</t>
  </si>
  <si>
    <t>Transfer Requirement</t>
  </si>
  <si>
    <t>Goods receipt cancellation ends with new TR and open TR itms</t>
  </si>
  <si>
    <t>CPE conditions are not archived</t>
  </si>
  <si>
    <t>AB: Incorrect posting against clearing account with tax</t>
  </si>
  <si>
    <t>Retry of invoice message processing terminates</t>
  </si>
  <si>
    <t>AB: Transfer class in transfer manager is ignored</t>
  </si>
  <si>
    <t>AB: Incorrect transfer of external conditions</t>
  </si>
  <si>
    <t>AB: Unnecessary split in tax lines in FI</t>
  </si>
  <si>
    <t>Central billing in InvoiceRequest_In_V1</t>
  </si>
  <si>
    <t>Change of bill. typ "settl req list" for settl req lists</t>
  </si>
  <si>
    <t>AB: ODN determination for FI-CA</t>
  </si>
  <si>
    <t>AB: Price unit of measure is not transferred correctly</t>
  </si>
  <si>
    <t>AB: Incorrect posting status in parked settlement request</t>
  </si>
  <si>
    <t>AB: Field status check incomplete</t>
  </si>
  <si>
    <t>AB: Messages on saving customer settlement</t>
  </si>
  <si>
    <t>BAPI WLF_INVOICE_CHANGE_FROM_DATA generates error</t>
  </si>
  <si>
    <t>Error message for vendor billing doc because ODN is active</t>
  </si>
  <si>
    <t>AB: Entry in the next screen control is missing</t>
  </si>
  <si>
    <t>AB: Checking FI posting period in Agency Business</t>
  </si>
  <si>
    <t>AB: Intercompany billing without partners</t>
  </si>
  <si>
    <t>Number of the cancellation invoice is not mapped correctly</t>
  </si>
  <si>
    <t>Supplier invoice created as agency business document</t>
  </si>
  <si>
    <t>WZRE, WS 241, Different Date at header/indiv. document level</t>
  </si>
  <si>
    <t>TM integration</t>
  </si>
  <si>
    <t>AB: Lost manual remuneration list conditions</t>
  </si>
  <si>
    <t>Completing customer settlements</t>
  </si>
  <si>
    <t>Error when determining value for cash management</t>
  </si>
  <si>
    <t>Settlement status items when changing posting partner</t>
  </si>
  <si>
    <t>AB: Status not visible in the case of a cancellation</t>
  </si>
  <si>
    <t>correction of note 1524426</t>
  </si>
  <si>
    <t>AB: Incorrect check of the settlement partner</t>
  </si>
  <si>
    <t>AB: Memory consumption on archiving SRL or Posting Lists</t>
  </si>
  <si>
    <t>AB: Creation with reference to change customer</t>
  </si>
  <si>
    <t>AB: Authorization check during list output</t>
  </si>
  <si>
    <t>AB: Authority check on cancellation with reference</t>
  </si>
  <si>
    <t>AB: Creation of settlement document using worklist</t>
  </si>
  <si>
    <t>AB: Item Partners not transferred correctly</t>
  </si>
  <si>
    <t>AB: Posting accrual reversal not possible</t>
  </si>
  <si>
    <t>AB: Errors in condition transfer</t>
  </si>
  <si>
    <t>AB: Transfer manager cannot be called from BAdIs</t>
  </si>
  <si>
    <t>AB: Process lock is reset too soon</t>
  </si>
  <si>
    <t>AB: Profit center is overwritten</t>
  </si>
  <si>
    <t>AB: Redetermination of the CO-PA object number</t>
  </si>
  <si>
    <t>AB:  Remuneration list reversal with posting status I</t>
  </si>
  <si>
    <t>AB: Settlement request list quantity has been cleared</t>
  </si>
  <si>
    <t>Completing reversal for reversal</t>
  </si>
  <si>
    <t>AB: BAdI wlf_change_after_accounting is not called</t>
  </si>
  <si>
    <t>LO-AB-CA</t>
  </si>
  <si>
    <t>Distribution</t>
  </si>
  <si>
    <t>Dump in SOA service InvoiceRequest_In_V1</t>
  </si>
  <si>
    <t>LO-AB-II</t>
  </si>
  <si>
    <t>Incoming Invoices</t>
  </si>
  <si>
    <t>AB: Error during creation of settlement request lists</t>
  </si>
  <si>
    <t>LO-AB-RS</t>
  </si>
  <si>
    <t>Remuneration Settl.</t>
  </si>
  <si>
    <t>AB: Expenses settlement with clearing account</t>
  </si>
  <si>
    <t>AB: Update indicator taken into account incorrectly</t>
  </si>
  <si>
    <t>AB: Vendor billing document for materials w/ acct assignment</t>
  </si>
  <si>
    <t>AB: Incorrect valuation of Customizing</t>
  </si>
  <si>
    <t>AB: Error during condition transfer using API methods</t>
  </si>
  <si>
    <t>MESSAGE_TYPE_X during WM-PP delivery creation</t>
  </si>
  <si>
    <t>Create a returns order with reference: no BAdI in place</t>
  </si>
  <si>
    <t>ARM: Kurztexte für Werk und Material werden nicht angezeigt</t>
  </si>
  <si>
    <t>rO: immediately move to free available stock and WM</t>
  </si>
  <si>
    <t>inspection in warehouse: dump when try to save and confirm</t>
  </si>
  <si>
    <t>MSR_CRD: Split items not selected after inspection by vendor</t>
  </si>
  <si>
    <t>Inspection at Customer: Logistical Follow-Up incomplete</t>
  </si>
  <si>
    <t>Wrong split display when inspection is confirmed in EWM</t>
  </si>
  <si>
    <t>Advanced Returns:Billing document assigned to wrong sequence</t>
  </si>
  <si>
    <t>VA02: rejection of an rO item deletes all comments</t>
  </si>
  <si>
    <t>inspection: default value for refund code not considered</t>
  </si>
  <si>
    <t>ARM: Missing attribute in Customizing view</t>
  </si>
  <si>
    <t>rejected rO item: error because of inspection code</t>
  </si>
  <si>
    <t>Processing status after rejection of returns order (2)</t>
  </si>
  <si>
    <t>Advanced Returns Management: Serial numbers</t>
  </si>
  <si>
    <t>You cannot create a CMR or SDF w/ ref. if ARM2 not activated</t>
  </si>
  <si>
    <t>SACC2 Maintenance EhP6</t>
  </si>
  <si>
    <t>LO-ARM-MM</t>
  </si>
  <si>
    <t>ARM: Short dump ASSERTION_FAILED</t>
  </si>
  <si>
    <t>LO-ARM-SD</t>
  </si>
  <si>
    <t>Creating billing document using IDoc: Item texts missing</t>
  </si>
  <si>
    <t>BAdI CHANGE_RETURN_DATA: Schedule lines not updated</t>
  </si>
  <si>
    <t>ARM: Problems when reading material master (MAEPV)</t>
  </si>
  <si>
    <t>MIGO: Message M3682 during goods movement to same batch</t>
  </si>
  <si>
    <t>LO-BM-AI</t>
  </si>
  <si>
    <t>Active Ingredients</t>
  </si>
  <si>
    <t>QA11: Transaction code of price change missing in FI doc</t>
  </si>
  <si>
    <t>LO-BM-BC</t>
  </si>
  <si>
    <t>Batch Specification</t>
  </si>
  <si>
    <t>MB1C: Error message CL518 is incomprehensible</t>
  </si>
  <si>
    <t>LO-BM-BD</t>
  </si>
  <si>
    <t>Stock determination returns incorrect result for batches</t>
  </si>
  <si>
    <t>Incorrect ATP quantity for several storage locations</t>
  </si>
  <si>
    <t>Batch determination determines incorrect batches</t>
  </si>
  <si>
    <t>Batch determination with EWM and remaining shelf life calc.</t>
  </si>
  <si>
    <t>LOBM_COUNTRY_xxx does not work with LOBM_CUSTOMER_xxx</t>
  </si>
  <si>
    <t>Display batch determination: Incorrect selection criteria</t>
  </si>
  <si>
    <t>Error message LB046 during quantity change in batch split</t>
  </si>
  <si>
    <t>Selection criteria from BOM item not taken into account</t>
  </si>
  <si>
    <t>Batch determination: Too many characteristics excluded</t>
  </si>
  <si>
    <t>EWM: No transfer of char.vals from object dependencies</t>
  </si>
  <si>
    <t>LO-BM-BF</t>
  </si>
  <si>
    <t>Batch classification: Standard classification after GR</t>
  </si>
  <si>
    <t>Batch level can be changed without change authorization</t>
  </si>
  <si>
    <t>LO-BM-BIC</t>
  </si>
  <si>
    <t>Batch Information Co</t>
  </si>
  <si>
    <t>BMBC: Selection variant does not load correctly</t>
  </si>
  <si>
    <t>BMBC: SAPSQL_IN_ITAB_ILLEGAL_OPTION after choosing F8</t>
  </si>
  <si>
    <t>LO-BM-BS</t>
  </si>
  <si>
    <t>Batch Status Mgmt.</t>
  </si>
  <si>
    <t>Transfer posting using MIGO: Initial status not considered</t>
  </si>
  <si>
    <t>MIGO: Cancelation of material doc. not taken into account</t>
  </si>
  <si>
    <t>VBDOCUBATCH119:Confirming transfer order- Putaway qty 4 or 2</t>
  </si>
  <si>
    <t>VBDOCUBATCH119 when confirming transfer ord. w/ ptwy qty 4/2</t>
  </si>
  <si>
    <t>Delivery: Documentary batches of PGRs not displayed</t>
  </si>
  <si>
    <t>Confirming transfer order with split and documentary batches</t>
  </si>
  <si>
    <t>VL02N/VL03N: Documentary batches are not displayed</t>
  </si>
  <si>
    <t>LO-BM-DRV</t>
  </si>
  <si>
    <t>Derivation</t>
  </si>
  <si>
    <t>CORK/CO15: Derivation: Too many senders</t>
  </si>
  <si>
    <t>Missing option for determining sender batches</t>
  </si>
  <si>
    <t>DIMP SDUD: Internal error occurs in GR batch derivation</t>
  </si>
  <si>
    <t>Confirmation invalidates incorrect derivation</t>
  </si>
  <si>
    <t>Performance problem for the derivation</t>
  </si>
  <si>
    <t>LO-BM-DX</t>
  </si>
  <si>
    <t>BAPI_BATCH_SAVE_REPLICA failing when batch is locked</t>
  </si>
  <si>
    <t>IDoc BATMAS03 country of origin or region are not checked</t>
  </si>
  <si>
    <t>LO-BM-INT</t>
  </si>
  <si>
    <t>Transferring deactivation status to SAP SCM again</t>
  </si>
  <si>
    <t>LO-BM-UOM</t>
  </si>
  <si>
    <t>Batch-Specific Units</t>
  </si>
  <si>
    <t>XU058 when changing the batch status (MSC2N)</t>
  </si>
  <si>
    <t>LO-BM-WUL</t>
  </si>
  <si>
    <t>Batch Where-Used Lis</t>
  </si>
  <si>
    <t>MB56/BMBC: Produced quantity is displayed incorrectly</t>
  </si>
  <si>
    <t>MB57 runs endlessly</t>
  </si>
  <si>
    <t>MB5C: Display of batch where-used list not possible</t>
  </si>
  <si>
    <t>LO-CM</t>
  </si>
  <si>
    <t>Configuration Mgmt.</t>
  </si>
  <si>
    <t>Additional status info when deleting configuration baseline</t>
  </si>
  <si>
    <t>LO-ECH</t>
  </si>
  <si>
    <t>ECM</t>
  </si>
  <si>
    <t>Error CC063 during PDR distribution of a BOM</t>
  </si>
  <si>
    <t>CCUNDO: Multiple BOM: Change state gets lost</t>
  </si>
  <si>
    <t>EWB: Component assignment creates incorrect PLMZ entries</t>
  </si>
  <si>
    <t>CA75N: Old validity level must be copied</t>
  </si>
  <si>
    <t>Operation detail:Operation number is missing</t>
  </si>
  <si>
    <t>CEWB: Item is not displayed</t>
  </si>
  <si>
    <t>Dependency where-used list in sequences</t>
  </si>
  <si>
    <t>BAPI_ROUTING_CREATE: Incorrect conversion of PRT</t>
  </si>
  <si>
    <t>Assign document to operation</t>
  </si>
  <si>
    <t>CA85N: Task list status field missing for selection options</t>
  </si>
  <si>
    <t>Text length definition is too short (SAPLCPOV)</t>
  </si>
  <si>
    <t>EWB: Change document not complete when you change task list</t>
  </si>
  <si>
    <t>EWB: Change number during multi-level copying</t>
  </si>
  <si>
    <t>BAPI_HU_REPACK does not returns destination HU EXID</t>
  </si>
  <si>
    <t>SARI : packaging material name not displayed</t>
  </si>
  <si>
    <t>HUCANC : not possible to reverse empty HU</t>
  </si>
  <si>
    <t>humo - incorrect display of selected HUs</t>
  </si>
  <si>
    <t>VT03N Cross HU from Delivery not taken into account</t>
  </si>
  <si>
    <t>SPED failure because of HU items referred twice</t>
  </si>
  <si>
    <t>Different quantity displayed in tree and HU content "tab"</t>
  </si>
  <si>
    <t>LO-HU-IEW</t>
  </si>
  <si>
    <t>EWM HU Integration</t>
  </si>
  <si>
    <t>Reposting of goods movement fails in ERP system</t>
  </si>
  <si>
    <t>Cross delivery HU with incorrect status in EWM</t>
  </si>
  <si>
    <t>HUMO: Short dump when trying to display HU history</t>
  </si>
  <si>
    <t>Error HUSELECT004 prevents inbound delivery update</t>
  </si>
  <si>
    <t>Message HUGENERAL048 is erroneously issued</t>
  </si>
  <si>
    <t>MM_MATNR: Termination with TSV_TNEW_PAGE_ALLOC_FAILED</t>
  </si>
  <si>
    <t>HUPAST might create HUs with missing status information</t>
  </si>
  <si>
    <t>Posting with 309 movement in decentral warehouse incorrect</t>
  </si>
  <si>
    <t>HUPAST - HUGENERAL042 issued as status message</t>
  </si>
  <si>
    <t>syntax errors at execution of FM HU_GET_CALC_TYPE</t>
  </si>
  <si>
    <t>Handling units in outbound delivery available for Repack</t>
  </si>
  <si>
    <t>LO-INT-ESO</t>
  </si>
  <si>
    <t>SAP Sourcing Integr.</t>
  </si>
  <si>
    <t>SAP Sourcing: Document number not in defined number range</t>
  </si>
  <si>
    <t>PReq stores SAP Sourcing GUID in text element</t>
  </si>
  <si>
    <t>Gross price from SAP Sourcing not adopted into Purchase Orde</t>
  </si>
  <si>
    <t>Error BBP_ES_ERP_INT 011 for quantity contracts</t>
  </si>
  <si>
    <t>LO-INT-TM</t>
  </si>
  <si>
    <t>Please use sub-comp.</t>
  </si>
  <si>
    <t>TMS connection of sales order scheduling</t>
  </si>
  <si>
    <t>ERP_TM_III - PLEASE DO NOT RELEASE THIS NOTE YET</t>
  </si>
  <si>
    <t>SOA failure in SAP Transportation Management System</t>
  </si>
  <si>
    <t>TM: Checking Customizing settings in ERP</t>
  </si>
  <si>
    <t>Message control TM integration of extended program check</t>
  </si>
  <si>
    <t>TM: Initial transfer of purchase orders to SAP TM</t>
  </si>
  <si>
    <t>LO-INT-TM-DL</t>
  </si>
  <si>
    <t>Issue of the delivery integration between TM and ERP 6.06</t>
  </si>
  <si>
    <t>LO-INT-TM-IV</t>
  </si>
  <si>
    <t>EDI: Error M8 798 when entering an invoice</t>
  </si>
  <si>
    <t>LO-INT-TM-PUR</t>
  </si>
  <si>
    <t>No TMS integration for STOs created by SAP APO</t>
  </si>
  <si>
    <t>Transportation mode not transferred to TM</t>
  </si>
  <si>
    <t>Delivery Priority of STO not sent to SAP TMS via SOA</t>
  </si>
  <si>
    <t>Partner function in purchase order is not transferred to TM</t>
  </si>
  <si>
    <t>Vendor in delivery address not considered in TM integration</t>
  </si>
  <si>
    <t>LO-INT-TM-SLS</t>
  </si>
  <si>
    <t>Missing SenderBusinessSystemID for SLS message</t>
  </si>
  <si>
    <t>Wrong one time address in TM message of sales order</t>
  </si>
  <si>
    <t>Reparatur IMG-Knoten zur Logistik-Treasury-Integration</t>
  </si>
  <si>
    <t>LO-INT-TRM-PUR</t>
  </si>
  <si>
    <t>Raw exposure Reference ID does not match Ext.Doc.No.</t>
  </si>
  <si>
    <t>LO-INT-TRM-SD</t>
  </si>
  <si>
    <t>Sales &amp; Distribution</t>
  </si>
  <si>
    <t>Negative exposure amount due to invoiced delivery</t>
  </si>
  <si>
    <t>LO-LIS</t>
  </si>
  <si>
    <t>Logistics Information System</t>
  </si>
  <si>
    <t>LO-LIS-DC</t>
  </si>
  <si>
    <t>Data Collection</t>
  </si>
  <si>
    <t>MCSZ: Error when copying with two fiscal year variants</t>
  </si>
  <si>
    <t>LO-LIS-PLN</t>
  </si>
  <si>
    <t>Log for mass processing incorrect for transfer</t>
  </si>
  <si>
    <t>Overlap where period changes</t>
  </si>
  <si>
    <t>Incorrect copy function in MC62</t>
  </si>
  <si>
    <t>MC59: Characteristics are displayed incorrectly</t>
  </si>
  <si>
    <t>MC94: Characteristics displayed incorrectly</t>
  </si>
  <si>
    <t>Incorrect disaggregation in key figure view</t>
  </si>
  <si>
    <t>CSAP: Quantity of variable size item becomes zero</t>
  </si>
  <si>
    <t>CS01/02: G/L Account not defined in company code is added</t>
  </si>
  <si>
    <t>CS02:Var.-size item data:Screen attributes concerning labels</t>
  </si>
  <si>
    <t>BOMMAT: IDoc not send in background w/o GUI</t>
  </si>
  <si>
    <t>CS71 : Check not done for plant and purchasing organization</t>
  </si>
  <si>
    <t>LO-MD-BP</t>
  </si>
  <si>
    <t>LO-MD-BP-CM</t>
  </si>
  <si>
    <t>Customer Master</t>
  </si>
  <si>
    <t>ALE: contact person language is not updated</t>
  </si>
  <si>
    <t>ALE inbound: DEBMAS idocs ignore blank KNVI-TAXKD fields</t>
  </si>
  <si>
    <t>screen group: cannot assign 32 label tab pages</t>
  </si>
  <si>
    <t>Class CL_ERP_CUSTOMER returns incorrect fax number format</t>
  </si>
  <si>
    <t>Enterprise Search: Customer number not returned</t>
  </si>
  <si>
    <t>ALE: Error F2642 raised despite an email is defined.</t>
  </si>
  <si>
    <t>ALE: Integration of Tax Categories raises error 00064</t>
  </si>
  <si>
    <t>Currency saved despite all sales fields are suppressed</t>
  </si>
  <si>
    <t>Consumer creation fails with error F2802 at KNKK insert</t>
  </si>
  <si>
    <t>ALE: 'Country not defined in system message' raised</t>
  </si>
  <si>
    <t>No support of append structure for BAPI_CUSTOMER_GETDETAIL2</t>
  </si>
  <si>
    <t>Additional Data description is not displayed</t>
  </si>
  <si>
    <t>LO-MD-BP-CM-ES</t>
  </si>
  <si>
    <t>Data type not enabled for service QueryCodeList</t>
  </si>
  <si>
    <t>LO-MD-BP-SYN</t>
  </si>
  <si>
    <t>Synchronization Busi</t>
  </si>
  <si>
    <t>Contact persons related data not updated</t>
  </si>
  <si>
    <t>PPO: Internal error - ADDR_VERSION_INSERT call error</t>
  </si>
  <si>
    <t>useless address checks &amp; updates when synchronizing from BP</t>
  </si>
  <si>
    <t>BTE: Contact persons incorrectly flagged as updated</t>
  </si>
  <si>
    <t>MAINTAIN_BAPI: bank country validation raises exception</t>
  </si>
  <si>
    <t>Temporary partner numbers not replaced in partner roles</t>
  </si>
  <si>
    <t>BAdI CMD_ADDITIONAL_LOCKS is SAP-Internal only</t>
  </si>
  <si>
    <t>'BANKL: Is a required entry field'  error message raised</t>
  </si>
  <si>
    <t>Foreign key checks done on Type of Business and Industry</t>
  </si>
  <si>
    <t>Subranges and alternative purchasing data not updated</t>
  </si>
  <si>
    <t>Field value not checked correctly against check table</t>
  </si>
  <si>
    <t>LO-MD-BP-VM</t>
  </si>
  <si>
    <t>Vendor Master</t>
  </si>
  <si>
    <t>WPDTC: Duplicate entries in the evaluation</t>
  </si>
  <si>
    <t>WPDTC: Change pointer for material master</t>
  </si>
  <si>
    <t>Create vendor with purchasing data doesn't work via API</t>
  </si>
  <si>
    <t>Incorrect address data provided to CIF processes</t>
  </si>
  <si>
    <t>MKH1 - Performance and display of customer hierarchy</t>
  </si>
  <si>
    <t>ALE - No batch input data for screen SAPMF02K 0341 - 3</t>
  </si>
  <si>
    <t>Existing contact person not found in several processes</t>
  </si>
  <si>
    <t>Carrier check: vendor has not been created for purchasing</t>
  </si>
  <si>
    <t>'*No Field Text*' displayed for vendor contact persons</t>
  </si>
  <si>
    <t>Missing authorization check in contact persons maintenance</t>
  </si>
  <si>
    <t>Planned change activation raises error F2 126</t>
  </si>
  <si>
    <t>Lack of data returned by data selection function modules</t>
  </si>
  <si>
    <t>Unnecessary message F2661 raised with display transactions</t>
  </si>
  <si>
    <t>WSE1/WSE4: Performance when you set the deletion flag</t>
  </si>
  <si>
    <t>MM06: Incorrect cursor position</t>
  </si>
  <si>
    <t>Purchasing value key: Texts not hidden correctly</t>
  </si>
  <si>
    <t>Return to RMMMBESTN from SA38 does not work</t>
  </si>
  <si>
    <t>BAdI MG_MASS_NEWSEG cannot be implemented multiple times</t>
  </si>
  <si>
    <t>MMSC: Error when you use transaction variants</t>
  </si>
  <si>
    <t>MM17: MBEW previous period fields are not current</t>
  </si>
  <si>
    <t>BAPI/ALE: Incorrect check for material number</t>
  </si>
  <si>
    <t>MATERIAL_MAINTAIN_DIALOGUE:Prog. termination RAISE_EXCEPTION</t>
  </si>
  <si>
    <t>HOME_ULA_APPL: Debugger Scripts</t>
  </si>
  <si>
    <t>MM01/MM02: Screen moves up</t>
  </si>
  <si>
    <t>ALE/BAPI: Fields are not initialized after error MM 302</t>
  </si>
  <si>
    <t>MMPI: Not all stock-relevant tables initialized</t>
  </si>
  <si>
    <t>MM_SPSTOCK: Termination with GETWA_NOT_ASSIGNED</t>
  </si>
  <si>
    <t>BAPI: Length EXTENSION insufficient for cust-specific fields</t>
  </si>
  <si>
    <t>MM01: Missing check for profit center</t>
  </si>
  <si>
    <t>Missing technical settings for table MPRP</t>
  </si>
  <si>
    <t>MM_MATNR: Deletion of administrative entries is incomplete</t>
  </si>
  <si>
    <t>MM13: EANs are deleted when you activate scheduled changes</t>
  </si>
  <si>
    <t>MM02:Unnecessary msg. M3285 for externally planned material</t>
  </si>
  <si>
    <t>Material Sustainability POWL has improper Actions.</t>
  </si>
  <si>
    <t>Lock for split valuation is changed</t>
  </si>
  <si>
    <t>GDS:Program termination during delta extraction of materials</t>
  </si>
  <si>
    <t>Data getting defaulted from the deleted record.</t>
  </si>
  <si>
    <t>LO-MD-PL</t>
  </si>
  <si>
    <t>Plant Master</t>
  </si>
  <si>
    <t>WB02:Transfer plant name to local assortment when maintained</t>
  </si>
  <si>
    <t>WAK12: Prices are not displayed correctly</t>
  </si>
  <si>
    <t>Deletion of Promotion line items does not work correctly</t>
  </si>
  <si>
    <t>Price Act. flags incorrectly set for Promotion line items</t>
  </si>
  <si>
    <t>Offer Integration</t>
  </si>
  <si>
    <t>Article Promotional Price not set correctly during update</t>
  </si>
  <si>
    <t>Offer IDs for generic ID and variant not cleared</t>
  </si>
  <si>
    <t>Incorrect Meterial Group Update in ERP Promotion</t>
  </si>
  <si>
    <t>Article change is applied even ERP promo updating has errors</t>
  </si>
  <si>
    <t>Incorrect item updates when transferring PMR offer to ERP</t>
  </si>
  <si>
    <t>LO-MD-QO</t>
  </si>
  <si>
    <t>Quantity Optimizing</t>
  </si>
  <si>
    <t>OWD1: DYNPRO_MSG_IN_HELP dump when F4 on Order/Sales unit</t>
  </si>
  <si>
    <t>WSOA1 / WSOA2: Incorrect change documents</t>
  </si>
  <si>
    <t>WSO1/WSO2: Processing locked articles</t>
  </si>
  <si>
    <t>TWGLV: Creation of secondary index 002</t>
  </si>
  <si>
    <t>IDoc LIKOND posting: WLK1-URSAC is initial</t>
  </si>
  <si>
    <t>WSO2: Deletion of articles contains errors (WSOP, WLK1)</t>
  </si>
  <si>
    <t>MM42 : Error message WM 479 when executing listing</t>
  </si>
  <si>
    <t>IDoc ASSORTMENT: IDoc status 51 / status long text WM 035</t>
  </si>
  <si>
    <t>ASSORTMENT_GET_ASORT_OF_USER: Performance improvement WRSZ</t>
  </si>
  <si>
    <t>Transfer sales prices for multiple UoM to DMF</t>
  </si>
  <si>
    <t>Market-basket price calculation: You cannot delete items</t>
  </si>
  <si>
    <t>Transaction WVN0: Short dump MESSAGE_TYPE_X</t>
  </si>
  <si>
    <t>VKP5: Fixed price articles can be changed</t>
  </si>
  <si>
    <t>SAPSQL_ARRAY_INSERT_DUPREC in transaction VKP6</t>
  </si>
  <si>
    <t>LO-MD-SN</t>
  </si>
  <si>
    <t>Serial Numbers</t>
  </si>
  <si>
    <t>No complete equip. frm PI BAPI despite MMSL EQUIPFL = 02</t>
  </si>
  <si>
    <t>Scrolling function limited on screen 300</t>
  </si>
  <si>
    <t>Too many serial numbers assigned due to customer exit</t>
  </si>
  <si>
    <t>LO-MD-UID</t>
  </si>
  <si>
    <t>Unique Identificatio</t>
  </si>
  <si>
    <t>Error message IUID001 or IUID066 during goods movement</t>
  </si>
  <si>
    <t>LO-MDS</t>
  </si>
  <si>
    <t>Merchandise Distribution</t>
  </si>
  <si>
    <t>LO-MDS-CPO</t>
  </si>
  <si>
    <t>Coll. Purchase Order</t>
  </si>
  <si>
    <t>Short Dump W#-522 during parallel processing</t>
  </si>
  <si>
    <t>WF10: Lock too many sales order</t>
  </si>
  <si>
    <t>Incorrect article details displayed in WF10</t>
  </si>
  <si>
    <t>LO-MDS-DPR</t>
  </si>
  <si>
    <t>Distribution Procg</t>
  </si>
  <si>
    <t>Inconsistant Processing Method used with Implicit Putaway.</t>
  </si>
  <si>
    <t>LO-PDM</t>
  </si>
  <si>
    <t>Product Data Mgmt.</t>
  </si>
  <si>
    <t>Kein Hinweis erforderlich</t>
  </si>
  <si>
    <t>LO-PDM-GF</t>
  </si>
  <si>
    <t>General Functions</t>
  </si>
  <si>
    <t>LO-PDM-GF-OBR</t>
  </si>
  <si>
    <t>Repository Browser</t>
  </si>
  <si>
    <t>CC04: Program termination when expanding in new window</t>
  </si>
  <si>
    <t>LO-RIS</t>
  </si>
  <si>
    <t>RIS</t>
  </si>
  <si>
    <t>MCGD: Selection is not restricted to bonus buy</t>
  </si>
  <si>
    <t>Transferring changes with a reference operation set</t>
  </si>
  <si>
    <t>POI download always checks for LOIMSO and LOIPCM</t>
  </si>
  <si>
    <t>POI download sends incorrect SAPoffice messages</t>
  </si>
  <si>
    <t>Download of planned orders: Missing capacity reqmnts records</t>
  </si>
  <si>
    <t>Locked deliveries prevent output processing</t>
  </si>
  <si>
    <t>No Automatic Queue Restart After Error Message M7 112</t>
  </si>
  <si>
    <t>Problem with schedule line category determination</t>
  </si>
  <si>
    <t>Runtime error GETWA_NOT_ASSIGNED</t>
  </si>
  <si>
    <t>Runtime problems when posting partial GRs from EWM</t>
  </si>
  <si>
    <t>Performance problems for goods receipt with HUs from EWM</t>
  </si>
  <si>
    <t>VL32N: Quantity fields are no more editable after PGR</t>
  </si>
  <si>
    <t>VL60: error message /SPE/INBVAL040 raised</t>
  </si>
  <si>
    <t>/SPE/INB_DELIVERY_CONFIRM_DEC: Existence of IBD not checked</t>
  </si>
  <si>
    <t>Catch Weight: Delivery rejection from EWM works incorrectly</t>
  </si>
  <si>
    <t>VLMOVE: Bundling lower-level HUs into one delivery item</t>
  </si>
  <si>
    <t>Cumulated batch quantity is 0 for inbound delivery from SPED</t>
  </si>
  <si>
    <t>New GR quantity after reversal not distributed to SNC</t>
  </si>
  <si>
    <t>Incorrect quantites for EGR documents from production orders</t>
  </si>
  <si>
    <t>Held inbound deliveries do not display ME141 in VL60</t>
  </si>
  <si>
    <t>VL60: error message M7018 raised during quantity reversal</t>
  </si>
  <si>
    <t>Batch cannot be changed after VL60 copy (with serial number)</t>
  </si>
  <si>
    <t>Incorrect entry quantity for partial GR or GR reversal</t>
  </si>
  <si>
    <t>VL60/BORGR: No display of errors in display mode</t>
  </si>
  <si>
    <t>Incorrect no. of auxiliary packaging material items frm EWM</t>
  </si>
  <si>
    <t>IDOC /SPE/IDOC_INPUT_DESADV1: Error VL860 raised</t>
  </si>
  <si>
    <t>BORGR/VL60: Only some of the HUs that are created are saved</t>
  </si>
  <si>
    <t>Batch split from EWM leads to incorrect ERP update</t>
  </si>
  <si>
    <t>BORGR 081: Issued as warning message at goods receipt</t>
  </si>
  <si>
    <t>Error during IDoc processing for several inbound del. items</t>
  </si>
  <si>
    <t>Enhancement option cannot be implemented</t>
  </si>
  <si>
    <t>Rounding problems at inb. delivery creation out of EWM</t>
  </si>
  <si>
    <t>VL60: timestamps are not saved crorrectly</t>
  </si>
  <si>
    <t>Dynamic storage bin is not filled in the delivery</t>
  </si>
  <si>
    <t>VL60: LQUAX lock is set for too long</t>
  </si>
  <si>
    <t>Goods receipt for "Confirm service" items for EWM</t>
  </si>
  <si>
    <t>Door and number of packages get lost in delivery II</t>
  </si>
  <si>
    <t>VL64:Error message VL056 does not contain enough information</t>
  </si>
  <si>
    <t>Short dump when opening distributed inb. deliv. with PGR</t>
  </si>
  <si>
    <t>LO-SPM-INB-VAL</t>
  </si>
  <si>
    <t>Validation Framework</t>
  </si>
  <si>
    <t>Error /SPE/INBVAL 010 for differences for batch split</t>
  </si>
  <si>
    <t>Abort message occurs in transactions VL06U and VL10U</t>
  </si>
  <si>
    <t>VL10B - Internal error during parallel delivery creation</t>
  </si>
  <si>
    <t>Direct outbound delivery: add new item fails</t>
  </si>
  <si>
    <t>IDoc stuck in ERP after publishing Returns ASN in SNC</t>
  </si>
  <si>
    <t>Goods movement status of returns delivery never completed</t>
  </si>
  <si>
    <t>GI cancellation using output type SPER fails</t>
  </si>
  <si>
    <t>Error during processing of the output RPOD</t>
  </si>
  <si>
    <t>SPED not retriggered after GI cancellation</t>
  </si>
  <si>
    <t>New item: failure of Direct Outbound Delivery update in ERP</t>
  </si>
  <si>
    <t>Item process indicator incorrectly determined</t>
  </si>
  <si>
    <t>no POD confirmation check for internal billing</t>
  </si>
  <si>
    <t>Output CDOD does not create subsequent pair of deliveries</t>
  </si>
  <si>
    <t>Failure of delivery split in ERP - no automatic restart</t>
  </si>
  <si>
    <t>Quantity display issue in TCD monitor</t>
  </si>
  <si>
    <t>Displaying the configuration for production orders</t>
  </si>
  <si>
    <t>Displaying a configuration with invalid values</t>
  </si>
  <si>
    <t>Class nodes in SET processing</t>
  </si>
  <si>
    <t>Material variants in the order BOM</t>
  </si>
  <si>
    <t>BAPI_SALESORDER_CHANGE: Short dump ASSERTION_FAILED</t>
  </si>
  <si>
    <t>Material variants in the order BOM II</t>
  </si>
  <si>
    <t>Displaying a configuration with invalid values (2)</t>
  </si>
  <si>
    <t>Item check of SET processing</t>
  </si>
  <si>
    <t>Overflow of the temporary instance numbers</t>
  </si>
  <si>
    <t>Evaluation lost after you terminate the configuration</t>
  </si>
  <si>
    <t>Endless loop when accessing configuration</t>
  </si>
  <si>
    <t>Runtime error OBJECTS_OBJREF_NOT_ASSIGNED</t>
  </si>
  <si>
    <t>Field length extension for text element RCCUBD00</t>
  </si>
  <si>
    <t>CU50: No single-level explosion</t>
  </si>
  <si>
    <t>Endless loop:CUX1_CHARACTS_VALS_SET &amp; CUX1_CHARACTS_VALS_DEL</t>
  </si>
  <si>
    <t>Class node with assignment STPO-IDNRK</t>
  </si>
  <si>
    <t>Loss of valuation after terminating the configuration II</t>
  </si>
  <si>
    <t>CUTRC: Memory related dumps</t>
  </si>
  <si>
    <t>MESSAGE_TYPE_X C1 061 when configuration is cancelled</t>
  </si>
  <si>
    <t>Dump during the calculation of the component quantity</t>
  </si>
  <si>
    <t>Using material variants with GC_CONF_MATVAR</t>
  </si>
  <si>
    <t>Checking use of characteristics in the interface design</t>
  </si>
  <si>
    <t>Explanation of numeric values</t>
  </si>
  <si>
    <t>Short dump for INTERNAL_ERROR exception</t>
  </si>
  <si>
    <t>CUTRC: Message 28 456 is not issued</t>
  </si>
  <si>
    <t>Usage check: Characteristic in configuration</t>
  </si>
  <si>
    <t>Tablecontrol error</t>
  </si>
  <si>
    <t>F4 help for characteristic: Layout cannot be saved</t>
  </si>
  <si>
    <t>BAdI for displaying change document items</t>
  </si>
  <si>
    <t>LO-VC-DEP</t>
  </si>
  <si>
    <t>Object Dependency</t>
  </si>
  <si>
    <t>Configuration of the root instance</t>
  </si>
  <si>
    <t>LO-VC-ECO</t>
  </si>
  <si>
    <t>Engineering Config.</t>
  </si>
  <si>
    <t>CU51: Exception condition "NO_INSTANCE" triggered</t>
  </si>
  <si>
    <t>Status of the configuration in the sales order</t>
  </si>
  <si>
    <t>CU51: Runtime error CX225 - CUDB_SPECIALIZE_INSTANCE</t>
  </si>
  <si>
    <t>CU51: Error CUIB1 100</t>
  </si>
  <si>
    <t>Short dump in order BOMs with instantiation</t>
  </si>
  <si>
    <t>Instantiation of specialized class nodes</t>
  </si>
  <si>
    <t>Dump when using the module CAVC_I_EXECUTE</t>
  </si>
  <si>
    <t>Long texts are not deleted correctly</t>
  </si>
  <si>
    <t>Dump after KMAT change in transaction CS62</t>
  </si>
  <si>
    <t>LO-VC-LOI</t>
  </si>
  <si>
    <t>LO Integration</t>
  </si>
  <si>
    <t>Performance problems when distributing dependencies</t>
  </si>
  <si>
    <t>LO-VC-SCO</t>
  </si>
  <si>
    <t>Sales Configuration</t>
  </si>
  <si>
    <t>SET processing: Deleted items reappear</t>
  </si>
  <si>
    <t>Manually deleted items reappear</t>
  </si>
  <si>
    <t>Manually deleted items reappear II</t>
  </si>
  <si>
    <t>Item check of SET processing (2)</t>
  </si>
  <si>
    <t>Explosion of the order BOM in the Web UI</t>
  </si>
  <si>
    <t>Navigation problem after closing dialog box "Create"</t>
  </si>
  <si>
    <t>Exiting the DMT without changes</t>
  </si>
  <si>
    <t>System does not save changes in the DMT</t>
  </si>
  <si>
    <t>DMT: Selection of several lines</t>
  </si>
  <si>
    <t>Hidden char error: no navigation possible</t>
  </si>
  <si>
    <t>LOD</t>
  </si>
  <si>
    <t>OnDemand</t>
  </si>
  <si>
    <t>LOD-ESO</t>
  </si>
  <si>
    <t>Sourcing OnDemand</t>
  </si>
  <si>
    <t>LOD-ESO-ERP</t>
  </si>
  <si>
    <t>Enable Master Data for multi-backend</t>
  </si>
  <si>
    <t>BBP_ES_CUST_DOWNLOAD: Condition type PB00 is not read</t>
  </si>
  <si>
    <t>Contract not created when item value is too big</t>
  </si>
  <si>
    <t>MDM</t>
  </si>
  <si>
    <t>SAP NetWeaver Master Data Management</t>
  </si>
  <si>
    <t>MDM-CLT</t>
  </si>
  <si>
    <t>Client System Adapt.</t>
  </si>
  <si>
    <t>MDMGX: Correction for Material Allowed Tax Classification</t>
  </si>
  <si>
    <t>MM-FT</t>
  </si>
  <si>
    <t>MM-FT-GOV</t>
  </si>
  <si>
    <t>Intrastat arrivals: reporting of return cancellations</t>
  </si>
  <si>
    <t>Intrastat: High memory consumption</t>
  </si>
  <si>
    <t>Dummy-Hinweis Checkman MM-IM</t>
  </si>
  <si>
    <t>MSEG: Enhancement: Fields VBELN_IM and VBELP_IM</t>
  </si>
  <si>
    <t>MM-IM-GF-ACT</t>
  </si>
  <si>
    <t>Account Determinatio</t>
  </si>
  <si>
    <t>SIT: M8 147: VLPOD with movement type 601T</t>
  </si>
  <si>
    <t>MM-IM-GF-ARC</t>
  </si>
  <si>
    <t>Archiving / Storage</t>
  </si>
  <si>
    <t>Enhancement Options for archiving program RM07MARCS</t>
  </si>
  <si>
    <t>MM-IM-GF-BM</t>
  </si>
  <si>
    <t>Goods Movmts. w. Bat</t>
  </si>
  <si>
    <t>MIGO: M7018 for subcontracting component</t>
  </si>
  <si>
    <t>Functional area in a balance sheet account line</t>
  </si>
  <si>
    <t>Item number of the sales document in accounting</t>
  </si>
  <si>
    <t>BF LOG_EAM_OLC Operation field mandatory in MB21</t>
  </si>
  <si>
    <t>OX18: Problems when saving transport request</t>
  </si>
  <si>
    <t>MM-IM-GF-DLCR</t>
  </si>
  <si>
    <t>Create Delivery from</t>
  </si>
  <si>
    <t>MBRL/MIGO: Return delivery with incorrect customer number</t>
  </si>
  <si>
    <t>Error M7 279 issued incorrectly</t>
  </si>
  <si>
    <t>MM-IM-GF-INC</t>
  </si>
  <si>
    <t>Stock Inconsistencie</t>
  </si>
  <si>
    <t>Supplement to Note 1636844</t>
  </si>
  <si>
    <t>MM-IM-GF-PERF</t>
  </si>
  <si>
    <t>Performance</t>
  </si>
  <si>
    <t>MKPF fields added to MSEG - Performance optimization</t>
  </si>
  <si>
    <t>MB58: Performance optimization when calling material docs</t>
  </si>
  <si>
    <t>MAA2: Incorrect account assignment in GR reversal doc.</t>
  </si>
  <si>
    <t>MAA2: Error M7 330 for return delivery via delivery</t>
  </si>
  <si>
    <t>VL02N : Error VL 699 when posting goods issue</t>
  </si>
  <si>
    <t>MAA2: Error AAPO 153 for goods receipt not justified</t>
  </si>
  <si>
    <t>MAA2 ML81N: Error M7 001 during release not justified</t>
  </si>
  <si>
    <t>MAA2: Error M7 437 for MIGO subcontracting inbound delivery</t>
  </si>
  <si>
    <t>MAA2: Error M7 437 for MIGO goods receipt for purchase order</t>
  </si>
  <si>
    <t>MAA2: Error M7 437 in the method GET_PO_OF_INBOUND_DELIVERY</t>
  </si>
  <si>
    <t>MAA2: Short dump when releasing GR blocked stock w/ MIGO 105</t>
  </si>
  <si>
    <t>MB51: Redesign of selection for performance optimization</t>
  </si>
  <si>
    <t>MB5B: Redesign of selection for performance optimization</t>
  </si>
  <si>
    <t>MB5SIT: All deliveries shown when inbound delivery not found</t>
  </si>
  <si>
    <t>MB5K: Error 045 cannot be deactivated</t>
  </si>
  <si>
    <t>MB5SIT: Documentation and selection text misleading</t>
  </si>
  <si>
    <t>MM-IM-GF-SER</t>
  </si>
  <si>
    <t>Goods Movmts. w. Ser</t>
  </si>
  <si>
    <t>Error M7 172 with optional serialization</t>
  </si>
  <si>
    <t>VL02N: Error M7 172 during optional serialization</t>
  </si>
  <si>
    <t>MM-IM-GF-TABL</t>
  </si>
  <si>
    <t>Cntrl. Tab. w/o Cust</t>
  </si>
  <si>
    <t>Error M7226 with Mvt 161E (Return transfer posting)</t>
  </si>
  <si>
    <t>MM-IM-GF-VAL</t>
  </si>
  <si>
    <t>Goods Movement Valua</t>
  </si>
  <si>
    <t>M7 306 contains incorrect material no. for transfer BWA 309</t>
  </si>
  <si>
    <t>Incorr. valuation for new val. type active ingredient matl</t>
  </si>
  <si>
    <t>Vl02N: Incorr. valuation of STO for active ingredient mgmt</t>
  </si>
  <si>
    <t>MM-IM-GI-ATP</t>
  </si>
  <si>
    <t>MIGO: ATP checks plant despite stor. loc. in MRP separately</t>
  </si>
  <si>
    <t>Error M7 077: Valuation record &amp; &amp; &amp; does not exist</t>
  </si>
  <si>
    <t>Incorrect update of the period information</t>
  </si>
  <si>
    <t>WM data disappears after you choose "Enter" to confirm</t>
  </si>
  <si>
    <t>MIGO: Confusing line numbering after batch split</t>
  </si>
  <si>
    <t>GR reversal for PO possible despite stock undercoverage</t>
  </si>
  <si>
    <t>LICHA, HSDAT,&amp; VFDAT not deleted when using "Distribute Qty"</t>
  </si>
  <si>
    <t>Error M7 226 when searching serial numbers</t>
  </si>
  <si>
    <t>MIGO: Error M7 036 displayed instead of error ME 006</t>
  </si>
  <si>
    <t>MIGO: No stock determination for subsequent delivery</t>
  </si>
  <si>
    <t>MIGO: Error message "Enter a batch" (M7 041)</t>
  </si>
  <si>
    <t>Serial number tab in movement type 103 ready for input</t>
  </si>
  <si>
    <t>MM-IM-GR-SC</t>
  </si>
  <si>
    <t>Goods movement for subcontract order: C+ 514 MESSAGE_TYPE_X</t>
  </si>
  <si>
    <t>BAPI for subcontracting: M7018 "Enter the movement type"</t>
  </si>
  <si>
    <t>MM-IM-PI</t>
  </si>
  <si>
    <t>Physical Inventory</t>
  </si>
  <si>
    <t>IS-CWM: Unit of measure check for physical inventory (MI04)</t>
  </si>
  <si>
    <t>VA01: Message V2 168 when creating a sales order</t>
  </si>
  <si>
    <t>Wrong error message M7 051 in SIT return process</t>
  </si>
  <si>
    <t>SiT: Error M7 022 during goods movement for inbound delivery</t>
  </si>
  <si>
    <t>VL02N: Message M7 242 when posting goods issue</t>
  </si>
  <si>
    <t>VLPOD: Message M7 021 when cancelling Proof of Delivery</t>
  </si>
  <si>
    <t>VL02N: M7 021 with GR for returns with movement type 167</t>
  </si>
  <si>
    <t>VL32N: Message M7 022 when posting goods receipt</t>
  </si>
  <si>
    <t>M7001: LOG_MM_SIT, batches, and late material block</t>
  </si>
  <si>
    <t>MM-IM-ST-ST</t>
  </si>
  <si>
    <t>SIT: Error message V2 168 when changing item category</t>
  </si>
  <si>
    <t>MRL3: Values from incorrect plants taken into account</t>
  </si>
  <si>
    <t>MRN3: Price unit not taken into account for replacement val.</t>
  </si>
  <si>
    <t>MRN9: Totals not output in new ALV display</t>
  </si>
  <si>
    <t>MRN9: Message MY409 issued in error</t>
  </si>
  <si>
    <t>MR33: Incorr total stock for valuation at company code level</t>
  </si>
  <si>
    <t>MR32/MR33: Incorrect variable for quantity comparison param.</t>
  </si>
  <si>
    <t>MRN9: No revaluation in delta run</t>
  </si>
  <si>
    <t>MRN9: Incorrect totaling during background processing</t>
  </si>
  <si>
    <t>MRN9: Delta run always output with details</t>
  </si>
  <si>
    <t>Determining lowest val: Incorr reval reason for batch input</t>
  </si>
  <si>
    <t>MRN9: Long runtime due to reading of valuation alternatives</t>
  </si>
  <si>
    <t>MRY1 Receipts selected across all plants</t>
  </si>
  <si>
    <t>Price update incorrect in balance sheet valuation</t>
  </si>
  <si>
    <t>MRF3: Credit memo is not taken into account correctly</t>
  </si>
  <si>
    <t>MRN2: Company code valuation level and split valuation</t>
  </si>
  <si>
    <t>MRL4:Error message MY066: No stock account can be determined</t>
  </si>
  <si>
    <t>MRL3: No result if company code is chosen as valuation level</t>
  </si>
  <si>
    <t>MRN1: Runtime error CONVT_OVERFLOW</t>
  </si>
  <si>
    <t>MRL9: Subsequent adjustment subcontracting incorrect</t>
  </si>
  <si>
    <t>MM-IS</t>
  </si>
  <si>
    <t>MM-IS-IC</t>
  </si>
  <si>
    <t>Inventory Control.</t>
  </si>
  <si>
    <t>RMCBDATE is incorrect for special stock</t>
  </si>
  <si>
    <t>MM-IV-ADB</t>
  </si>
  <si>
    <t>Adobe Document Services in Invoice Verification</t>
  </si>
  <si>
    <t>MM-IV-ADB-PRN</t>
  </si>
  <si>
    <t>Document Output with</t>
  </si>
  <si>
    <t>Syntax error in form MR_REKL</t>
  </si>
  <si>
    <t>MR11:Account assignment data not displayed for delivery cost</t>
  </si>
  <si>
    <t>MR11: Documentation of data element RCKM_AUSGL_DINV</t>
  </si>
  <si>
    <t>MR11SHOW: Error message F5 842</t>
  </si>
  <si>
    <t>MR11SHOW: Not all lines are canceled</t>
  </si>
  <si>
    <t>Dummy: HW für diverse Korrekturen in Release 6.00-6.06</t>
  </si>
  <si>
    <t>MIRO: Batch selection ends with error message M3552</t>
  </si>
  <si>
    <t>EDI: Provisional incoming invoice posted as normal invoice</t>
  </si>
  <si>
    <t>SOA: Various corrections</t>
  </si>
  <si>
    <t>SOA: Correction for system messages</t>
  </si>
  <si>
    <t>SOA: InvoiceERPConfirmation_Out_V1 - correction SWCV</t>
  </si>
  <si>
    <t>SOA: InvoiceNotification_Out, SenderBusinessSystemID missing</t>
  </si>
  <si>
    <t>SOA: SuplInvERPCreatReqConf - Various corrections</t>
  </si>
  <si>
    <t>MM-IV-GF-INC</t>
  </si>
  <si>
    <t>EBEW/QBEW created for deselected items II</t>
  </si>
  <si>
    <t>MM-IV-GF-MESS</t>
  </si>
  <si>
    <t>Message Output</t>
  </si>
  <si>
    <t>MR90:Wrong form of address(vendor and/or person responsible)</t>
  </si>
  <si>
    <t>MR91: Error M8322 for several tax reporting countries</t>
  </si>
  <si>
    <t>MM-IV-INT</t>
  </si>
  <si>
    <t>MM-IV-INT-TAX</t>
  </si>
  <si>
    <t>Tax</t>
  </si>
  <si>
    <t>MIRO: Error M8100: Table TTXD: entry does not exist</t>
  </si>
  <si>
    <t>MIRO: BSET-FWSTE/-LWSTE different for invoice reduction</t>
  </si>
  <si>
    <t>MIRO: Balance RW022 for NVV tax and debit/credit postings</t>
  </si>
  <si>
    <t>Error message FF787 when there is negative small difference</t>
  </si>
  <si>
    <t>MM-IV-INT-WF</t>
  </si>
  <si>
    <t>Workflow</t>
  </si>
  <si>
    <t>BUS2081: Incorrect decimal places for gross invoice amount</t>
  </si>
  <si>
    <t>Workflow: Program error: Invoice is unblocked</t>
  </si>
  <si>
    <t>MIRO: Error message M8829</t>
  </si>
  <si>
    <t>MIRO: Error FI 011</t>
  </si>
  <si>
    <t>MIRO: BAdI terms of payment are overwritten</t>
  </si>
  <si>
    <t>eTCT Description Missing, test catalog ERP606_CTRM_DINV_ETCT</t>
  </si>
  <si>
    <t>MIRO: Incorrect statistical moving average price</t>
  </si>
  <si>
    <t>MIRO: Duplicate amount in CO-PA for individual PO</t>
  </si>
  <si>
    <t>MIRO: Error message C+470 for assigned purchase order items</t>
  </si>
  <si>
    <t>MM-IV-LIV-BADI</t>
  </si>
  <si>
    <t>BADI</t>
  </si>
  <si>
    <t>BADI MRM_PAYMENT_TERMS</t>
  </si>
  <si>
    <t>BAPI: Update BPMNG for multiple account assignment</t>
  </si>
  <si>
    <t>BAPI: Invoice for canceled service entry sheet</t>
  </si>
  <si>
    <t>SAP_APPL : Technical prerequisite for Note 1624765</t>
  </si>
  <si>
    <t>BAPI invoice verification; handling contract items</t>
  </si>
  <si>
    <t>MM-IV-LIV-CAN</t>
  </si>
  <si>
    <t>Reversal</t>
  </si>
  <si>
    <t>MR8M: Exchange rate for second and third local currency</t>
  </si>
  <si>
    <t>MIRO: One-time data not transferred from purchase order</t>
  </si>
  <si>
    <t>MIRO: Error message M8583 is issued incorrectly</t>
  </si>
  <si>
    <t>MIRO: Update termination during update in EKDF</t>
  </si>
  <si>
    <t>MIRO: Differential invoicing</t>
  </si>
  <si>
    <t>MIRO: Differential invoicing - Several corrections</t>
  </si>
  <si>
    <t>BAdI MRM_DINV_VALIDATION / Example implementation class</t>
  </si>
  <si>
    <t>MIRO/MR8M: Incorrect update of ZEKKN to EKBE</t>
  </si>
  <si>
    <t>Error message for table control TC_MR1M_PB</t>
  </si>
  <si>
    <t>MIRO: Error F5346 with invoice ref and security retention</t>
  </si>
  <si>
    <t>MIRO: ABAP runtime error DYNPRO_FIELD_CONVERSION</t>
  </si>
  <si>
    <t>Cursor position on the multiple account assignment screen</t>
  </si>
  <si>
    <t>MIRO: Missing value check for multiple account assignment</t>
  </si>
  <si>
    <t>MIRO:Termination message M8424 for multiple account assgmt</t>
  </si>
  <si>
    <t>MIRO: Security retention is not adjusted</t>
  </si>
  <si>
    <t>MIRO ends in system error/incorrect call</t>
  </si>
  <si>
    <t>MIRO: Security retention incorrect after reassignment</t>
  </si>
  <si>
    <t>MIRO: Error message GLT2 201</t>
  </si>
  <si>
    <t>MIRO: Display variant 13_6310 is incorrect</t>
  </si>
  <si>
    <t>MM-IV-LIV-IVB</t>
  </si>
  <si>
    <t>MIR4/MIR6: ME390 for blanket purchase order</t>
  </si>
  <si>
    <t>Error F5507 while attempting to edit invoice</t>
  </si>
  <si>
    <t>MIRO: Condition difference screen returns condition value 0</t>
  </si>
  <si>
    <t>MIR4: Error log contains incorrect item number</t>
  </si>
  <si>
    <t>MIR7: ABAP runtime error when parking as complete</t>
  </si>
  <si>
    <t>MIR4: Error message F5 165</t>
  </si>
  <si>
    <t>MIR4: Dialog box "The conditions were already changed..."</t>
  </si>
  <si>
    <t>MIR4: F5-083 after authorization check for posting</t>
  </si>
  <si>
    <t>MIR4: Error message M8 476</t>
  </si>
  <si>
    <t>MIR6: Incorrect reassignment of invoice for purchase order</t>
  </si>
  <si>
    <t>MIR4: No price determination during direct posting</t>
  </si>
  <si>
    <t>MIR4: No multiple acct assgmt pushbutton for invoice line</t>
  </si>
  <si>
    <t>MM-IV-LIV-REL</t>
  </si>
  <si>
    <t>Release</t>
  </si>
  <si>
    <t>MRBR: Selection is prepopulated incorrectly</t>
  </si>
  <si>
    <t>MM-PUR-FIP</t>
  </si>
  <si>
    <t>Perishables Procure</t>
  </si>
  <si>
    <t>Performance during article selection</t>
  </si>
  <si>
    <t>FIP_MD/FIP_TD: Performance during article selection</t>
  </si>
  <si>
    <t>Termination when calling distribution or procurement list</t>
  </si>
  <si>
    <t>Program terminates when you buffer transaction data</t>
  </si>
  <si>
    <t>Program termination when you open the distribution list</t>
  </si>
  <si>
    <t>Program termination when you start procurement list or DL</t>
  </si>
  <si>
    <t>Monitor: Monitor goods receipt/monitor requirements</t>
  </si>
  <si>
    <t>Solve Checkman - BBP-Fehler</t>
  </si>
  <si>
    <t>Dummy EHP6 SP01</t>
  </si>
  <si>
    <t>Repair of messages MEPO 128, 129, 130</t>
  </si>
  <si>
    <t>MM-PUR-GF-ADR</t>
  </si>
  <si>
    <t>Addresses</t>
  </si>
  <si>
    <t>ME21N - Delivery address not reset correctly</t>
  </si>
  <si>
    <t>MM-PUR-GF-APO</t>
  </si>
  <si>
    <t>Adva. Planner+Optim.</t>
  </si>
  <si>
    <t>ME22N : APO ATP results screen displayed sereval times</t>
  </si>
  <si>
    <t>MM-PUR-GF-ARC</t>
  </si>
  <si>
    <t>Enhancement spot for archiving programs in purchasing</t>
  </si>
  <si>
    <t>You cannot display archived purchase requisition item texts</t>
  </si>
  <si>
    <t>RM06EV70: BAdI not called for first item</t>
  </si>
  <si>
    <t>MM_EKKO/MM_EBAN statistics: Wrong number for deleted objects</t>
  </si>
  <si>
    <t>Preprocessing for MM_EKKO raises message S::000</t>
  </si>
  <si>
    <t>Misleading message in MM_EKKO pre-processing protocoll</t>
  </si>
  <si>
    <t>MM_EKKO: Invoice Plan data not archived</t>
  </si>
  <si>
    <t>ARCHIVE: Reservations deleted incorrectly</t>
  </si>
  <si>
    <t>PReq archives even though PS or PM order still exists</t>
  </si>
  <si>
    <t>MM_EBAN: RM06BW70 archives only the first int. header memo</t>
  </si>
  <si>
    <t>MM_EKKO: RM06EV70 ignores company code selection criteria</t>
  </si>
  <si>
    <t>MM-PUR-GF-ARL</t>
  </si>
  <si>
    <t>Archive link</t>
  </si>
  <si>
    <t>ME38: Missing optical ARL records</t>
  </si>
  <si>
    <t>ME3L: GOS icon is not displayed</t>
  </si>
  <si>
    <t>Massive enqueue on VBDAT while running MMPUR_BOR_CHANGE_ARL</t>
  </si>
  <si>
    <t>STO: Confirmed schedule line before desired schedule line</t>
  </si>
  <si>
    <t>Termin/Menge fix bei Reduzierung der bestätigten Menge</t>
  </si>
  <si>
    <t>MM-PUR-GF-CAT</t>
  </si>
  <si>
    <t>Catalogues in Purcha</t>
  </si>
  <si>
    <t>syntax error in LMEGUICJM</t>
  </si>
  <si>
    <t>ME21n: Price from catalog too high by a factor of 1,000</t>
  </si>
  <si>
    <t>Adding multiple item from catalog to PR</t>
  </si>
  <si>
    <t>Sub Outlines - Currency not not displayed in catalog UI</t>
  </si>
  <si>
    <t>MM-PUR-GF-CO</t>
  </si>
  <si>
    <t>Commitment</t>
  </si>
  <si>
    <t>Commitment reduction at GR for PO with parked invoice</t>
  </si>
  <si>
    <t>ME51N:MEASURE not displayed for stock order until saved</t>
  </si>
  <si>
    <t>MM-PUR-GF-CON</t>
  </si>
  <si>
    <t>Confirmation Control</t>
  </si>
  <si>
    <t>Sequential No. of Vendor Confirmation incorrect determined</t>
  </si>
  <si>
    <t>MM-PUR-GF-CPE</t>
  </si>
  <si>
    <t>CPE in MM</t>
  </si>
  <si>
    <t>CPE: table CPED_KNUMVTOGUID, no record with KPOSN 000000</t>
  </si>
  <si>
    <t>CPE: Archiving of contracts, program termination RM06EW70</t>
  </si>
  <si>
    <t>CPE: Error in price determination during goods receipt</t>
  </si>
  <si>
    <t>FBRA reset clearing between DPR and DP, no PO history update</t>
  </si>
  <si>
    <t>ME2DP: Down payment amount gross, total down payments net</t>
  </si>
  <si>
    <t>Incorrect down payment amounts in ME2DP</t>
  </si>
  <si>
    <t>ME2DP: Purchase order history record no longer available</t>
  </si>
  <si>
    <t>ME2DP: Down payt value w/ tax, total down payt w/o tax</t>
  </si>
  <si>
    <t>ORDERS: Output of sales order information</t>
  </si>
  <si>
    <t>ORDRSP: Vendor material number truncated</t>
  </si>
  <si>
    <t>Shipping Not. deleted while processing ORDRSP IDoc</t>
  </si>
  <si>
    <t>Workitem not completed when new ORDRSP is processed</t>
  </si>
  <si>
    <t>ORDRSP: IDoc does not return proper message log</t>
  </si>
  <si>
    <t>OBJECTS_OBJREF_NOT_ASSIGNED while processig ORDRSP</t>
  </si>
  <si>
    <t>INFREC/SRCLST: IDoc not send in background w/o GUI</t>
  </si>
  <si>
    <t>RPODDELVRY: Return delivery cannot be sent to SUS</t>
  </si>
  <si>
    <t>BAdI ME_MMPUR_EINM(_CUST)-&gt;PROCESS_IDOC_DATA_OUT not called</t>
  </si>
  <si>
    <t>MM-PUR-GF-EKBE</t>
  </si>
  <si>
    <t>PurchaseOrderHistory</t>
  </si>
  <si>
    <t>ME87: Summarization of delivery costs: Incorrect values</t>
  </si>
  <si>
    <t>eSOA messages from Purchasing triggered in background task</t>
  </si>
  <si>
    <t>PurchaseOrderERPConfirmation_V1: Missing tolerance check</t>
  </si>
  <si>
    <t>CCM: OPS_SE_PUR_COMMON315 error when only changing header</t>
  </si>
  <si>
    <t>CCM: Error in condition maintenance with scales</t>
  </si>
  <si>
    <t>SR053: The ABAP/4 Open SQL array insert results in duplic ke</t>
  </si>
  <si>
    <t>Exception raised for PurchaseOrderERPByIDQueryResponse_In_V1</t>
  </si>
  <si>
    <t>SOA SourcingRequest with wrong action code</t>
  </si>
  <si>
    <t>Error ME359 while replicating OA from SAP SRM/SAP Sourcing</t>
  </si>
  <si>
    <t>Documentation for IF_PUR_SE_PO_IF_OUT_SELECT incorrect</t>
  </si>
  <si>
    <t>CCM: CX_SY_OPEN_SQL_DB in RV13A017 or RV13A068</t>
  </si>
  <si>
    <t>Wrong Delivery Address in SAP SRM Shopping Cart and PO</t>
  </si>
  <si>
    <t>Framework PReq not send to SRM for RFx creation</t>
  </si>
  <si>
    <t>Performance affected in Service ECC_PURREQERPIDQR1</t>
  </si>
  <si>
    <t>qRFC: Queues are not unique and get stuck, no SOA send out</t>
  </si>
  <si>
    <t>CCM: Creation of multiple partner roles not possible</t>
  </si>
  <si>
    <t>PO not created with Acknowledgement Required (KZABS)</t>
  </si>
  <si>
    <t>Dump RAISE_EXCEPTION, TYPE_NOT_FOUND</t>
  </si>
  <si>
    <t>CX_SY_CONVERSION_OVERFLOW for SAP SNC integration SOA XML</t>
  </si>
  <si>
    <t>PurchaseRequestERPSourcingRequest: Asset account assignment</t>
  </si>
  <si>
    <t>PReqs from MRP cannot be sent to sourcing</t>
  </si>
  <si>
    <t>MM-PUR-GF-F4</t>
  </si>
  <si>
    <t>Input Help</t>
  </si>
  <si>
    <t>Embedded Search and SES search helps invisible in ERP purch.</t>
  </si>
  <si>
    <t>Enterprise Search generates ITAB_ILLEGAL_SORT_ORDER dump</t>
  </si>
  <si>
    <t>ESH_COCKPIT: Error while indexing for Purchasing documents</t>
  </si>
  <si>
    <t>Missing Delta-Update for Enterprise Search</t>
  </si>
  <si>
    <t>Fixed exchange rate ignored when goods receipts are posted</t>
  </si>
  <si>
    <t>MAA2: No non-deductible input tax in MIGO or MB01</t>
  </si>
  <si>
    <t>Transaction MIGO - Error M7 301</t>
  </si>
  <si>
    <t>MM-PUR-GF-IR</t>
  </si>
  <si>
    <t>Interface - Invoice</t>
  </si>
  <si>
    <t>MIRO: wrong distribution for multi account assignment POs</t>
  </si>
  <si>
    <t>MIRO: Timeout for blanket purchase orders</t>
  </si>
  <si>
    <t>MM-PUR-GF-LIS</t>
  </si>
  <si>
    <t>Statistics Update</t>
  </si>
  <si>
    <t>PWEV for cancelation of GR not calculated correctly</t>
  </si>
  <si>
    <t>MM-PUR-GF-MAS</t>
  </si>
  <si>
    <t>Mass change</t>
  </si>
  <si>
    <t>Version not completed when using mass change for PReq</t>
  </si>
  <si>
    <t>MEMASSPO: EKKO field AEDAT is changeable</t>
  </si>
  <si>
    <t>MM-PUR-GF-OC</t>
  </si>
  <si>
    <t>Message determinatio</t>
  </si>
  <si>
    <t>Unchanged item data being processed for header change</t>
  </si>
  <si>
    <t>MEDRUCK: Missing items in printout</t>
  </si>
  <si>
    <t>ME9E: Incorrect qty change in forecast dely schedule message</t>
  </si>
  <si>
    <t>MM-PUR-GF-PER</t>
  </si>
  <si>
    <t>Performance issue when saving a Purchase Order</t>
  </si>
  <si>
    <t>MM-PUR-GF-PR</t>
  </si>
  <si>
    <t>Price Determination</t>
  </si>
  <si>
    <t>Delivery cost conditions shown with incorrect values</t>
  </si>
  <si>
    <t>Delivery cost condition deletable at header level after GR</t>
  </si>
  <si>
    <t>Repricing upon arrival on goods calculates incorrect price</t>
  </si>
  <si>
    <t>MIGO/MIRO: Incorrect goods receipt value or invoice amount</t>
  </si>
  <si>
    <t>MM-PUR-GF-RE</t>
  </si>
  <si>
    <t>ME92F: Incomplete information for ALV grid display</t>
  </si>
  <si>
    <t>Tax code not populated in Accounting subview (ALV Grid)</t>
  </si>
  <si>
    <t>ME92F: Qty to be expedited always corresponds to qty ordered</t>
  </si>
  <si>
    <t>ME16 with ALV: Deletion flag for EINA is incorrect</t>
  </si>
  <si>
    <t>MM-PUR-GF-REL</t>
  </si>
  <si>
    <t>Release (Approval)</t>
  </si>
  <si>
    <t>External release is not allowed for purchase requisition</t>
  </si>
  <si>
    <t>Status not reset for document type change</t>
  </si>
  <si>
    <t>Release reset not possible using ME54N</t>
  </si>
  <si>
    <t>MM-PUR-GF-RET</t>
  </si>
  <si>
    <t>Returns</t>
  </si>
  <si>
    <t>Incomplete doc flow for enhanced returns purchase orders</t>
  </si>
  <si>
    <t>MM-PUR-GF-SC</t>
  </si>
  <si>
    <t>RM_MLSC_TRIGGER_MLSC_MRP: Purchase requisition not adjusted</t>
  </si>
  <si>
    <t>DLV status not set in CO ProdOrder for final delivery in PO</t>
  </si>
  <si>
    <t>BOM explosion for PREQ created from sales order not working</t>
  </si>
  <si>
    <t>Update termination for SC PReqs created out of Sales Order</t>
  </si>
  <si>
    <t>MM-PUR-GF-SCR</t>
  </si>
  <si>
    <t>BET_ANALYSE: EKBES-GLMNG for component deliveries</t>
  </si>
  <si>
    <t>No error in STO with SIT function when VO article is entered</t>
  </si>
  <si>
    <t>BAPI_PO_CREATE1 - Shipping data not set correctly</t>
  </si>
  <si>
    <t>MM-PUR-GF-TAX</t>
  </si>
  <si>
    <t>Taxes</t>
  </si>
  <si>
    <t>Error 06 260 during jurisdiction code check</t>
  </si>
  <si>
    <t>MM-PUR-GF-TP</t>
  </si>
  <si>
    <t>Third Party Order Pr</t>
  </si>
  <si>
    <t>ALE Third Party SO: Automatic PO created with wrong vendor</t>
  </si>
  <si>
    <t>Sales order flow data not updated with PO Item Change</t>
  </si>
  <si>
    <t>MM-PUR-GF-VER</t>
  </si>
  <si>
    <t>Version management</t>
  </si>
  <si>
    <t>Version management item number incorrectly updated</t>
  </si>
  <si>
    <t>Output message for application EL not considered for version</t>
  </si>
  <si>
    <t>Outl. purch. agr.</t>
  </si>
  <si>
    <t>Conditions of outline agreement cannot be displayed</t>
  </si>
  <si>
    <t>ME33: EWM delivery-based tolerance check ready for input</t>
  </si>
  <si>
    <t>Plant dep. conditions not displayed for Central Contract</t>
  </si>
  <si>
    <t>Component X structure not considered for value update</t>
  </si>
  <si>
    <t>BAPI: Partners not used in new scheduling agreement</t>
  </si>
  <si>
    <t>BAPI: Text data not saved after 1000 outline agreements</t>
  </si>
  <si>
    <t>PurchSchedAgreement APIs: Vendor Address not created</t>
  </si>
  <si>
    <t>Contract created without/wrong material group</t>
  </si>
  <si>
    <t>BAPI_SAG_CHANGE del. schedule lines with Qty 0 by mistake</t>
  </si>
  <si>
    <t>Change BAPI does not generate conditions for new items</t>
  </si>
  <si>
    <t>Commitment is not created</t>
  </si>
  <si>
    <t>MESSAGE_TYPE_UNKNOWN when calling BAPI_SAG_GETDETAIL</t>
  </si>
  <si>
    <t>Order Unit not derived while creating Outline Agreement</t>
  </si>
  <si>
    <t>BAPI_SAG_CHANGE: error ME552</t>
  </si>
  <si>
    <t>ME083 missing for initial reqd fields in outline agreement</t>
  </si>
  <si>
    <t>ME 083: Enter Net Price for value contract w. future dates</t>
  </si>
  <si>
    <t>Data from material master not copied into agreement item</t>
  </si>
  <si>
    <t>Agreement without price created when document type is empty</t>
  </si>
  <si>
    <t>MM-PUR-OA-CON</t>
  </si>
  <si>
    <t>Contract</t>
  </si>
  <si>
    <t>Industry Solution Subscreen problems in ME32K, ME33K</t>
  </si>
  <si>
    <t>ME32K - Plant conditions overview.</t>
  </si>
  <si>
    <t>Commitment Plan:can't change accnt assignment in existing CP</t>
  </si>
  <si>
    <t>ME32K issues warning 06 495 although no change to price made</t>
  </si>
  <si>
    <t>ME33K: OBJECTS_OBJREF_NOT_ASSIGNED in SAPLMEOUT</t>
  </si>
  <si>
    <t>ME33K Dump DYNPRO_FIELD_CONVERSION for Central Contract</t>
  </si>
  <si>
    <t>Conf. Control Key not adopted from vendor master record</t>
  </si>
  <si>
    <t>SubCon Contract without plant will raise address popup</t>
  </si>
  <si>
    <t>ME33K: Display of header condition locks transaction</t>
  </si>
  <si>
    <t>Display of item conditions not possible</t>
  </si>
  <si>
    <t>ME39:"Release Number" field (EKEK-ABRUF): no disp. in German</t>
  </si>
  <si>
    <t>ME85, ME86: Output lists during background processing</t>
  </si>
  <si>
    <t>ME84: Missing Parameter in User Exit EXIT_SAPLEINM_019</t>
  </si>
  <si>
    <t>MM-PUR-OPT</t>
  </si>
  <si>
    <t>Optimization in Purchasing</t>
  </si>
  <si>
    <t>MM-PUR-OPT-GRC</t>
  </si>
  <si>
    <t>Goods Receipt Capaci</t>
  </si>
  <si>
    <t>Program termination when deleting purchase order items</t>
  </si>
  <si>
    <t>Preparatory ABAP Dictionary changes</t>
  </si>
  <si>
    <t>ME59N: Omit item when there is an error in subitem</t>
  </si>
  <si>
    <t>MM_CCM 019 when PReq transfered into Purchase Order (ME59N)</t>
  </si>
  <si>
    <t>SRM contract number deleted when changing a Purchase Order</t>
  </si>
  <si>
    <t>MM_CCM 019 when creating a PO with ref. to ERP contract</t>
  </si>
  <si>
    <t>CheckMan error in include MM06EF0B_BUCHEN</t>
  </si>
  <si>
    <t>BAPI_PO_CREATE1: Conversion of value fields with curr. key</t>
  </si>
  <si>
    <t>BAPI: Failure using transaction ADSUBCON</t>
  </si>
  <si>
    <t>Allocation reference is lost during PO creation</t>
  </si>
  <si>
    <t>BAPI_PO_CHANGE: cannot save updated purchase order</t>
  </si>
  <si>
    <t>Reset for item deletion indicator not possible for SRM PO</t>
  </si>
  <si>
    <t>BAPI_PO_GETDETAIL1 returns incorrect delivery address</t>
  </si>
  <si>
    <t>BAPI_PO_CREATE1: wrong price in PO with multi schedule lines</t>
  </si>
  <si>
    <t>BAPI_PO_CREATE1: wrong text for char´s fieldname</t>
  </si>
  <si>
    <t>Wrong sequence of components in BAPI interface</t>
  </si>
  <si>
    <t>ADSUBCON: Raise Failure for material exchange</t>
  </si>
  <si>
    <t>Condition is treated as surcharge rather than discount</t>
  </si>
  <si>
    <t>Long text will be deleted when first line is initial</t>
  </si>
  <si>
    <t>Components not transfered to SAP APO when BAPI_PO_CHANGE</t>
  </si>
  <si>
    <t>PO Header data, status tab, down payment value incorrect</t>
  </si>
  <si>
    <t>ME22N: missing error message ME578</t>
  </si>
  <si>
    <t>Dump RAISE_EXCEPTION when trying to view schedule data</t>
  </si>
  <si>
    <t>Purchase order history is not displayed after you refresh</t>
  </si>
  <si>
    <t>MM_CCM 028 when changing a PO with ref. to deleted SRM OA</t>
  </si>
  <si>
    <t>PO history not displayed when document was read from archive</t>
  </si>
  <si>
    <t>Wrong target value/quantity check in release order</t>
  </si>
  <si>
    <t>Template selection for purchasing documents not possible</t>
  </si>
  <si>
    <t>Message MM_CCM 033 not raised for blocked SRM contract item</t>
  </si>
  <si>
    <t>ME21n: statistical delivery date out of factory calendar</t>
  </si>
  <si>
    <t>GETWA_NOT_ASSIGNED when creating a call off PO</t>
  </si>
  <si>
    <t>ME21N: missing target quantity check in release order</t>
  </si>
  <si>
    <t>MEGUI: Checkman error interface is not implemented</t>
  </si>
  <si>
    <t>Purchase Requisition</t>
  </si>
  <si>
    <t>ME59n: Error in background mode with central contract</t>
  </si>
  <si>
    <t>ME51: TABLE_INVALID_STATEMENT when external Sourcing active</t>
  </si>
  <si>
    <t>TD 600: Text xxxx language xx not found, when PReq is copied</t>
  </si>
  <si>
    <t>ME52N: missing text in held PR items</t>
  </si>
  <si>
    <t>PO not generated for multilevel subcontracting purchase req</t>
  </si>
  <si>
    <t>Messages raised in BAPI logic are lost and not returned</t>
  </si>
  <si>
    <t>BAPI_PR_CHANGE returns the old instead of new acct. data</t>
  </si>
  <si>
    <t>Currency key not adopted, but taken from material master</t>
  </si>
  <si>
    <t>MM-PUR-REQ-GUI</t>
  </si>
  <si>
    <t>Userinterface</t>
  </si>
  <si>
    <t>RAISE_EXCEPTION NOT_REGISTERED in ME52N</t>
  </si>
  <si>
    <t>Loading Template for PReq results in message 06 648</t>
  </si>
  <si>
    <t>MM-PUR-RFQ</t>
  </si>
  <si>
    <t>RFQ/Quotation</t>
  </si>
  <si>
    <t>ME42: new delivery address number after RFQ change</t>
  </si>
  <si>
    <t>ME51N: Source of supply information missing</t>
  </si>
  <si>
    <t>Wrong order of Date\Time format in Hebrew language</t>
  </si>
  <si>
    <t>Dump on display of fact sheet</t>
  </si>
  <si>
    <t>Problem creating shopping carts for new users</t>
  </si>
  <si>
    <t>Internal Conversion of the field cost centre-KOSTL</t>
  </si>
  <si>
    <t xml:space="preserve"> Note for the POWL Authorization</t>
  </si>
  <si>
    <t>Problem while maintaining catalog customizing in ERP</t>
  </si>
  <si>
    <t>Approver action forward not working in ERP Shopping Cart</t>
  </si>
  <si>
    <t>SV_BS7i2011_CatalogTransferWrongInformation</t>
  </si>
  <si>
    <t>Warning message are being displayed as error messages</t>
  </si>
  <si>
    <t>No Message is prompted in the message area</t>
  </si>
  <si>
    <t>Changes for message mapping/filtering</t>
  </si>
  <si>
    <t>Delivery date in Purchasae order is incorrect</t>
  </si>
  <si>
    <t>Material Group need to be mandatory field for free text item</t>
  </si>
  <si>
    <t>Error when Default accont assignment is changed in SC</t>
  </si>
  <si>
    <t>Quantity not getting updated from product detail popup</t>
  </si>
  <si>
    <t>Exit from display PO of portal shows initial screen</t>
  </si>
  <si>
    <t>Message is retained even after the corrections</t>
  </si>
  <si>
    <t>Material group not mandatory in Item Details</t>
  </si>
  <si>
    <t>Invalid G/L acc and WBS Element accepted at Charge TO link</t>
  </si>
  <si>
    <t>Shopping Cart with invalid Price Unit created</t>
  </si>
  <si>
    <t>EHP6-SP02 : Errors on query refresh</t>
  </si>
  <si>
    <t>EHP6-SP02TD : Search results is not restricted to 100</t>
  </si>
  <si>
    <t>Shopping Cart Item with Invalid Material Group from Catalog</t>
  </si>
  <si>
    <t>EHP6-SP02TD :Invalid WBS accepted at Charge TO hyperlink</t>
  </si>
  <si>
    <t>Unnecessary sorting was provided for the select field</t>
  </si>
  <si>
    <t>Warning message missing-&gt;empty search results.</t>
  </si>
  <si>
    <t>Dump is observed when the plant is not maintained</t>
  </si>
  <si>
    <t>Services should not be added in the sc in E-procurement</t>
  </si>
  <si>
    <t>approver details being duplicated</t>
  </si>
  <si>
    <t>MM-PUR-SSP-UI</t>
  </si>
  <si>
    <t>UI configurations</t>
  </si>
  <si>
    <t>ERP606_FIT:Column name to be chanegd in ADMIN POWL</t>
  </si>
  <si>
    <t>SAT_eProc: name of tabs are not translated</t>
  </si>
  <si>
    <t>MM-PUR-VM</t>
  </si>
  <si>
    <t>Vendor-Material Rel.</t>
  </si>
  <si>
    <t>Error during SAP_APPL install. / 0MM_PUR_VE_SUST_01:</t>
  </si>
  <si>
    <t>MM-PUR-VM-REC</t>
  </si>
  <si>
    <t>Info Record</t>
  </si>
  <si>
    <t>Creating purchasing info record with deletion indicator</t>
  </si>
  <si>
    <t>ME13: PO price history records</t>
  </si>
  <si>
    <t>Conversion error 06765 occurred with variable order unit '2'</t>
  </si>
  <si>
    <t>Invalid material can be maintained for variant conditions</t>
  </si>
  <si>
    <t>ME12: Wrong conversion factor after order unit change</t>
  </si>
  <si>
    <t>Incorrect Net Price Calculation</t>
  </si>
  <si>
    <t>IW32: long text of service item gets multiplied</t>
  </si>
  <si>
    <t>IW32: Cost element not determined for service item using OCI</t>
  </si>
  <si>
    <t>Incorrect PO history displayed for PO with SRV-Based IV set.</t>
  </si>
  <si>
    <t>ME2S report displays incorrect text for PO with WSB-Elements</t>
  </si>
  <si>
    <t>Problem when parameter F4METHOD is NoActiveX in SU3</t>
  </si>
  <si>
    <t>PR creation screen logs out with abrupt msg - DUMMY</t>
  </si>
  <si>
    <t>fields are disabled on the service package tab</t>
  </si>
  <si>
    <t>German tooltip not correct in terms of accessibility</t>
  </si>
  <si>
    <t>MM-SRV-ACC</t>
  </si>
  <si>
    <t>Account Assignment</t>
  </si>
  <si>
    <t>ESKL-LOEKZ is not re-set on undeleting the PO item.</t>
  </si>
  <si>
    <t>MM-SRV-BPI</t>
  </si>
  <si>
    <t>BAPIs</t>
  </si>
  <si>
    <t>BAPI_ENTRYSHEET_CREATE: ESLL-EXTROW is incorrect</t>
  </si>
  <si>
    <t>MM-SRV-BW</t>
  </si>
  <si>
    <t>LIS and BW</t>
  </si>
  <si>
    <t>Service entry sheet details not displayed in RSA3.</t>
  </si>
  <si>
    <t>Error in BADI usage in class CL_SRV_REQUEST_XI2ERP</t>
  </si>
  <si>
    <t>Checkman error in package APPL_CO_XI_PROXY - EHP5 SP04</t>
  </si>
  <si>
    <t>Wrong net price calculated during Central contract change</t>
  </si>
  <si>
    <t>POERPRequest_In_V1: PO created without Reference Date</t>
  </si>
  <si>
    <t>ML85:'ServiceAcknowledgementERPNotification_Out' message</t>
  </si>
  <si>
    <t>CCM: Item UOM replicated incorrectly for Ext.service Proc.</t>
  </si>
  <si>
    <t>CCM:Item number gets duplicated for service Purchase orders</t>
  </si>
  <si>
    <t>CCM: Deletion of item fails with error OPS_SE_PUR_COMMON</t>
  </si>
  <si>
    <t>SRM SUS/ ML81N: Error message KI 235 is being issued</t>
  </si>
  <si>
    <t>ERP : Inbound failure for PR Update</t>
  </si>
  <si>
    <t>PurchaseOrderERPRequest_In_V1: price unit is not mapped</t>
  </si>
  <si>
    <t>SRM contract replication dumps on empty item data</t>
  </si>
  <si>
    <t>Report ME2J disply incorrect results for service PO's</t>
  </si>
  <si>
    <t>MM-SRV-GF-CO</t>
  </si>
  <si>
    <t>Service PO shows incorrect commitments</t>
  </si>
  <si>
    <t>MM-SRV-MD</t>
  </si>
  <si>
    <t>Valuation class is not validated in BAPI_SERVICE_CREATE</t>
  </si>
  <si>
    <t>MM-SRV-SR</t>
  </si>
  <si>
    <t>Service Entry</t>
  </si>
  <si>
    <t>ML81N: Wrong tax code determination</t>
  </si>
  <si>
    <t>PA</t>
  </si>
  <si>
    <t>Personnel Management</t>
  </si>
  <si>
    <t>PA-PM</t>
  </si>
  <si>
    <t>Funds and Position Management</t>
  </si>
  <si>
    <t>PA-PM-CP</t>
  </si>
  <si>
    <t>Commitment/Budget Cr</t>
  </si>
  <si>
    <t>Wrong update of documents when using approval workflow in FM</t>
  </si>
  <si>
    <t>Support of "Business area" and "Segment"</t>
  </si>
  <si>
    <t>PLM-WUI-APP-SEA</t>
  </si>
  <si>
    <t>Search</t>
  </si>
  <si>
    <t>Delta indexing for material terminates</t>
  </si>
  <si>
    <t>Material long texts are overwritten during indexing</t>
  </si>
  <si>
    <t>DUMP during method call in the data extraction for documents</t>
  </si>
  <si>
    <t>Incorrect material short text saved during indexing</t>
  </si>
  <si>
    <t>PLM-WUI-OBJ</t>
  </si>
  <si>
    <t>Objects in PLM Web UI</t>
  </si>
  <si>
    <t>PLM-WUI-OBJ-DMS</t>
  </si>
  <si>
    <t>Document</t>
  </si>
  <si>
    <t>Customized Whitelists in PLM WUI Documents</t>
  </si>
  <si>
    <t>Documentation objs contain characters that are not allowed</t>
  </si>
  <si>
    <t>Status extractor for CS and PM Orders</t>
  </si>
  <si>
    <t>LAM: Short dump when uploading and downloading markers</t>
  </si>
  <si>
    <t>PM-EQM-EQ</t>
  </si>
  <si>
    <t>Equipment</t>
  </si>
  <si>
    <t>IE31: error when vehicle created with reference to material</t>
  </si>
  <si>
    <t>Field 'Division' can not be updated in IE01/IE02</t>
  </si>
  <si>
    <t>Reference field for GROSS_WGT and LOAD_WGT in FLEET is wrong</t>
  </si>
  <si>
    <t>ES models BUS0010, EQUI: Missing fields in hit list</t>
  </si>
  <si>
    <t>Exception NOT_SUCCESSFUL not handled in equipment bapis</t>
  </si>
  <si>
    <t>ITOB buffer content check before cleanup</t>
  </si>
  <si>
    <t>Multilingual short texts are not copied from ref. material</t>
  </si>
  <si>
    <t>Core dumps may occur in kernel function</t>
  </si>
  <si>
    <t>PM-EQM-LE</t>
  </si>
  <si>
    <t>Incorrect quantity display in IH05</t>
  </si>
  <si>
    <t>IE02/IE03: Error message IK 013 when calling the history</t>
  </si>
  <si>
    <t>PM-EQM-ON</t>
  </si>
  <si>
    <t>Object Networks</t>
  </si>
  <si>
    <t>List of entries duplicated after refresh in IL02, IH06</t>
  </si>
  <si>
    <t>Functional enhancement of note 1562098</t>
  </si>
  <si>
    <t>PM-EQM-SF</t>
  </si>
  <si>
    <t>Additional functions</t>
  </si>
  <si>
    <t>PM-EQM-SF-MPC</t>
  </si>
  <si>
    <t>Meas. points/countrs</t>
  </si>
  <si>
    <t>Wrong search help for reference measuring points in IK08</t>
  </si>
  <si>
    <t>EAM CC: Deactivation of measurement points</t>
  </si>
  <si>
    <t>EAM CC: Mass deactivation of measuring points / counters</t>
  </si>
  <si>
    <t>PM-ES</t>
  </si>
  <si>
    <t>ES Plant Maintenance</t>
  </si>
  <si>
    <t>ESOA: Incorrect Malfunction Date in ECC_SRVCREQIDQR1 service</t>
  </si>
  <si>
    <t>Dump when network order is read in BAPI_ALM_ORDER_GET_DETAIL</t>
  </si>
  <si>
    <t>PM-PRM</t>
  </si>
  <si>
    <t>PM-PRM-MP</t>
  </si>
  <si>
    <t>Maintenance Plans</t>
  </si>
  <si>
    <t>Restart plan doesn't update offset in case of Start in Cycle</t>
  </si>
  <si>
    <t>Message IP 130 for costing in transaction IP17</t>
  </si>
  <si>
    <t>PM-PRM-TL</t>
  </si>
  <si>
    <t>Task Lists</t>
  </si>
  <si>
    <t>Error when executing the transaction IP62</t>
  </si>
  <si>
    <t>IA17. Special characters are printed with the longtext</t>
  </si>
  <si>
    <t>IA17: Type of Inspection characteristics is incorrect</t>
  </si>
  <si>
    <t>IA05: Error 'Ativity 0010 is not valid for service' (CN678)</t>
  </si>
  <si>
    <t>Syntax error in the include LCPDIO10</t>
  </si>
  <si>
    <t>Unit of Measure not copied correctly for a catalog material</t>
  </si>
  <si>
    <t>IA03 / IA10 Display of task list is different</t>
  </si>
  <si>
    <t>IA05: External service operation unit of measure is empty</t>
  </si>
  <si>
    <t>IP19: fetches incorrect results</t>
  </si>
  <si>
    <t>IA06: no error when only purchase document is given</t>
  </si>
  <si>
    <t>PM-WCM</t>
  </si>
  <si>
    <t>Work clearance mgmt</t>
  </si>
  <si>
    <t>WCM: Pushbutton WCM-relevant operations with GM task list</t>
  </si>
  <si>
    <t>Maintenance Order Management</t>
  </si>
  <si>
    <t>PM-WOC-CP</t>
  </si>
  <si>
    <t>Cap./res. planning</t>
  </si>
  <si>
    <t>IW31: Warning message CY411 not issued correctly.</t>
  </si>
  <si>
    <t>IP10: Split data in the last call object</t>
  </si>
  <si>
    <t>PM-WOC-JC</t>
  </si>
  <si>
    <t>Confirmations</t>
  </si>
  <si>
    <t>EAML: IW41 confirmation AFVGD in CO_RU_GET_ORDER_DATA del.</t>
  </si>
  <si>
    <t>IW41: Goods movements not proposed for relevant operation</t>
  </si>
  <si>
    <t>IW42: Update of confirmations without entries</t>
  </si>
  <si>
    <t>PM-WOC-JC-CNF</t>
  </si>
  <si>
    <t>Order confirmation</t>
  </si>
  <si>
    <t>TR IW43: Record type is not diplayed for the confirmations</t>
  </si>
  <si>
    <t>IW41: Incorrect Workcenter ID is Passed to User Exit</t>
  </si>
  <si>
    <t>IW28: Order getting locked even when assignment not possible</t>
  </si>
  <si>
    <t>IW13: No search help for notification and customer fields</t>
  </si>
  <si>
    <t>ORAS status set for notif. after exception triggered by BADI</t>
  </si>
  <si>
    <t>IW68: Incorrect data displayed for reference object</t>
  </si>
  <si>
    <t>IW38/IW39: Performance is poor</t>
  </si>
  <si>
    <t>IW66: Userstatus not shown correctly for the tasks</t>
  </si>
  <si>
    <t>IW49 / IW37  fetches incorrect results</t>
  </si>
  <si>
    <t>IW38/IW39: Costs are displayed incorrectly</t>
  </si>
  <si>
    <t>MAM:Notification Item structure data missing for few fields</t>
  </si>
  <si>
    <t>MAM 3.0:Cause longtext wrongly added in Notification</t>
  </si>
  <si>
    <t>MAM: Characteristic range interval not sent to device</t>
  </si>
  <si>
    <t>MAM: All unit pickers are not shown in device</t>
  </si>
  <si>
    <t>MAM: Parameter in BAdi ALM_ME_USER is not getting filled</t>
  </si>
  <si>
    <t>F4 help is not working in transaction ALM_ME_ORDER</t>
  </si>
  <si>
    <t>PM-WOC-MB-SER</t>
  </si>
  <si>
    <t>Server Side</t>
  </si>
  <si>
    <t>MAM30: Wrong error message is displayed for order</t>
  </si>
  <si>
    <t>PM-WOC-MH</t>
  </si>
  <si>
    <t>Maintenance History</t>
  </si>
  <si>
    <t>Actual data tab displayed in another tab for an Archived ord</t>
  </si>
  <si>
    <t>IW51: Notification text is marked when there is one line</t>
  </si>
  <si>
    <t>Action box in a PM/CS notification is not called correctly</t>
  </si>
  <si>
    <t>Notification Created time is incorrect if timzone set</t>
  </si>
  <si>
    <t>IQS21: Update termination if authorization check failed.</t>
  </si>
  <si>
    <t>IW28: DUMP when you save the notification</t>
  </si>
  <si>
    <t>IW52: Sold-to party editable for notification</t>
  </si>
  <si>
    <t>Notification date fields not initialized properly in IBIP</t>
  </si>
  <si>
    <t>IW21/22: Field 'NAME_LIST' not updated completely on change</t>
  </si>
  <si>
    <t>IW12: Unable to navigate to details of material posting</t>
  </si>
  <si>
    <t>BAPI: Sales document/sales item data cleared in notification</t>
  </si>
  <si>
    <t>BAPI: Log line not added for the long text in PM/CS Notif.</t>
  </si>
  <si>
    <t>IW21 : Incorrect label '10\TAB13' shown for Tasks tab</t>
  </si>
  <si>
    <t>Performance problem in IW58</t>
  </si>
  <si>
    <t>IW21/22: Field 'NAME_LIST' is not displayed on change</t>
  </si>
  <si>
    <t>Authorization check incorrect when reading notifications</t>
  </si>
  <si>
    <t>Contact person address not displayed</t>
  </si>
  <si>
    <t>IQS4_ADD_DATA_NOTIFICATION: Incorrect long text for items</t>
  </si>
  <si>
    <t>Warning message MCEX 119 when closing service notification</t>
  </si>
  <si>
    <t>Incorrect screen opens in PM/CS notification</t>
  </si>
  <si>
    <t>Missing data transfer from reference object in IW21</t>
  </si>
  <si>
    <t>PM-WOC-MN-PAM</t>
  </si>
  <si>
    <t>Pool Asset Managemen</t>
  </si>
  <si>
    <t>PAM: Error when settling requirements</t>
  </si>
  <si>
    <t>IW32:Authorization checks missing for delete of notification</t>
  </si>
  <si>
    <t>PM/CS: Withdrawal quantity and actual work shown as blank</t>
  </si>
  <si>
    <t>Incorrect explosion date in the BAPI IBAPI_T_ROUTING_EXPLODE</t>
  </si>
  <si>
    <t>IW31/IW32: Unreleased WBS can be assigned to PM/CS Order</t>
  </si>
  <si>
    <t>IW32:Work center changed data not retained via batch input</t>
  </si>
  <si>
    <t>IW32: able to edit the order despite with Locked status</t>
  </si>
  <si>
    <t>IW32: long text does not get deleted completely</t>
  </si>
  <si>
    <t>IW22:Text Control disappear if navigate twice from order</t>
  </si>
  <si>
    <t>IW31/32: Unable to access Enhancement ICSV0003</t>
  </si>
  <si>
    <t>IW32: User fields incorrectly updated for empty field key</t>
  </si>
  <si>
    <t>Business object AFVC_PM is not released</t>
  </si>
  <si>
    <t>IW31: Short text for first operation not displayed</t>
  </si>
  <si>
    <t>Splits getting cleared for the operation</t>
  </si>
  <si>
    <t>Inspection lot not generated from transaction EG90</t>
  </si>
  <si>
    <t>BAPI: Wrong Sales Division in Sales Order</t>
  </si>
  <si>
    <t>BUS2088:Indexing service order dumps with GETWA_NOT_ASSIGNED</t>
  </si>
  <si>
    <t>Future date accepted for maintenance plan completion date</t>
  </si>
  <si>
    <t>CM33: Incorrect long text gets updated in PM orders</t>
  </si>
  <si>
    <t>BAPI_ALM_ORDER_MAINTAIN give error CO318 during order create</t>
  </si>
  <si>
    <t>IW32 : System exits When order printing is cancelled</t>
  </si>
  <si>
    <t>Extension to note 1604646</t>
  </si>
  <si>
    <t>IW32: Short dump is occurred when costing is done for oper</t>
  </si>
  <si>
    <t>BAPI_ALM_ORDER_MAINTAIN updates afvg-txtsp incorrectly</t>
  </si>
  <si>
    <t>Archive: Extension to note 1633437</t>
  </si>
  <si>
    <t>Syntax error in workflow template 20000021</t>
  </si>
  <si>
    <t>Component detail NLAG: Several fields ready for input</t>
  </si>
  <si>
    <t>IW32 : customer number is not cleared when SO is cleared</t>
  </si>
  <si>
    <t>BAPI_ALM_ORDER_MAINTAIN: Error message CO 888 triggered</t>
  </si>
  <si>
    <t>BAPI_ALM_ORDER_MAINTAIN: Location/Accnt assgnmnt data incorr</t>
  </si>
  <si>
    <t>Creation of order in background results to dump</t>
  </si>
  <si>
    <t>Improving the access to the include LCOVGFZ5</t>
  </si>
  <si>
    <t>IW31: Error 06739 and system exits when a TL is included</t>
  </si>
  <si>
    <t>BAPI_ALM_ORDER_MAINTAIN: Error message CO 327 triggered</t>
  </si>
  <si>
    <t>Enhancement of the BAdi for MRS integration</t>
  </si>
  <si>
    <t>IW32 : Activate Reservation changes operation Res/ purcreq</t>
  </si>
  <si>
    <t>SAP enhancement IWO10009: CAUFVD-SP_AENKZ has incorr value</t>
  </si>
  <si>
    <t>Simple order view: Environment display for settlement order</t>
  </si>
  <si>
    <t>EAM order: Incorrect authorization check</t>
  </si>
  <si>
    <t>Missing authorization for order processing</t>
  </si>
  <si>
    <t>Order w/ operatn accnt assgnmnt: Job card printing permitted</t>
  </si>
  <si>
    <t>TPMUS fields are ignored in dummy operation</t>
  </si>
  <si>
    <t>Settlement rule getting duplicated for suborder</t>
  </si>
  <si>
    <t>IWO10027: Source assignment, amount for amount rule</t>
  </si>
  <si>
    <t>CATA/CAT9: Actual costs incorrect after canceling confs</t>
  </si>
  <si>
    <t>PM-WOC-MO-ARC</t>
  </si>
  <si>
    <t>DIP profile changes for historical order</t>
  </si>
  <si>
    <t>Notifications with wrong status are written to the archive</t>
  </si>
  <si>
    <t>Archive Conversions do not work correctly for table PMPL</t>
  </si>
  <si>
    <t>Historical EAM order shows incorrect withdrawal amounts</t>
  </si>
  <si>
    <t>Movement Allowed indicator incorrectly set</t>
  </si>
  <si>
    <t>PM-WOC-MO-OCI</t>
  </si>
  <si>
    <t>Catalog Integration</t>
  </si>
  <si>
    <t>BAPI PLM_CATALOG_IF: Syntax error during activation</t>
  </si>
  <si>
    <t>PM-WOC-MO-OLC</t>
  </si>
  <si>
    <t>Operation Level Cost</t>
  </si>
  <si>
    <t>BADI_OLC_SETTL_RULE_DET_OPR: Influence of changed messages</t>
  </si>
  <si>
    <t>IW31/IW32: Various errors for estimated costs</t>
  </si>
  <si>
    <t>Cost overview: Estimated costs for value categories wrong</t>
  </si>
  <si>
    <t>CO99/RKKBABS0: Business completion despite balance &lt;&gt; zero</t>
  </si>
  <si>
    <t>OAA operation data not displayed in transaction IW37N</t>
  </si>
  <si>
    <t>PM-WOC-MO-PRI</t>
  </si>
  <si>
    <t>Print, fax, paging</t>
  </si>
  <si>
    <t>Performance issue when seeing the print log</t>
  </si>
  <si>
    <t>IW3D : Material description is printed in logon language</t>
  </si>
  <si>
    <t>PM-WOC-MO-TSK</t>
  </si>
  <si>
    <t>Task lists</t>
  </si>
  <si>
    <t>Repair order: Dialog box for operations is not triggered</t>
  </si>
  <si>
    <t>PM-WOC-RO</t>
  </si>
  <si>
    <t>Refurbishment Order</t>
  </si>
  <si>
    <t>BAPI_ALM_ORDER_MAINTAIN: Triggering general maint. task list</t>
  </si>
  <si>
    <t>Changes were cancelled</t>
  </si>
  <si>
    <t>PP-ATO</t>
  </si>
  <si>
    <t>Assembly Processing</t>
  </si>
  <si>
    <t>Assembly-to-order: pl. order not deleted when plant changed</t>
  </si>
  <si>
    <t>PP-BD</t>
  </si>
  <si>
    <t>PP-BD-CAP</t>
  </si>
  <si>
    <t>CAPP</t>
  </si>
  <si>
    <t>CE11: Unable to exit the F4 help of the table</t>
  </si>
  <si>
    <t>PP-BD-RTG</t>
  </si>
  <si>
    <t>Routing</t>
  </si>
  <si>
    <t>CA98 : AEOI entries for the deleted routings are not deleted</t>
  </si>
  <si>
    <t>Missing authorization check in PP-BD-RTG</t>
  </si>
  <si>
    <t>QP60: Showing duplicate entries in the ALV list</t>
  </si>
  <si>
    <t>CN02: Incorrect error message for standard BOM</t>
  </si>
  <si>
    <t>CA01/02 : Long text - Error TD605 with special characters</t>
  </si>
  <si>
    <t>MM_MATNR: Error W4015 in material master archiving</t>
  </si>
  <si>
    <t>User-defined fields in the operation overview</t>
  </si>
  <si>
    <t>Definitions of text lengths too short (RMPLAN00)</t>
  </si>
  <si>
    <t>PP-BD-WKC</t>
  </si>
  <si>
    <t>Work Center</t>
  </si>
  <si>
    <t>Changes in search helps CRAMT, CRAMV, CRAMN</t>
  </si>
  <si>
    <t>Factory calender and shift modell have different work days</t>
  </si>
  <si>
    <t>Endless loop in CR15 if no authorization for plant</t>
  </si>
  <si>
    <t>Workcenter is deleted although if is used in insp.lot oper.</t>
  </si>
  <si>
    <t>PP-CRP</t>
  </si>
  <si>
    <t>Capacity Planning</t>
  </si>
  <si>
    <t>PP-CRP-ALY</t>
  </si>
  <si>
    <t>Capacity Evaluations</t>
  </si>
  <si>
    <t>CM38: Header text not displayed properly in capacity lists.</t>
  </si>
  <si>
    <t>PP-CRP-LVL</t>
  </si>
  <si>
    <t>Capacity Leveling</t>
  </si>
  <si>
    <t>CM25 : Material Stock graph updated incorrectly</t>
  </si>
  <si>
    <t>PP-CRP-SCH</t>
  </si>
  <si>
    <t>Scheduling</t>
  </si>
  <si>
    <t>MS02 : LTP planned orders have incorrect basic finish date.</t>
  </si>
  <si>
    <t>OLIF does not post correct values in S225 for Scrap reversal</t>
  </si>
  <si>
    <t>PP-IS-DC</t>
  </si>
  <si>
    <t>PP-IS: Actual scrap quantity (MCAFPO-IAMNG) incorrect</t>
  </si>
  <si>
    <t>PP-IS-REP</t>
  </si>
  <si>
    <t>Operation analysis: Export to XXL does not work correctly</t>
  </si>
  <si>
    <t>PP-KAB</t>
  </si>
  <si>
    <t>KANBAN</t>
  </si>
  <si>
    <t>Kanban control cycles not transferred to SNC</t>
  </si>
  <si>
    <t>PP-KAB-CC</t>
  </si>
  <si>
    <t>KANBAN control cycle</t>
  </si>
  <si>
    <t>PKMC: Incorrect F4 help values with stock transfer strategy</t>
  </si>
  <si>
    <t>PP-KAB-CRL</t>
  </si>
  <si>
    <t>KANBAN Control</t>
  </si>
  <si>
    <t>PK05: System dumps on selecting the Cancel button</t>
  </si>
  <si>
    <t>PP-KAB-KE</t>
  </si>
  <si>
    <t>Evaluations</t>
  </si>
  <si>
    <t>PK17: Filter set on kanbans is ignored on select all</t>
  </si>
  <si>
    <t>Planned order is not distributed to MES (CO_MES_INT 026)</t>
  </si>
  <si>
    <t>DRF replication model cannot be activated</t>
  </si>
  <si>
    <t>Message CO_MES_INT 026: Planned order is not distributed</t>
  </si>
  <si>
    <t>MD62/MD63: Text for independent requirements not displayed</t>
  </si>
  <si>
    <t>Update termination in function module PLANBEDARF_UPDATE</t>
  </si>
  <si>
    <t>Mat. req. planning</t>
  </si>
  <si>
    <t>Planned order creation: Wrong inheritance of configuration</t>
  </si>
  <si>
    <t>MD14: Acct assgmt cat not in planned order of PRreq</t>
  </si>
  <si>
    <t>Runtime improvement BAdI MD_CHANGE_MRP_DATA</t>
  </si>
  <si>
    <t>Safety time icon too narrow to distinguish on/off state</t>
  </si>
  <si>
    <t>MD04: Runtime error DYNPRO_FIELD_CONVERSION</t>
  </si>
  <si>
    <t>RMDLDR00: Background job does not allow printing</t>
  </si>
  <si>
    <t>RMDMULTILEVELDELAY terminates with error 61124</t>
  </si>
  <si>
    <t>PP-MRP-PP</t>
  </si>
  <si>
    <t>Procurement Proposal</t>
  </si>
  <si>
    <t>MD16 : Blank line left after conversion to production order</t>
  </si>
  <si>
    <t>MD12 : Cannot return to the transaction variant</t>
  </si>
  <si>
    <t>PP-PDC</t>
  </si>
  <si>
    <t>Plant Data Coll.</t>
  </si>
  <si>
    <t>PDC download: Error RU 533</t>
  </si>
  <si>
    <t>PP-PI-CFB</t>
  </si>
  <si>
    <t>Consumer Products</t>
  </si>
  <si>
    <t>CFB PLM CheckMan error</t>
  </si>
  <si>
    <t>CFB data collation: Various errors</t>
  </si>
  <si>
    <t>CFB: Test scale model class without dialog box</t>
  </si>
  <si>
    <t>Termination when clearing remaining batch quantities</t>
  </si>
  <si>
    <t>Korrekturen ohne eigenen Kundenhinweis</t>
  </si>
  <si>
    <t>Production Version valid-from date cannot be after key date</t>
  </si>
  <si>
    <t>C202 Performance : master recipe with xsteps</t>
  </si>
  <si>
    <t>MQC: BOM's Base Quantity is set to Zero</t>
  </si>
  <si>
    <t>PP-PI-MIR</t>
  </si>
  <si>
    <t>Material Identificat</t>
  </si>
  <si>
    <t>Endless loop in COHU_HU_CANCEL_GI</t>
  </si>
  <si>
    <t>COEBR: Wrong doc. profile used for displaying print preview</t>
  </si>
  <si>
    <t>Failed archiving of EBR creating entries in Table TOA01</t>
  </si>
  <si>
    <t>GI for process message category posted on totals record</t>
  </si>
  <si>
    <t>PP-PI-PMA-PMC</t>
  </si>
  <si>
    <t>Browser PI Sheet</t>
  </si>
  <si>
    <t>Verantwortliche für TADIR-Objekte</t>
  </si>
  <si>
    <t>COEBR - signatures/comments missing in deviation report</t>
  </si>
  <si>
    <t>COEBR : Comments for digital signatures for process steps</t>
  </si>
  <si>
    <t>PP-PI-PMA-XS</t>
  </si>
  <si>
    <t>Xsteps (Execution</t>
  </si>
  <si>
    <t>XSTEPS are not copied to Orders for coll. Order scenario</t>
  </si>
  <si>
    <t>CORO: Termination CO706 when converting units of measure</t>
  </si>
  <si>
    <t>COR1: Order can be saved despite missing settlement rule</t>
  </si>
  <si>
    <t>Collective Corrections for Allocation and Network Modelling</t>
  </si>
  <si>
    <t>PP-PN-ALN</t>
  </si>
  <si>
    <t>Production Allocatio</t>
  </si>
  <si>
    <t>Issue with planned Quantity Allocation from Planning Table</t>
  </si>
  <si>
    <t>Issues with Allocation run in simulation scenario</t>
  </si>
  <si>
    <t>Allocation prod calcu for Beginning Invetory is incorrect</t>
  </si>
  <si>
    <t>Runtime Error during component allocation run</t>
  </si>
  <si>
    <t>Perf Improvement for allocation rule and capture measurement</t>
  </si>
  <si>
    <t>Dump due to tolerance percentage while running allocation</t>
  </si>
  <si>
    <t>Comingled well scenario fix for Theoreticals</t>
  </si>
  <si>
    <t>Prior Period Notification Corrections</t>
  </si>
  <si>
    <t>Issue with Component Allocation</t>
  </si>
  <si>
    <t>Error Log Display from Allocation preprocessing POWL</t>
  </si>
  <si>
    <t>Issue in remaining inventory during dual unit allocation</t>
  </si>
  <si>
    <t>PP-PN-NM</t>
  </si>
  <si>
    <t>Network Modeler</t>
  </si>
  <si>
    <t>Switch BC set entry for Manifold is missing</t>
  </si>
  <si>
    <t>IMG node for number range for network objects</t>
  </si>
  <si>
    <t>PP-REM</t>
  </si>
  <si>
    <t>Repetitive Manufac.</t>
  </si>
  <si>
    <t>EWM-REM: Dump during goods receipt for inbound delivery</t>
  </si>
  <si>
    <t>SAP Note 1566765 leads to termination CONVT_NO_NUMBER</t>
  </si>
  <si>
    <t>EWM-REM: Dump during reversal of REM confirmation</t>
  </si>
  <si>
    <t>PP-REM-ADE</t>
  </si>
  <si>
    <t>Backflushing</t>
  </si>
  <si>
    <t>Product cost collector TECO: Goods receipt</t>
  </si>
  <si>
    <t>PP-REM-PLL</t>
  </si>
  <si>
    <t>Pull list</t>
  </si>
  <si>
    <t>Falsche Konstantendeklaration für EWM-Bereitst. in MF60</t>
  </si>
  <si>
    <t>PP-REM-PLN</t>
  </si>
  <si>
    <t>Repet. manuf. plan.</t>
  </si>
  <si>
    <t>MF50: Wrong status set on order header</t>
  </si>
  <si>
    <t>CO02: KZEAR not set when decreasing quantity of phantom item</t>
  </si>
  <si>
    <t>Order split: Base qty for child not in split information</t>
  </si>
  <si>
    <t>PP-SFC-ADB</t>
  </si>
  <si>
    <t>Adobe Document Services in Production Orders</t>
  </si>
  <si>
    <t>PP-SFC-ADB-PRN</t>
  </si>
  <si>
    <t>Shop paper printing: LK01 - Components printed in duplicate</t>
  </si>
  <si>
    <t>PP-SFC-CPL</t>
  </si>
  <si>
    <t>Order Close</t>
  </si>
  <si>
    <t>Dynamic assembly: Deletion flag</t>
  </si>
  <si>
    <t>Archiving write program: No detail log</t>
  </si>
  <si>
    <t>Production order: System displays old configuration</t>
  </si>
  <si>
    <t>CO02: Order split possible for orders without material</t>
  </si>
  <si>
    <t>IBase not built while saving from Goods Movements screen</t>
  </si>
  <si>
    <t>CO12: Dump ORDER_DATA_MISSING with proposed quantity</t>
  </si>
  <si>
    <t>Automatic confirmation: Business process incorrect</t>
  </si>
  <si>
    <t>Partial confirmation with qty of zero set actual end date</t>
  </si>
  <si>
    <t>Documentary batch management for by-products</t>
  </si>
  <si>
    <t>Creating or changing a quality notif. from a confirmation</t>
  </si>
  <si>
    <t>PP-SFC-EXE-GM</t>
  </si>
  <si>
    <t>Goods Movements</t>
  </si>
  <si>
    <t>COGI: Check missing when you replace the storage location</t>
  </si>
  <si>
    <t>CORU_PHANT_REDUCT sets too many locks on RKPF</t>
  </si>
  <si>
    <t>Backflushing during batch determination using EWM</t>
  </si>
  <si>
    <t>COGI: No entry found for selection</t>
  </si>
  <si>
    <t>PP-SFC-EXE-OCM</t>
  </si>
  <si>
    <t>Order Change Mgmnt</t>
  </si>
  <si>
    <t>COCM: Procurement element: Planned order not found</t>
  </si>
  <si>
    <t>Change configuration: Runtime error RAISE_EXCEPTION</t>
  </si>
  <si>
    <t>COCM:Syst. writes to log incorrectly when determining change</t>
  </si>
  <si>
    <t>COCM: Change numbers cannot be selected using plant</t>
  </si>
  <si>
    <t>PP-SFC-IS</t>
  </si>
  <si>
    <t>Dump by ATP check of mass processing on collective basis</t>
  </si>
  <si>
    <t>Predecessor data and successor data missing</t>
  </si>
  <si>
    <t>Creating sales order using BAPI: Assembly order</t>
  </si>
  <si>
    <t>SY-BATCH when you change an order using a BAPI</t>
  </si>
  <si>
    <t>Changing an order using a BAPI: Locks</t>
  </si>
  <si>
    <t>Document link after deleting the operation</t>
  </si>
  <si>
    <t>PP-SFC-PLN-CPT</t>
  </si>
  <si>
    <t>Components</t>
  </si>
  <si>
    <t>CO01: incor. qty calculation by order creation w/ reference</t>
  </si>
  <si>
    <t>Direct procurement and bulk material indicator</t>
  </si>
  <si>
    <t>Reassignment/phantom assembly: RAISE_EXCEPTION NOT_FOUND</t>
  </si>
  <si>
    <t>Non-stock item: Origin, origin group</t>
  </si>
  <si>
    <t>Display characteristic value assignment: Message CN 565</t>
  </si>
  <si>
    <t>C2 327: Inconsistent data: duplicate entry M</t>
  </si>
  <si>
    <t>Operation list: Duplicate entries</t>
  </si>
  <si>
    <t>Endless loop when orders are changed</t>
  </si>
  <si>
    <t>Planned order: No confirmation date</t>
  </si>
  <si>
    <t>Production orders for order type: Order number</t>
  </si>
  <si>
    <t>Assembly order collective order: Settlement rule</t>
  </si>
  <si>
    <t>Configuration issues after applying note 1578554</t>
  </si>
  <si>
    <t>Simulationsauftrag: Creation of ctrl instr. active for test</t>
  </si>
  <si>
    <t>Production order dumps when a locked profit center is used</t>
  </si>
  <si>
    <t>Field key: Message CP 581 unjustified</t>
  </si>
  <si>
    <t>Assembly processing: RAISE_EXCEPTION DIALOG_CANCELED</t>
  </si>
  <si>
    <t>PP-SFC-PLN-PRT</t>
  </si>
  <si>
    <t>Production Resources</t>
  </si>
  <si>
    <t>CO02: Requested function ALUE is not available here</t>
  </si>
  <si>
    <t>PP-SOP</t>
  </si>
  <si>
    <t>SOP</t>
  </si>
  <si>
    <t>Termination when transaction MC75 is executed</t>
  </si>
  <si>
    <t>Rounding for the diaggregation is incorrect</t>
  </si>
  <si>
    <t>PPM</t>
  </si>
  <si>
    <t>Portfolio and Project Management</t>
  </si>
  <si>
    <t>PPM-PFM</t>
  </si>
  <si>
    <t>Portfolio Management</t>
  </si>
  <si>
    <t>PPM-PFM-INT</t>
  </si>
  <si>
    <t>Integration with External Applications</t>
  </si>
  <si>
    <t>PPM-PFM-INT-PS</t>
  </si>
  <si>
    <t>Integr/ Interf to PS</t>
  </si>
  <si>
    <t>Milestone not copied for automatic PS Project creation</t>
  </si>
  <si>
    <t>Profit Center conversion error</t>
  </si>
  <si>
    <t>PS-CAF</t>
  </si>
  <si>
    <t>Payments</t>
  </si>
  <si>
    <t>PS-CAF-ACT</t>
  </si>
  <si>
    <t>Act.Pmnts + Forecast</t>
  </si>
  <si>
    <t>Err. message FI 011 from function FMFK_GET_BUKRS_AKTIV_FLAGS</t>
  </si>
  <si>
    <t>(Subsequent posting) OPH5: Termination with error msg FI011</t>
  </si>
  <si>
    <t>(MM)ME22N:Exception 'DOUBLE_DELETE' after acct assgmt change</t>
  </si>
  <si>
    <t>(CC )Missing doc header after posting a purchase requisition</t>
  </si>
  <si>
    <t>PS-CLM</t>
  </si>
  <si>
    <t>Claim Management</t>
  </si>
  <si>
    <t>CLM3: Poor performance for "Claims for Project" search</t>
  </si>
  <si>
    <t>PS-COS</t>
  </si>
  <si>
    <t>Costs</t>
  </si>
  <si>
    <t>Incorr remaining costs in cost activities with unit costing</t>
  </si>
  <si>
    <t>PS-COS-BUD</t>
  </si>
  <si>
    <t>Budget</t>
  </si>
  <si>
    <t>CJ35/CJ36: Unjustified message BP 164</t>
  </si>
  <si>
    <t>KBPP_EXTERN_UPDATE_CO: Msg. BS 002/BS 014 too often or DUMP</t>
  </si>
  <si>
    <t>PS-COS-PLN</t>
  </si>
  <si>
    <t>CJ9K: Performance for invoicing plans</t>
  </si>
  <si>
    <t>PS-COS-PLN-CAL</t>
  </si>
  <si>
    <t>Costing</t>
  </si>
  <si>
    <t>CJ9QS: Rounding differences after copying</t>
  </si>
  <si>
    <t>PS-CRP</t>
  </si>
  <si>
    <t>Resources</t>
  </si>
  <si>
    <t>PS-CRP-PLN</t>
  </si>
  <si>
    <t>Runtime Error - BCD_ZERODIVIDE in transaction CMP9</t>
  </si>
  <si>
    <t>PS-DAT</t>
  </si>
  <si>
    <t>Dates</t>
  </si>
  <si>
    <t>PPB: Runtime exception 'MESSAGE_TYPE_X' on scheduling WBS</t>
  </si>
  <si>
    <t>PS-HLP</t>
  </si>
  <si>
    <t>Handling Large Projects</t>
  </si>
  <si>
    <t>PS-HLP-PE</t>
  </si>
  <si>
    <t>Project Editor</t>
  </si>
  <si>
    <t>PS EhP6:TECO status change is not changing material req.</t>
  </si>
  <si>
    <t>CN41: Performance improvement II</t>
  </si>
  <si>
    <t>CM50: Incorrect column header when exporting to Excel</t>
  </si>
  <si>
    <t>PS-IS-ACC</t>
  </si>
  <si>
    <t>CJI3: Check for period authorization (tax auditor)</t>
  </si>
  <si>
    <t>Overall releases displayed incorrectly in PS reports</t>
  </si>
  <si>
    <t>Order-costs in object currency not saved to RPSCO</t>
  </si>
  <si>
    <t>Verfügtwert im PS Reporting zu hoch nach LÖVM Fert.auftrag</t>
  </si>
  <si>
    <t>RCNRWSCMA terminates w/ "Fill in all required entry fields"</t>
  </si>
  <si>
    <t>CJEN doesn't correct/delete costs of material components</t>
  </si>
  <si>
    <t>Long runtime when a lot of SD-orders have been read</t>
  </si>
  <si>
    <t>Long runtime in CJ33</t>
  </si>
  <si>
    <t>LDB PSJ: Long runtime building up the hierarchy</t>
  </si>
  <si>
    <t>PSJ: dump using GET MLSTD with active multi-language support</t>
  </si>
  <si>
    <t>PS-IS-LOG</t>
  </si>
  <si>
    <t>CustConn PS: Object currency - Prerequisite for new function</t>
  </si>
  <si>
    <t>Obj. currency in project planning board &amp; structure reports</t>
  </si>
  <si>
    <t>Status filter/exception; Cannot delete filter/exception</t>
  </si>
  <si>
    <t>CN52N: wrong network number for simulation versions</t>
  </si>
  <si>
    <t>PS-IS-LOG-CAP</t>
  </si>
  <si>
    <t>Capacities</t>
  </si>
  <si>
    <t>CN50N does not display any values for planned orders</t>
  </si>
  <si>
    <t>PS-IS-LOG-IND</t>
  </si>
  <si>
    <t>Indiv. Overview</t>
  </si>
  <si>
    <t>CN52: WBS field is never filled</t>
  </si>
  <si>
    <t>CN47N: order category text is never filled</t>
  </si>
  <si>
    <t>CN48N: No unit conversion to the activity's unit of work</t>
  </si>
  <si>
    <t>PS-IS-LOG-STR</t>
  </si>
  <si>
    <t>Structure overview</t>
  </si>
  <si>
    <t>CN41N: Performance improvement (IV)</t>
  </si>
  <si>
    <t>CN41/CN43: Detail Display missing Project-Type text &amp; others</t>
  </si>
  <si>
    <t>CN41N export to Excel is not correct</t>
  </si>
  <si>
    <t>CN41: Displayed Fields profile change --&gt; fields not updated</t>
  </si>
  <si>
    <t>Period Breakdown shows the periods twice</t>
  </si>
  <si>
    <t>CN41: Deleting filter/exception doesn't work correctly</t>
  </si>
  <si>
    <t>Material Field Selection:Base unit of measure</t>
  </si>
  <si>
    <t>Same information message appears more than once</t>
  </si>
  <si>
    <t>Trxs GRM2 and GRM5 F4 help uses grouping type 1 incorrectly</t>
  </si>
  <si>
    <t>PS-MAT-PRC</t>
  </si>
  <si>
    <t>Procurement</t>
  </si>
  <si>
    <t>Procurement Indicator is not copied to the material.</t>
  </si>
  <si>
    <t>Long text from operation not updated in PReq</t>
  </si>
  <si>
    <t>Dump when activity element is changed and Saved</t>
  </si>
  <si>
    <t>PS-PRG</t>
  </si>
  <si>
    <t>Progress</t>
  </si>
  <si>
    <t>PS-PRG-EVA</t>
  </si>
  <si>
    <t>Progress Analysis</t>
  </si>
  <si>
    <t>POC weight is erased in CJ20N in display mode</t>
  </si>
  <si>
    <t>CNPAWB: Activity data not populated correctly</t>
  </si>
  <si>
    <t>CheckMan error due to BREAK-POINT Statement</t>
  </si>
  <si>
    <t>Material determination error: Dialog disp. cannot be changed</t>
  </si>
  <si>
    <t>DP91: OLC RRB: Icon to operation and status to service order</t>
  </si>
  <si>
    <t>DP91: Many dynamic items with positive and negative amounts</t>
  </si>
  <si>
    <t>DP93: Memory_no_more_paging due to too many dynamic items</t>
  </si>
  <si>
    <t>DP91: No impact of reason for rejection on doc. flow in DP90</t>
  </si>
  <si>
    <t>Dynamic item processor: GENERATE_SUBPOOL_DIR_FULL</t>
  </si>
  <si>
    <t>DP99A: Cannot filter according to status in totals flow</t>
  </si>
  <si>
    <t>DP99A: Displaying additional fields for dynamic posts</t>
  </si>
  <si>
    <t>PS-REV-IO</t>
  </si>
  <si>
    <t>Proj-Reltd.Incom.Ord</t>
  </si>
  <si>
    <t>CJA1: Endless loop when switching list after printing.</t>
  </si>
  <si>
    <t>CJA1: Detail list not contained in spool</t>
  </si>
  <si>
    <t>PS-REV-PLN</t>
  </si>
  <si>
    <t>Planned Revenues</t>
  </si>
  <si>
    <t>Planned rev. converted by billing dte and not pricing dte</t>
  </si>
  <si>
    <t>PS-REV-RA</t>
  </si>
  <si>
    <t>Results Analysis</t>
  </si>
  <si>
    <t>KKA2: Amount in object instead ofcontrolling area currency</t>
  </si>
  <si>
    <t>KKA2: /PSIS/ program is constantly generated</t>
  </si>
  <si>
    <t>KKA2 mit parallelen Herstellkosten (Methoden 14 und 15)</t>
  </si>
  <si>
    <t>KKA2: Error message AD01 175 stops further processing</t>
  </si>
  <si>
    <t>Status Comb Code priority change :Display only fields</t>
  </si>
  <si>
    <t>PS - Issues in ACL</t>
  </si>
  <si>
    <t>DUMP in calling CO_ZF_CHECK_PRCTR for PRCTR_LOCKED exception</t>
  </si>
  <si>
    <t>System time zone is used for display in change documents</t>
  </si>
  <si>
    <t>No language check in function module OBJECT_CHECK_MATCOMP</t>
  </si>
  <si>
    <t>ACL read authorization users not able to view/change cost</t>
  </si>
  <si>
    <t>Project definition field empty in SARI transaction</t>
  </si>
  <si>
    <t>Status combination code corrections</t>
  </si>
  <si>
    <t>ACL Issues: Expanding Hierarachy and Intermediate Save</t>
  </si>
  <si>
    <t>Enhance MM and PM archiving reports for PS</t>
  </si>
  <si>
    <t>ACL records deleted on running PM_ORDER archive programs</t>
  </si>
  <si>
    <t>CustConn PS: BAdi PS_FUNCTION_SWITCH interface note</t>
  </si>
  <si>
    <t>Steps for creating BAdi PS_FUNCTION_SWITCH</t>
  </si>
  <si>
    <t>BAPI_PROJECTDEF_UPDATE returns error when multilingual set</t>
  </si>
  <si>
    <t>PS BAPI: Incomplete message 00 058, domain details missing</t>
  </si>
  <si>
    <t>Message CJ001 appears in the screen</t>
  </si>
  <si>
    <t>Information message CJ705 appears for each WBS element</t>
  </si>
  <si>
    <t>CHECKMAN: Enhance MM and PM archiving reports for PS</t>
  </si>
  <si>
    <t>Status combination update not checking status profile</t>
  </si>
  <si>
    <t>No error logs displayed on WBS status change in batch input</t>
  </si>
  <si>
    <t>CHECKMAN: Enhance MM and PM archiving reports for PS - II</t>
  </si>
  <si>
    <t>PS-ST-INT</t>
  </si>
  <si>
    <t>Interface to Ext. PS</t>
  </si>
  <si>
    <t>BAPI_NETWORK_COMP_CHANGE- Quantity incorrectly updated</t>
  </si>
  <si>
    <t>BAPI_NETWORK_COMP_CHANGE-BDMNG &amp; MEINS calculated wrong</t>
  </si>
  <si>
    <t>PS-ST-INT-BAPI</t>
  </si>
  <si>
    <t>BAPI-interface to PS</t>
  </si>
  <si>
    <t>BAPI_BUS2054_DELETE_MULTI:deletes WBS when cost is posted</t>
  </si>
  <si>
    <t>BAPI_PROJECT_MAINTAIN - Acl not inherited for few WBS</t>
  </si>
  <si>
    <t>Pop-up appears on executing BAPI_NETWORK_COMP_CHANGE</t>
  </si>
  <si>
    <t>BAPI_NETWORK_COMP_CHANGE not calculating quantity -II</t>
  </si>
  <si>
    <t>Create authority for milestones not checked</t>
  </si>
  <si>
    <t>Activity can be deleted even when milestone under it cannot</t>
  </si>
  <si>
    <t>AMLTX issue</t>
  </si>
  <si>
    <t>PS-ST-NET</t>
  </si>
  <si>
    <t>Network and activiti</t>
  </si>
  <si>
    <t>Infinite loop when copying networks in CJ20N</t>
  </si>
  <si>
    <t>Assembly processing relationships does not consider DLFL</t>
  </si>
  <si>
    <t>KABV does not prevent settlement creation in activity</t>
  </si>
  <si>
    <t>KABV does not prevent settlement on copy &amp; save of activity</t>
  </si>
  <si>
    <t>Work Centre value retained even after deletion on Activity</t>
  </si>
  <si>
    <t>Inconsistent Order data and duplicate entry in ITAB</t>
  </si>
  <si>
    <t>Description does not occur in activity milestone</t>
  </si>
  <si>
    <t>Error while swapping document across material component</t>
  </si>
  <si>
    <t>Component pur. data missing during assembly processing</t>
  </si>
  <si>
    <t>Flexible Screen:Detail screen of different activity is shown</t>
  </si>
  <si>
    <t>CJ20N-Scrolling down does not resize according to window</t>
  </si>
  <si>
    <t>PS-ST-PPB</t>
  </si>
  <si>
    <t>Project Planning B.</t>
  </si>
  <si>
    <t>Planning board/structure overview displays no obj. currency</t>
  </si>
  <si>
    <t>PS-ST-WBS</t>
  </si>
  <si>
    <t>Work Breakdown Str.</t>
  </si>
  <si>
    <t>Performance Improvement for projects without ACL records</t>
  </si>
  <si>
    <t>Performance Improvement for projects without ACL records II</t>
  </si>
  <si>
    <t>PSM-EC</t>
  </si>
  <si>
    <t>Expenditure</t>
  </si>
  <si>
    <t>Collection of corrections in EhP7</t>
  </si>
  <si>
    <t>PSM-FA</t>
  </si>
  <si>
    <t>Fund Accounting</t>
  </si>
  <si>
    <t>FMPP:Msg F5 568 if FY of invoice is unequal to FY of payment</t>
  </si>
  <si>
    <t>Authorization object F_BKPF_BUP does not always take effect</t>
  </si>
  <si>
    <t>PSM-FG</t>
  </si>
  <si>
    <t>Federal Government</t>
  </si>
  <si>
    <t>RFFMFG_UNFILLED_ORDERS - Messages are not listed in log</t>
  </si>
  <si>
    <t>BADI FMFG_SPL_BALAC_CUST clearing account not used</t>
  </si>
  <si>
    <t>PSM-FM-BCS</t>
  </si>
  <si>
    <t>Budget Control System</t>
  </si>
  <si>
    <t>PSM-FM-BCS-BU</t>
  </si>
  <si>
    <t>Search Help: adding name field for Comitment Item</t>
  </si>
  <si>
    <t>Budget overruns after FMBV with revenue cover pools</t>
  </si>
  <si>
    <t>PSM-FM-BU-BF</t>
  </si>
  <si>
    <t>Unauthorized error message for revenues</t>
  </si>
  <si>
    <t>PSM-FM-IS</t>
  </si>
  <si>
    <t>Missing characteristic budget period</t>
  </si>
  <si>
    <t>PSM-FM-MD</t>
  </si>
  <si>
    <t>FMCI_FYC: No list for background processing</t>
  </si>
  <si>
    <t>F_FICA_TRG: Incorrect authorization check</t>
  </si>
  <si>
    <t>BAPI_RESERVATION_CREATE1 issues error messages directly</t>
  </si>
  <si>
    <t>FMFR_CREATE_FROM_DATA does not take cust. field into account</t>
  </si>
  <si>
    <t>Earmarked funds: Generic locks on item level</t>
  </si>
  <si>
    <t>Earmarked funds: Incorrect conversion network activity</t>
  </si>
  <si>
    <t>FMZZ: No revaluation for exceessive earmarked funds</t>
  </si>
  <si>
    <t>Earmarked funds: Performance improvement for mass processing</t>
  </si>
  <si>
    <t>VA42: Errors coming from FMDERIVE are lost</t>
  </si>
  <si>
    <t>FMOI:Initial Funded Program Value Cleared Despite Switch</t>
  </si>
  <si>
    <t>Performance improvement during FM updating</t>
  </si>
  <si>
    <t>RFFMRP_MAT_RESERVATION - message F5192 halts process</t>
  </si>
  <si>
    <t>PSM-FM-UP-FI</t>
  </si>
  <si>
    <t>FI Integration</t>
  </si>
  <si>
    <t>Automatic down payment clearing: Multi-line down payment</t>
  </si>
  <si>
    <t>Reconstructing documents with LOGVO</t>
  </si>
  <si>
    <t>PSM-GPR</t>
  </si>
  <si>
    <t>Procurement for Public Sector</t>
  </si>
  <si>
    <t>PSM-GPR-POR</t>
  </si>
  <si>
    <t>PPS Functions in Pur</t>
  </si>
  <si>
    <t>No further GR &amp; Final Invoice are not changeable in ECC</t>
  </si>
  <si>
    <t>PY</t>
  </si>
  <si>
    <t>Payroll</t>
  </si>
  <si>
    <t>PY-XX</t>
  </si>
  <si>
    <t>Payroll: General Parts</t>
  </si>
  <si>
    <t>PY-XX-DT</t>
  </si>
  <si>
    <t>Updating the table PAYR for posting the payment</t>
  </si>
  <si>
    <t>QM-ADB</t>
  </si>
  <si>
    <t>Adobe Forms</t>
  </si>
  <si>
    <t>QM-ADB-PRN</t>
  </si>
  <si>
    <t>Print Form</t>
  </si>
  <si>
    <t>QM_INSP_CHAR, QM_INSP_METHOD: Accessibility</t>
  </si>
  <si>
    <t>INSP_INSTRUCTION: Readability</t>
  </si>
  <si>
    <t>Quality certificates are not archived for PDF form</t>
  </si>
  <si>
    <t>QM-CA-MD</t>
  </si>
  <si>
    <t>Certif. basic data</t>
  </si>
  <si>
    <t>QC02: Inconsistency in QCVM --&gt; Field CMERKMALID</t>
  </si>
  <si>
    <t>Error IL 100 when displaying functional locations</t>
  </si>
  <si>
    <t>Termination SAPSQL_WHERE_PARENTHESES during batch search</t>
  </si>
  <si>
    <t>Quantity change in inspection lot for deliveries</t>
  </si>
  <si>
    <t>QM-IM-IC</t>
  </si>
  <si>
    <t>Appraisal Costs</t>
  </si>
  <si>
    <t>QK04 - RAISE_EXCEPTION if QM plant data is missing</t>
  </si>
  <si>
    <t>QE51N: SAP enhancement QEEM0002 does not run</t>
  </si>
  <si>
    <t>Characteristic valuation does not work</t>
  </si>
  <si>
    <t>QEDS : Error message SIG 607 II</t>
  </si>
  <si>
    <t>QE71: No classification if characteristic is rejected</t>
  </si>
  <si>
    <t>BAPI_INSPOPER_RECORDRESULTS: Incorrect valuation</t>
  </si>
  <si>
    <t>QE51N - Results copy uses obsolete values I</t>
  </si>
  <si>
    <t>QM-IM-RR-DEF</t>
  </si>
  <si>
    <t>Defects</t>
  </si>
  <si>
    <t>Version management for include LQFFET01 is incorrect</t>
  </si>
  <si>
    <t>Incorrect display of multiple specification in UD</t>
  </si>
  <si>
    <t>QA11: Missing status warning</t>
  </si>
  <si>
    <t>QA11 : Stock inconsistency due to digital signature</t>
  </si>
  <si>
    <t>QA11 : Status UD not set when usage decision made</t>
  </si>
  <si>
    <t>QM-PT-BD</t>
  </si>
  <si>
    <t>TREX search for master insp. characteristics does not work</t>
  </si>
  <si>
    <t>QM-PT-BD-CAT</t>
  </si>
  <si>
    <t>Catalog</t>
  </si>
  <si>
    <t>Usage indicator for codes incorrectly set</t>
  </si>
  <si>
    <t>QM-PT-BD-MM</t>
  </si>
  <si>
    <t>MM01: QM order also copied inadvertently</t>
  </si>
  <si>
    <t>QM-PT-BD-SPL</t>
  </si>
  <si>
    <t>Samples and SPC</t>
  </si>
  <si>
    <t>QPV2: Update termination</t>
  </si>
  <si>
    <t>CWBQM: Dynamic modification criteria are not updated</t>
  </si>
  <si>
    <t>BAPI_INSPECTIONPLAN_CREATE : Missing values USR06 and USR07</t>
  </si>
  <si>
    <t>Partner data not available for BAdI NOTIF_EVENT_SAVE</t>
  </si>
  <si>
    <t>Text can no longer be maintained after copying code group</t>
  </si>
  <si>
    <t>Status change notif. &amp; tasks via BAPI &amp; digital signature</t>
  </si>
  <si>
    <t>Quality Management: documentation authorizations</t>
  </si>
  <si>
    <t>Equipment is not transferred</t>
  </si>
  <si>
    <t>Error message 00 058 when changing material for notification</t>
  </si>
  <si>
    <t>QM_REPLY: Termination when printing the PDF form</t>
  </si>
  <si>
    <t>Incorrect status for form printout</t>
  </si>
  <si>
    <t>QM-ST</t>
  </si>
  <si>
    <t>Stability Studies</t>
  </si>
  <si>
    <t>QA02: Missing menu entry for 'Copy Inspection Results'</t>
  </si>
  <si>
    <t>RE</t>
  </si>
  <si>
    <t>Real Estate Management</t>
  </si>
  <si>
    <t>RE-BD</t>
  </si>
  <si>
    <t>Real estate objects: List of assigned orders</t>
  </si>
  <si>
    <t>RE-FX</t>
  </si>
  <si>
    <t>Flexible Real Estate Management</t>
  </si>
  <si>
    <t>RE-FX-RA</t>
  </si>
  <si>
    <t>Rental Accounting</t>
  </si>
  <si>
    <t>FBL3N: Real estate account assignment is missing</t>
  </si>
  <si>
    <t>Contract check in FB01: User exit no longer runs</t>
  </si>
  <si>
    <t>RE-IS</t>
  </si>
  <si>
    <t>S_ALR_87014607 - Runtime error when exporting data</t>
  </si>
  <si>
    <t>RE-PR</t>
  </si>
  <si>
    <t>Real Estate General Contract</t>
  </si>
  <si>
    <t>RE-PR-PO</t>
  </si>
  <si>
    <t>Accrual/deferral of gen contract: Obj transfer posting incor</t>
  </si>
  <si>
    <t>RE-RT</t>
  </si>
  <si>
    <t>Rental</t>
  </si>
  <si>
    <t>RE-RT-RA</t>
  </si>
  <si>
    <t>ELKO: RE contract not recognized due to special character</t>
  </si>
  <si>
    <t>FO80: Debit position log displays incorrect partner</t>
  </si>
  <si>
    <t>SCM-APO-ATP</t>
  </si>
  <si>
    <t>Global ATP</t>
  </si>
  <si>
    <t>Dump in APO system during display of ATP help document.</t>
  </si>
  <si>
    <t>Shortage for components ATP check on planned order in APO</t>
  </si>
  <si>
    <t>Unconfirmed items after temporary error in SCM ATP check</t>
  </si>
  <si>
    <t>SCM-APO-ATP-BF</t>
  </si>
  <si>
    <t>SCM-APO-ATP-BF-PAL</t>
  </si>
  <si>
    <t>Check against Produc</t>
  </si>
  <si>
    <t>VA02 : PAL assignment removed twice results in negative qty</t>
  </si>
  <si>
    <t>VA02 : wrong allocation qty when changing schedule line type</t>
  </si>
  <si>
    <t>SCM-APO-ATP-TPO</t>
  </si>
  <si>
    <t>Third-Party Order</t>
  </si>
  <si>
    <t>TPO: persistent TQAs not deleted when credit check fails</t>
  </si>
  <si>
    <t>SCM-APO-CA</t>
  </si>
  <si>
    <t>APO Cross Application</t>
  </si>
  <si>
    <t>SCM-APO-CA-CDP</t>
  </si>
  <si>
    <t>Char.-dep. Planning</t>
  </si>
  <si>
    <t>Product not classified after integration to APO</t>
  </si>
  <si>
    <t>Classification not integrated to APO</t>
  </si>
  <si>
    <t>SCM-APO-CPR</t>
  </si>
  <si>
    <t>Collaborative Procur</t>
  </si>
  <si>
    <t>Dump of Migration of Scheduling Agreements to APO</t>
  </si>
  <si>
    <t>SCM-APO-CPR-SCH</t>
  </si>
  <si>
    <t>Selection of Schedule Agreements for Migration to APO</t>
  </si>
  <si>
    <t>SCM-APO-FCS</t>
  </si>
  <si>
    <t>Demand Planning</t>
  </si>
  <si>
    <t>SCM-APO-FCS-CSP</t>
  </si>
  <si>
    <t>Forecast consumption</t>
  </si>
  <si>
    <t>/SAPAPO/MD74: no forecast deleted on the ERP system</t>
  </si>
  <si>
    <t>Error message raised when starting CIF Outbound Queues</t>
  </si>
  <si>
    <t>SCM-APO-INT-CCR</t>
  </si>
  <si>
    <t>CIF Compare and Refresh</t>
  </si>
  <si>
    <t>SCM-APO-INT-CCR-EP</t>
  </si>
  <si>
    <t>CCR: Technical correction at ERP for AFS SCM note 1607155</t>
  </si>
  <si>
    <t>SCM-APO-INT-CCR-IP</t>
  </si>
  <si>
    <t>In-House Production</t>
  </si>
  <si>
    <t>Performance Enhancement for Delta report</t>
  </si>
  <si>
    <t>Dump CALL_FUNCTION_CONFLICT_LENG in CIF_SCOCONF_INBOUND</t>
  </si>
  <si>
    <t>SCM-APO-INT-CON</t>
  </si>
  <si>
    <t>Configuration</t>
  </si>
  <si>
    <t>no CBASE queue sent in case only observer has been added</t>
  </si>
  <si>
    <t>Configuration not send for observer objects</t>
  </si>
  <si>
    <t>Wrong configuration at purchase requisition</t>
  </si>
  <si>
    <t>SCM-APO-INT-DP</t>
  </si>
  <si>
    <t>SCM-APO-INT-DP-PIR</t>
  </si>
  <si>
    <t>Planned Independent</t>
  </si>
  <si>
    <t>Release from DP to R/3: wrong quantity of PIR created</t>
  </si>
  <si>
    <t>SCM-APO-INT-IMO</t>
  </si>
  <si>
    <t>Integration Model</t>
  </si>
  <si>
    <t>Integration model activation fails with DBIF_RSQL_SQL_ERROR</t>
  </si>
  <si>
    <t>Accessibility classification</t>
  </si>
  <si>
    <t>INT-PDS: slow due to selection conditions on alt. sequence</t>
  </si>
  <si>
    <t>INT-PDS: ITAB_ILLEGAL_SORT_ORDER due to acty relationships</t>
  </si>
  <si>
    <t>INT-PDS: Changes of not released change number transferred</t>
  </si>
  <si>
    <t>INT-PDS: Changed object dependency assignments not regarded</t>
  </si>
  <si>
    <t>INT-PDS: Only one focus PDS generated</t>
  </si>
  <si>
    <t>INT-PDS: Phase does not adopt work center of operation</t>
  </si>
  <si>
    <t>INT-PDS: Alternative resource without capacities =&gt; no modes</t>
  </si>
  <si>
    <t>INT-PDS: Usage probability ignored</t>
  </si>
  <si>
    <t>INT-PDS: Usage probability of 0 per cent not considered</t>
  </si>
  <si>
    <t>INT-PDS: Incremental load in case of errors on ERP side</t>
  </si>
  <si>
    <t>INT-PDS: Wrong AUSP records are selected</t>
  </si>
  <si>
    <t>INT-PDS: Co-product for PDS not unique</t>
  </si>
  <si>
    <t>INT-PDS: Suboperations do not apply to order but transferred</t>
  </si>
  <si>
    <t>INT-PDS: Integration model activation slow - useless commits</t>
  </si>
  <si>
    <t>INT-PDS: cumulation of sub-operations not considered</t>
  </si>
  <si>
    <t>PDS MAINT: Desc. of production version missing from display</t>
  </si>
  <si>
    <t>INT-PDS: Sequence of BOM items reversed</t>
  </si>
  <si>
    <t>INT-PDS: BOM-PDS integration ignores deletion flag</t>
  </si>
  <si>
    <t>INT-PDS: Interoperation times not correct</t>
  </si>
  <si>
    <t>INT-PDS: Storage location determntn not supported</t>
  </si>
  <si>
    <t>Note 1651967 causes syntax check warning</t>
  </si>
  <si>
    <t>INT-PDS: Target system not available in BAdI methods</t>
  </si>
  <si>
    <t>Weak performance when updating variant table</t>
  </si>
  <si>
    <t>INT-PDS: Work center classification: wrong storage location</t>
  </si>
  <si>
    <t>INT-PDS: Slow performance if using workcenter classification</t>
  </si>
  <si>
    <t>Weak performance when updating variant table [2]</t>
  </si>
  <si>
    <t>INT-PDS: Change transfer for SNP-PDS not working</t>
  </si>
  <si>
    <t>PDS_MAINT: No production versions for info record displayed</t>
  </si>
  <si>
    <t>Weak performance when updating variant table [3]</t>
  </si>
  <si>
    <t>SCM-APO-INT-MD-PPM</t>
  </si>
  <si>
    <t>Production Process M</t>
  </si>
  <si>
    <t>PPM: alternative routing/master recipe explosion</t>
  </si>
  <si>
    <t>SCM-APO-INT-MD-PR</t>
  </si>
  <si>
    <t>Product</t>
  </si>
  <si>
    <t>Field 'Last Lot Exact' at SCM product not changed to blank</t>
  </si>
  <si>
    <t>SCM-APO-INT-MDS</t>
  </si>
  <si>
    <t>Integration MRP DS</t>
  </si>
  <si>
    <t>Dependent requirement moves to wrong planning segment in APO</t>
  </si>
  <si>
    <t>SCM-APO-INT-POR</t>
  </si>
  <si>
    <t>Project Order</t>
  </si>
  <si>
    <t>Requirement date is changed during inital transfer</t>
  </si>
  <si>
    <t>SCM-APO-INT-PPE</t>
  </si>
  <si>
    <t>Integrated Product P</t>
  </si>
  <si>
    <t>IPPECIF_RCPTRAN: IPPE_DEP is locked</t>
  </si>
  <si>
    <t>SCM-APO-INT-PPS</t>
  </si>
  <si>
    <t>PP-DS / Production a</t>
  </si>
  <si>
    <t>Max.indicator removed after conversion to production order</t>
  </si>
  <si>
    <t>Activating of integration model for prod.order fails</t>
  </si>
  <si>
    <t>SCM-APO-INT-PUR</t>
  </si>
  <si>
    <t>Purchasing / Purchas</t>
  </si>
  <si>
    <t>Purchase order statistical item is transported to APO</t>
  </si>
  <si>
    <t>Subcontracting PO not pegging relevant in APO</t>
  </si>
  <si>
    <t>Performance improvement in CIF_IMOD_DESTINATIONS_PO</t>
  </si>
  <si>
    <t>Various corrections for STOs using FIXMG</t>
  </si>
  <si>
    <t>CIF: Incorrect setting for stock transport order after BOP</t>
  </si>
  <si>
    <t>Deletion of items is not transferred to SCM correctly</t>
  </si>
  <si>
    <t>SCM-APO-INT-PUR-SQ</t>
  </si>
  <si>
    <t>Purchase info record: inconsistent behaviour in R3 and APO</t>
  </si>
  <si>
    <t>Outline agreement with Deliv. compl. ind. not selected in IM</t>
  </si>
  <si>
    <t>Purchase info record: inconsistent behaviour in R3 and APO 2</t>
  </si>
  <si>
    <t>SCM-APO-INT-PUR-SUB</t>
  </si>
  <si>
    <t>Incorrect planning segment of subcontracting components(2)</t>
  </si>
  <si>
    <t>SCM-APO-INT-RP</t>
  </si>
  <si>
    <t>Requirements Plannin</t>
  </si>
  <si>
    <t>Planned Order inconsistency while using interchangeability</t>
  </si>
  <si>
    <t>Date shift in APO planned order when changed from ECC</t>
  </si>
  <si>
    <t>SCM-APO-INT-SLS</t>
  </si>
  <si>
    <t>CALL_FUNCTION_REMOTE_ERROR SAPSQL_ARRAY_INSERT_DUPREC</t>
  </si>
  <si>
    <t>/sapapo/sdrqcr21: TIME_OUT in CIF_GET_MATWERK</t>
  </si>
  <si>
    <t>Table /sapapo/ordadm_i updated incorrectly</t>
  </si>
  <si>
    <t>CIF SLS: Small LUWs with select size param. of initial load</t>
  </si>
  <si>
    <t>Quotation displayed as sales order in APO product view</t>
  </si>
  <si>
    <t>SCM-APO-INT-SLS-OBOP</t>
  </si>
  <si>
    <t>Outbound APO Backord</t>
  </si>
  <si>
    <t>BOP results not converted to mrp area time zone in ECC-CIF</t>
  </si>
  <si>
    <t>/SAPAPO/CURTO_ORDER_EXPLODE no result for subcontracting PDS</t>
  </si>
  <si>
    <t>/SAPAPO/CURTO_ORDER_EXPLODE: Comparing BOM PDS does not work</t>
  </si>
  <si>
    <t>Entry in Transaction SWEC hinders workflow</t>
  </si>
  <si>
    <t>Booked quantity of contact not updated in F&amp;R</t>
  </si>
  <si>
    <t>FRE_C1 Wrong inconsistencies</t>
  </si>
  <si>
    <t>FRE_TS_POINTER_REORG - "db error"</t>
  </si>
  <si>
    <t>Performance improvement- FRE_OP_PO_KEY_REORG</t>
  </si>
  <si>
    <t>no selection screen in FRE06</t>
  </si>
  <si>
    <t>Completion of components not sent to F&amp;R</t>
  </si>
  <si>
    <t>Beschaffungsbeziehung ohne zugeordnetem Beschaffungszyklus</t>
  </si>
  <si>
    <t>SAPSQL_ARRAY_INSERT_DUPREC in FRE02</t>
  </si>
  <si>
    <t>irrelevant product location deletion records after FRE02</t>
  </si>
  <si>
    <t>FRE_ORD_STRUCT_ART_CHECK not used at all positions</t>
  </si>
  <si>
    <t>shortdump in FRE_C1</t>
  </si>
  <si>
    <t>FRE04 runs in parallel even if parallel process flag not set</t>
  </si>
  <si>
    <t>FRE_TS_POINTER_REORG error Printer name not defined</t>
  </si>
  <si>
    <t>FRE_UI: files for interface TDL are not cleaned up or shown</t>
  </si>
  <si>
    <t>Wrong F1 help in F&amp;R Customizing for the data transfer</t>
  </si>
  <si>
    <t>Duplicate entries in /FRE/BIF_MATLOC or /FRE/BIF_LANE (II)</t>
  </si>
  <si>
    <t>TSD-IF: Missing end date timestamp for zero stock values</t>
  </si>
  <si>
    <t>No procurement cycle assigned to lane - no info message</t>
  </si>
  <si>
    <t>DIF's based on uplift quantities from PMR (prenote)</t>
  </si>
  <si>
    <t>Purchase order deletions are not send to F&amp;R</t>
  </si>
  <si>
    <t>Fxd val. for replenishment relev. not all taken into account</t>
  </si>
  <si>
    <t>Wrong exception 182 in FRE_UI for DIF interfaces</t>
  </si>
  <si>
    <t>Deactivating the control of direct access on screens</t>
  </si>
  <si>
    <t>SCM-FRE-IF</t>
  </si>
  <si>
    <t>shortdump with TC FRE02</t>
  </si>
  <si>
    <t>FRE06 does not contain a check for structured articles</t>
  </si>
  <si>
    <t>FRE35-FRE_TS_POINTER_REORG - Variant values deleted</t>
  </si>
  <si>
    <t>FRE_UI Backup Files (DIF transfer) not found for deletion</t>
  </si>
  <si>
    <t>FRE02: stock and/or consumption change indicator in status I</t>
  </si>
  <si>
    <t>Duplicate entries in /FRE/BIF_LANE</t>
  </si>
  <si>
    <t>duplicate procurement cycle entries running FRE02</t>
  </si>
  <si>
    <t>Deadlock due to note 1646294- Delta load stock/cons data</t>
  </si>
  <si>
    <t>Subst.Assignment not updated for products later F&amp;R relevant</t>
  </si>
  <si>
    <t>ROEMPROACT: MessageHeader is invalid on SNC side</t>
  </si>
  <si>
    <t>RSMIPROACT: Incorrect Unit of Measure for Stock data</t>
  </si>
  <si>
    <t>RSMIPROACT doesn't find data with inactive MRP area</t>
  </si>
  <si>
    <t>ROEMPROACT2: Customer logic for selection of MRP elements</t>
  </si>
  <si>
    <t>ROEMPROACT2: Stock is not calculated correctly for batches</t>
  </si>
  <si>
    <t>ROEMPROACT2: Wrong result with Transfer Zero Quantites flag</t>
  </si>
  <si>
    <t>RSMIPROACT2: Fixing Transfer Zero Quantity in DR mode</t>
  </si>
  <si>
    <t>Issue with demand transfer through ROEMPROACT2</t>
  </si>
  <si>
    <t>ROEMPROACT2: Short dump with fixed source</t>
  </si>
  <si>
    <t>SCM-ICH-SNI</t>
  </si>
  <si>
    <t>Supply Network Inven</t>
  </si>
  <si>
    <t>ROEMPROACT2: Fixing consignment stock selection</t>
  </si>
  <si>
    <t>BAPI_MATERIAL_AVAILABILITY: 'COMPUTE_BCD_OVERFLOW' terminati</t>
  </si>
  <si>
    <t>SDRQCR21 not fixing when wrong plant or material in VBBE</t>
  </si>
  <si>
    <t>Availability check for sales order and assembly scenario</t>
  </si>
  <si>
    <t>Schedule line dates are not correlated correctly.</t>
  </si>
  <si>
    <t>Error V1397 during sales order processing.</t>
  </si>
  <si>
    <t>Sales order sched. lines confirmed qties exceed req. qties</t>
  </si>
  <si>
    <t>Rounding problem on ATP explaination screen</t>
  </si>
  <si>
    <t>Shipping notifications ignored by ATP for deliveries</t>
  </si>
  <si>
    <t>co06: non editable sales orders appear highlighted</t>
  </si>
  <si>
    <t>Requirements incorrectly updated in case of delivery split</t>
  </si>
  <si>
    <t>Message "The transferred sales document item table is empty"</t>
  </si>
  <si>
    <t>Scheduling Agreement ATP check ends in dump BCD_ZERODIVIDE</t>
  </si>
  <si>
    <t>SDRQCR21 deletes product selection requirements</t>
  </si>
  <si>
    <t>Requirement is not deleted for rejected sales order items.</t>
  </si>
  <si>
    <t>Invalid schedule line (01.01.1970) with daylight saving</t>
  </si>
  <si>
    <t>APO categorie "BZ SD returns" is missing</t>
  </si>
  <si>
    <t>Backorder processing stays in the update status</t>
  </si>
  <si>
    <t>shortdump in transaction CO06 (DYNPRO_FIELD_CONVERSION)</t>
  </si>
  <si>
    <t>SD-BF-AC-PAL</t>
  </si>
  <si>
    <t>VA01/02: Wrong allocation distribution when using period T</t>
  </si>
  <si>
    <t>VA02:PAL consumption not released when existing item deleted</t>
  </si>
  <si>
    <t>Released credit value calculated without tax II</t>
  </si>
  <si>
    <t>DSD: Messages are not displayed with reaction C</t>
  </si>
  <si>
    <t>CSFG: Incorrect credit update for delivery reduction</t>
  </si>
  <si>
    <t>Technischer Hinweis</t>
  </si>
  <si>
    <t>CPE: Provisional invoice cannot be posted</t>
  </si>
  <si>
    <t>SD-BF-FG</t>
  </si>
  <si>
    <t>Free Goods</t>
  </si>
  <si>
    <t>Incorr behavior for free goods cat.3(incl. bonus qty wo/itm)</t>
  </si>
  <si>
    <t>SD-BF-OC</t>
  </si>
  <si>
    <t>No archiving of pdf document when using FAX or external send</t>
  </si>
  <si>
    <t>Performance issue with program RSNAST0D, processing  mode 3</t>
  </si>
  <si>
    <t>Insufficient accessibility of various PDF-based forms</t>
  </si>
  <si>
    <t>SD-BF-PD</t>
  </si>
  <si>
    <t>Partner Determ.</t>
  </si>
  <si>
    <t>Partner determination when creating the order via BAPI</t>
  </si>
  <si>
    <t>Autor (author) partner func.: Function conversion (TPAUM)</t>
  </si>
  <si>
    <t>Unloading point is empty in order w/one-time sold-to party</t>
  </si>
  <si>
    <t>SD-BF-PR</t>
  </si>
  <si>
    <t>Enhancement of calc type for conditions to be duplicated</t>
  </si>
  <si>
    <t>Enhancing condition class for conditions to be duplicated</t>
  </si>
  <si>
    <t>Improving performance for shipping costs determination</t>
  </si>
  <si>
    <t>Error msg. V1 208 during currency conversion for net price</t>
  </si>
  <si>
    <t>Missing BAdIs in IMG structure</t>
  </si>
  <si>
    <t>V61A_BAPI: Net value and subtotals in header incorrect</t>
  </si>
  <si>
    <t>SD-BF-TP</t>
  </si>
  <si>
    <t>Word Processing</t>
  </si>
  <si>
    <t>Mandatory texts in incompleteness log in error</t>
  </si>
  <si>
    <t>Incorrect formatting in header and item texts</t>
  </si>
  <si>
    <t>SD-BF-TX</t>
  </si>
  <si>
    <t>Export with invalid tax jurisdiction</t>
  </si>
  <si>
    <t>Withholding tax &amp; installment plan in collective processing</t>
  </si>
  <si>
    <t>S3VBRKDLS: Termination ASSIGN_CASTING_ILLEGAL_CAST</t>
  </si>
  <si>
    <t>Enhancement options are missing in archiving programs (2)</t>
  </si>
  <si>
    <t>Smart Forms: Dump GETWA_NOT_ASSIGNED (LLB_BIL_OUTPUTF02)</t>
  </si>
  <si>
    <t>UECHA with product selection and batches</t>
  </si>
  <si>
    <t>Too many documents are billed after simulation</t>
  </si>
  <si>
    <t>VPRS: Down payments not included during qty determination</t>
  </si>
  <si>
    <t>CSFG: Error in credit update</t>
  </si>
  <si>
    <t>Error in enhancement spot ES_SAPLV60A</t>
  </si>
  <si>
    <t>VPRS: RW002 when you post an incoming invoice</t>
  </si>
  <si>
    <t>Error VF 002 or VF 027 after individual billing</t>
  </si>
  <si>
    <t>RRDP: Down payment missing in debit memo</t>
  </si>
  <si>
    <t>Down payments on condition basis: AZWA incorrect</t>
  </si>
  <si>
    <t>Down payment clearing not posted</t>
  </si>
  <si>
    <t>Fields like CCPRE cannot be maintained via BAPI, III</t>
  </si>
  <si>
    <t>Over-authorization for the limited credit cards</t>
  </si>
  <si>
    <t>VF01: Transfer of credit card data to FI-CA is incorrect</t>
  </si>
  <si>
    <t>Incorrect incompleteness for the delivery</t>
  </si>
  <si>
    <t>SD-BIL-IV-RB</t>
  </si>
  <si>
    <t>Retro Billing</t>
  </si>
  <si>
    <t>VFRB: Billing docs w/ retro-billing value 0 not displayed</t>
  </si>
  <si>
    <t>SD-BIL-IV-SM</t>
  </si>
  <si>
    <t>Res.-Related Billing</t>
  </si>
  <si>
    <t>Billing Request Editor:Material determ. w/ custom attributes</t>
  </si>
  <si>
    <t>Billing Request Editor: Calculation error with currencies</t>
  </si>
  <si>
    <t>CBAD: Assigned funding not current</t>
  </si>
  <si>
    <t>BRE value screen: Actual billing doc value not changed</t>
  </si>
  <si>
    <t>BRE Calculation error for deferrals</t>
  </si>
  <si>
    <t>BRE: Error "Profile number not found"</t>
  </si>
  <si>
    <t>Billing Request Editor: Key of the WBS element is truncated</t>
  </si>
  <si>
    <t>DP90: Error message V1 391</t>
  </si>
  <si>
    <t>Billing Request Editor - checkman error correction</t>
  </si>
  <si>
    <t>Performance SDBONT06 when G/L accounts are determined</t>
  </si>
  <si>
    <t>WAK2: Authorization check for change to rebate agreements</t>
  </si>
  <si>
    <t>Old rebate: Fixed amount conditions calculated incorrectly</t>
  </si>
  <si>
    <t>SDBONARCH: No check in archiving analysis report</t>
  </si>
  <si>
    <t>Rebate APIs: VK294 for externally transferred payment amount</t>
  </si>
  <si>
    <t>SD-BIL-RB-ENH</t>
  </si>
  <si>
    <t>Enhanced Rebates</t>
  </si>
  <si>
    <t>Termination GETWA_NOT_ASSIGNED during claims settlement</t>
  </si>
  <si>
    <t>VBREVC entries not deleted for items with 100% discount</t>
  </si>
  <si>
    <t>VF42: Unnecessary messages in the batch log</t>
  </si>
  <si>
    <t>Incorrect billing doc. postings due to incorrect doc. lock</t>
  </si>
  <si>
    <t>Deleted revenue lines after E16 fix for contract type B</t>
  </si>
  <si>
    <t>VF47: E27 error for type "D" document items</t>
  </si>
  <si>
    <t>VF47: Short dump when creating E16 adjustment line items</t>
  </si>
  <si>
    <t>VF47: Incorr E11/E12 error when making changes to accounts</t>
  </si>
  <si>
    <t>Incorrect currency conversion for type B revenue lines</t>
  </si>
  <si>
    <t>VF47: No E10 error for type B with service material</t>
  </si>
  <si>
    <t>VF47: Counter for the number of E27 errors is incorrect</t>
  </si>
  <si>
    <t>VF47: Incorrect E17 errors for type 'D'</t>
  </si>
  <si>
    <t>Revenue distribution for debit memo requests type F</t>
  </si>
  <si>
    <t>VF44 and VF46: Redundant messages in the batch log</t>
  </si>
  <si>
    <t>Incorrect control line status for blocked revenue lines</t>
  </si>
  <si>
    <t>Incorrect distr. of correction values for distribution ty AC</t>
  </si>
  <si>
    <t>Summary: Revenue acct line for many collective processings</t>
  </si>
  <si>
    <t>Syntax error in report SDRR_VF47_EXPORT (2)</t>
  </si>
  <si>
    <t>VF44/VF46 Runtime error: ITAB_KEY_COMPONENT_MISSING</t>
  </si>
  <si>
    <t>VF42 Simulation - Period Not Shown as "Old"</t>
  </si>
  <si>
    <t>VF47: E02/E07 error due to missing item payer</t>
  </si>
  <si>
    <t>SD-CAS</t>
  </si>
  <si>
    <t>Sales Support</t>
  </si>
  <si>
    <t>Do you want to save your data first missing for result</t>
  </si>
  <si>
    <t>SD-CAS-SA</t>
  </si>
  <si>
    <t>Sales Activities</t>
  </si>
  <si>
    <t>BAPI: Special characters are not converted correctly</t>
  </si>
  <si>
    <t>SD-EDI-IM</t>
  </si>
  <si>
    <t>Inbound Messages</t>
  </si>
  <si>
    <t>EDI: Condition types EDI1 and EDI2 are ignored</t>
  </si>
  <si>
    <t>EDI:Incorrect ref. item for foreground processing from error</t>
  </si>
  <si>
    <t>IDOC - INVOIC: Tax juristiction code TXJCD (3)</t>
  </si>
  <si>
    <t>IDOC - INVOIC: Tax juristiction code TXJCD (4)</t>
  </si>
  <si>
    <t>Print program: New delivery conditions (DAT, DAP)</t>
  </si>
  <si>
    <t>SD-FT-CON</t>
  </si>
  <si>
    <t>Legal Control</t>
  </si>
  <si>
    <t>Description of license type is not updated in VX04N (ENGK)</t>
  </si>
  <si>
    <t>Alert Reporting: Dump after input in parameter "Layout"</t>
  </si>
  <si>
    <t>EXTRASTAT Netherlands: Additional specifications as of 2012</t>
  </si>
  <si>
    <t>INTRASTAT: No statistical value for San Marino</t>
  </si>
  <si>
    <t>The Netherlands Intrastat: Zero report for file version</t>
  </si>
  <si>
    <t>Intrastat Finland: Country of origin for returns</t>
  </si>
  <si>
    <t>INTRASTAT Italy: Empty credit memos not removed</t>
  </si>
  <si>
    <t>EXTRASTAT Germany - legal changes for declaration file 2011</t>
  </si>
  <si>
    <t>VXA1: Order value on item level instead of header level</t>
  </si>
  <si>
    <t>Financial document: Open value field displays zero</t>
  </si>
  <si>
    <t>Integration solutions dependent on switch COND_SFWS_SC2</t>
  </si>
  <si>
    <t>You cannot control buttons for each screen var. in VK31/VK32</t>
  </si>
  <si>
    <t>Currency key of a condition scale is incorrect</t>
  </si>
  <si>
    <t>SD-MD-CM-AR</t>
  </si>
  <si>
    <t>Archiving Conditions</t>
  </si>
  <si>
    <t>Archiving SD_COND: DUMP when you reload - CONVT_NO_NUMBER</t>
  </si>
  <si>
    <t>Product hierarchy maintenance:Linked description not visible</t>
  </si>
  <si>
    <t>CBAD: Error when you change item account assignments</t>
  </si>
  <si>
    <t>Input help for storage location on screen 4900 (II)</t>
  </si>
  <si>
    <t>CBAD: Modification indicator when creating funding</t>
  </si>
  <si>
    <t>CBAD: Missing modification ID for first version</t>
  </si>
  <si>
    <t>Error message ERP_CO_OLC_E003 displayed when creating order</t>
  </si>
  <si>
    <t>BAdI for BAPI</t>
  </si>
  <si>
    <t>Incorr reqmts or performance problems when creating w/ ref</t>
  </si>
  <si>
    <t>SD-SLS-API</t>
  </si>
  <si>
    <t>SD API Interface</t>
  </si>
  <si>
    <t>pricing in not correct after creates a follow up document</t>
  </si>
  <si>
    <t>Order deletion authorization check message no display</t>
  </si>
  <si>
    <t>LORD: Message V1 406 missing in log</t>
  </si>
  <si>
    <t>LORD: Message V1 596 missing in the log</t>
  </si>
  <si>
    <t>LO API EWB: Type of input help and dependent fields</t>
  </si>
  <si>
    <t>Lean order does not return Tax jurisdiction value help</t>
  </si>
  <si>
    <t>Item category description is not returned using Lean Order</t>
  </si>
  <si>
    <t>Missing fields BUKRS and GJAHR for LORD RFC wrapper</t>
  </si>
  <si>
    <t>LORD: Problems when setting data</t>
  </si>
  <si>
    <t>Percent condition returns wrong value</t>
  </si>
  <si>
    <t>LORD: Logic objects without item number</t>
  </si>
  <si>
    <t>LORD: Incorrect check against check tables</t>
  </si>
  <si>
    <t>LOGIC: Missing event registration and actions</t>
  </si>
  <si>
    <t>LORD: Termination when reading billing plan data</t>
  </si>
  <si>
    <t>Referenced provider class in proxy does not exist</t>
  </si>
  <si>
    <t>Service PurchaseOrderRequest_In: Ship-to party is missing</t>
  </si>
  <si>
    <t>Error handling in the service PurchaseOrderRequest_In</t>
  </si>
  <si>
    <t>SD-SLS-GF-AR</t>
  </si>
  <si>
    <t>Archiving Sales</t>
  </si>
  <si>
    <t>Display from archive: Texts are not displayed</t>
  </si>
  <si>
    <t>SD-SLS-GF-CU</t>
  </si>
  <si>
    <t>SD Customizing</t>
  </si>
  <si>
    <t>No BC sets possible for V_TVBVK_ASSIGN</t>
  </si>
  <si>
    <t>For method CreateWithDia, RESULT is initial</t>
  </si>
  <si>
    <t>Order number is deleted when material is changed</t>
  </si>
  <si>
    <t>BAPI, Trading contract: Incorrect UoM for EAN number</t>
  </si>
  <si>
    <t>CHANGE function module deletes IOTB buffer</t>
  </si>
  <si>
    <t>Error when filling the export table  EXTENSIONEX / II</t>
  </si>
  <si>
    <t>Upload from CRM to R/3: FKDAT cannot be changed (3)</t>
  </si>
  <si>
    <t>Variant conditions are lost</t>
  </si>
  <si>
    <t>BAPI: Error message not written to RETURN table</t>
  </si>
  <si>
    <t>SD-SLS-GF-IL</t>
  </si>
  <si>
    <t>SD Incompletion log</t>
  </si>
  <si>
    <t>Incorrect incompleteness entries: Incorrect item number</t>
  </si>
  <si>
    <t>Change documents: Display is not formatted correctly</t>
  </si>
  <si>
    <t>Document flow: Division by zero trapped (BM 029)</t>
  </si>
  <si>
    <t>List of sales docs: Contract data &amp; business data incorrect</t>
  </si>
  <si>
    <t>V.02/RVAUFERR: Documents with exactly 1000 items are missing</t>
  </si>
  <si>
    <t>V.02/RVAUFERR: Short dump during list export to file</t>
  </si>
  <si>
    <t>Dump ASSERTION_FAILED for document flow - document changes</t>
  </si>
  <si>
    <t>Item numbering incorrect after configuration change</t>
  </si>
  <si>
    <t>BAPI_SALESORDER_CHANGE does not delete subitems</t>
  </si>
  <si>
    <t>Message V1612 missing when fast changing delivery date</t>
  </si>
  <si>
    <t>Sales item mrp group incorrect when mrp areas are used</t>
  </si>
  <si>
    <t>Additional tab page with additional data B subscreen</t>
  </si>
  <si>
    <t>Incomplete migration of BAdI for ready for input sts of fld</t>
  </si>
  <si>
    <t>Creating docs with ref: Message V4096 when reducing quantity</t>
  </si>
  <si>
    <t>CSFG: No document flow when creating the delivery</t>
  </si>
  <si>
    <t>Valuation type is changed in subitems</t>
  </si>
  <si>
    <t>SD-SLS-SO-SL</t>
  </si>
  <si>
    <t>Schedule Line Proces</t>
  </si>
  <si>
    <t>Incorrect schedule line times when scheduling is deactivated</t>
  </si>
  <si>
    <t>Change log: Route entry even though no change was made</t>
  </si>
  <si>
    <t>ALE-TPO: no confirmation in delivery system w/ correlation</t>
  </si>
  <si>
    <t>ALE third-party: PReq number missing in workflow message</t>
  </si>
  <si>
    <t>Short dump when you create the sales order with reference</t>
  </si>
  <si>
    <t>SD-SLS-UI</t>
  </si>
  <si>
    <t>Configurable Sales</t>
  </si>
  <si>
    <t>Sales UI, initial screen, create: F4 help for Reference doc.</t>
  </si>
  <si>
    <t>Sales UI, saving with print preview: Initial screen</t>
  </si>
  <si>
    <t>Sales UI, create with reference, item selection: Unit</t>
  </si>
  <si>
    <t>Sales UI, include reference document, document number</t>
  </si>
  <si>
    <t>Sales UI, "Delivery" follow-up action: Shipping point + more</t>
  </si>
  <si>
    <t>Missing authorisation proposals for Sales Doc Processing</t>
  </si>
  <si>
    <t>Sales UI: Delivery block indicator is not set</t>
  </si>
  <si>
    <t>SRM-EBP-CA</t>
  </si>
  <si>
    <t>Cross-Application Functions</t>
  </si>
  <si>
    <t>SRM-EBP-CA-ACC</t>
  </si>
  <si>
    <t>Description of order not displayed in the account assignment</t>
  </si>
  <si>
    <t>Follow-on Note of Note 1358377</t>
  </si>
  <si>
    <t>SRM-EBP-CA-BUD</t>
  </si>
  <si>
    <t>Follow-on Note of Note 1423384</t>
  </si>
  <si>
    <t>SRM-EBP-ESA</t>
  </si>
  <si>
    <t>SRM Enterpr. Service</t>
  </si>
  <si>
    <t>Missing Account Assignment block</t>
  </si>
  <si>
    <t>SRM-EBP-EXR</t>
  </si>
  <si>
    <t>External Requirement</t>
  </si>
  <si>
    <t>BBP_PREQ_FULFILLMENT blocked due to locks at the PR item</t>
  </si>
  <si>
    <t>Identical Selects on table T160EX when it has no values</t>
  </si>
  <si>
    <t>SRM-EBP-POR</t>
  </si>
  <si>
    <t>Local Purchase Order</t>
  </si>
  <si>
    <t>Flag changes Final_inv &amp; Final_deliv is not replicatd to ERP</t>
  </si>
  <si>
    <t>SRM-EBP-RMS</t>
  </si>
  <si>
    <t>Integration with SAP</t>
  </si>
  <si>
    <t>Unnecessary update of history table</t>
  </si>
  <si>
    <t>SRM-EBP-SOC</t>
  </si>
  <si>
    <t>Sourcing</t>
  </si>
  <si>
    <t>Unable to assign supplier in CPPR</t>
  </si>
  <si>
    <t>SRM-EBP-STA</t>
  </si>
  <si>
    <t>Status</t>
  </si>
  <si>
    <t>Wrong status of service shopping cart with confirmations</t>
  </si>
  <si>
    <t>SRM-SUS</t>
  </si>
  <si>
    <t>Supplier Self-Serv.</t>
  </si>
  <si>
    <t>Return PO item good movement 161 &amp; 162 not supported in SUS</t>
  </si>
  <si>
    <t>SV</t>
  </si>
  <si>
    <t>Service</t>
  </si>
  <si>
    <t>SV-SMB</t>
  </si>
  <si>
    <t>SAP for small and midsize businesses</t>
  </si>
  <si>
    <t>SV-SMB-AIO</t>
  </si>
  <si>
    <t>SAP Business All-in-One Development</t>
  </si>
  <si>
    <t>SV-SMB-AIO-AET</t>
  </si>
  <si>
    <t>SAP All-in-One Enabling Technologies</t>
  </si>
  <si>
    <t>SV-SMB-AIO-AET-FI</t>
  </si>
  <si>
    <t>All Assets POWL: Book values are incorrect</t>
  </si>
  <si>
    <t>POWL "All Customer Credits": Credit limit used is incorrect</t>
  </si>
  <si>
    <t>TM</t>
  </si>
  <si>
    <t>Transportation Management (no software transports)</t>
  </si>
  <si>
    <t>TM-FRS</t>
  </si>
  <si>
    <t>Freight Settlement</t>
  </si>
  <si>
    <t>TMERP-Datetime mapping in MessageHeader of FSD/FWSD outbound</t>
  </si>
  <si>
    <t>Mapping Carrier-Vendor, Invoicing party - Invoicing party</t>
  </si>
  <si>
    <t>PO/SES charges inconsistent compared to FSD</t>
  </si>
  <si>
    <t>CCA Integration with FSD</t>
  </si>
  <si>
    <t>Profitability Analysis for TM data in ERP</t>
  </si>
  <si>
    <t>TM-FRS-IP</t>
  </si>
  <si>
    <t>ERP Invoice Verifi</t>
  </si>
  <si>
    <t>Purchase Order type cannot be assigned</t>
  </si>
  <si>
    <t>Amount conversion problem in service entry sheet</t>
  </si>
  <si>
    <t>TM-FWS</t>
  </si>
  <si>
    <t>Forwarding Settlemen</t>
  </si>
  <si>
    <t>Enhancement in EHP6 for TM 9.0 Features</t>
  </si>
  <si>
    <t>Query corrections in TM-side ERP.</t>
  </si>
  <si>
    <t>TM-FWS-BIL</t>
  </si>
  <si>
    <t>ERP Billing</t>
  </si>
  <si>
    <t>Mismatch in Settlement amount between TM and ERP</t>
  </si>
  <si>
    <t>Credit memo not linked to SD billing document's doc flow.</t>
  </si>
  <si>
    <t>Credit Memo rejected in SAP ERP.</t>
  </si>
  <si>
    <t>TM900_FIT7:Wrong F4 value selected</t>
  </si>
  <si>
    <t>Billing Document not created in SAP ERP</t>
  </si>
  <si>
    <t>WEC-APP</t>
  </si>
  <si>
    <t>Web Channel: Applications</t>
  </si>
  <si>
    <t>WEC-APP-PAY</t>
  </si>
  <si>
    <t>WEC Payment Method</t>
  </si>
  <si>
    <t>wec2:Error_valid card added with invalid_customer profile</t>
  </si>
  <si>
    <t>WEC-APP-SLS</t>
  </si>
  <si>
    <t>Web Channel Sales Application</t>
  </si>
  <si>
    <t>WEC-APP-SLS-ERP</t>
  </si>
  <si>
    <t>WEC Sales w. ERP-SD</t>
  </si>
  <si>
    <t>Collective Note for SAP Web Channel Exp. Mgmt Documentation</t>
  </si>
  <si>
    <t>Retrieve contact and company data-Web Channel 20 development</t>
  </si>
  <si>
    <t>Performance improvment for searching based on status</t>
  </si>
  <si>
    <t>WEC-APP-UM</t>
  </si>
  <si>
    <t>WEC User Management</t>
  </si>
  <si>
    <t>ERP Update User Managment Package</t>
  </si>
  <si>
    <t>Single Sign-On does not work in WCEM 2.0</t>
  </si>
  <si>
    <t>WEC-APP-UM-CPR</t>
  </si>
  <si>
    <t>WEC: Cust Profile</t>
  </si>
  <si>
    <t>Checkout profiles not editable for contact user</t>
  </si>
  <si>
    <t>Mobile Direct Store Delivery (SAP xMDSD)</t>
  </si>
  <si>
    <t>XAP-MBA-DSD-PRC</t>
  </si>
  <si>
    <t>BADI DSD Pricing - Read Condition Items</t>
  </si>
  <si>
    <t>Dummy:checkman</t>
  </si>
  <si>
    <t>J_1af016: Incorrect base amount reporting</t>
  </si>
  <si>
    <t>J_1AF205:Issue with Eletronic invoices with quantity zero.</t>
  </si>
  <si>
    <t>J_1AF205:Issue with reversed documents in different period.</t>
  </si>
  <si>
    <t>J_1AF205:Full Company Name was not displayed in the header.</t>
  </si>
  <si>
    <t>J_1AF205: Wrong Branch and 'reason for zero tax' characters.</t>
  </si>
  <si>
    <t>DIOT: Issue with space at the end of each field in the file</t>
  </si>
  <si>
    <t>J_1af016: Incorrect Payment amount(Amount/Lc) reporting</t>
  </si>
  <si>
    <t>RG2904:Argentina E-invoice Webservice for Domestic Scenario</t>
  </si>
  <si>
    <t>AEI Domestic: Issue with conversion of document currency- II</t>
  </si>
  <si>
    <t>ODN AR: Reference number not updated properly in PO history</t>
  </si>
  <si>
    <t>AR 333: Taxes not determined correctly for credit memo-III</t>
  </si>
  <si>
    <t>AEI: Reference field incorrect for invoices with amount zero</t>
  </si>
  <si>
    <t>AEI WS: Error with accounting status of the billing document</t>
  </si>
  <si>
    <t>AEI WS Domestic:Enhancement to webservice solution</t>
  </si>
  <si>
    <t>RG2904:Get Last ODN functionality not working</t>
  </si>
  <si>
    <t>AR WS RG2485: External Date format for processing date</t>
  </si>
  <si>
    <t>AEI WS Domestic:Parallel Processing is not working</t>
  </si>
  <si>
    <t>AR WS RG2485:Issues in Foreign to Local currency conversion</t>
  </si>
  <si>
    <t>AEI WS Domestic:Wrong branch determined for rebate agreement</t>
  </si>
  <si>
    <t>AR WS RG2485: XML amounts are sent as zero</t>
  </si>
  <si>
    <t>AEI WS Domestic:Parallel Processing is not working-II</t>
  </si>
  <si>
    <t>Dummy Note: Argentina E-invoice Web Service for Export</t>
  </si>
  <si>
    <t>AEI WS: Error in accounting status of cancelled billing doc</t>
  </si>
  <si>
    <t>AEI WS Domestic: Enhanced exclusive lock error message</t>
  </si>
  <si>
    <t>INTRASTAT: Bulgaria, Estonia - Tare mass rounding</t>
  </si>
  <si>
    <t>BR: ICMS not calculated (IS-OIL)</t>
  </si>
  <si>
    <t>OBSOLETE - Please refer to SAP Note 1654777</t>
  </si>
  <si>
    <t>Determination of material origin and usage in J1B1N</t>
  </si>
  <si>
    <t>Error when creating goods receipt for free usage material</t>
  </si>
  <si>
    <t>BR: Autmat. NF messages created in billing are set to manual</t>
  </si>
  <si>
    <t>BR: Manual NF entries not saved for subsequent adjustment</t>
  </si>
  <si>
    <t>Dump after exceptions are raised by FM J_1BAJ_READ</t>
  </si>
  <si>
    <t>CT-e Legal Change: EHP6 #1</t>
  </si>
  <si>
    <t>IS-U Brazil: Rounding off in Withholding tax calculation</t>
  </si>
  <si>
    <t>Maintain tax rates with 4 decimal places for PIS and COFINS</t>
  </si>
  <si>
    <t>BR NF: Update of Customizing Docu for Screen Control Group</t>
  </si>
  <si>
    <t>XX-CSC-BR-FI</t>
  </si>
  <si>
    <t>Payment Files</t>
  </si>
  <si>
    <t>BR:J_1BBR20:Error FB759 Bank details &amp; &amp; not in table T028B</t>
  </si>
  <si>
    <t>BR:RFEBKA00: Brazil DDA legal changes for Bradesco</t>
  </si>
  <si>
    <t>RFFOBR_U:Payments grouped under same lot header in DME file</t>
  </si>
  <si>
    <t>RFFOBR_A: Itau file, position 34-37 not filled with zeros</t>
  </si>
  <si>
    <t>BR:Checkman errors rectified for Brazil DDA Bredesco Format</t>
  </si>
  <si>
    <t>RFFOBR_U:Space filled in position 198-203 in Itau Segment A</t>
  </si>
  <si>
    <t>BR:DDA Brazil:Incorrect selection of DDA documents</t>
  </si>
  <si>
    <t>BR: FB02 error in RFEBBU00 program</t>
  </si>
  <si>
    <t>BR: DDA Post Processing</t>
  </si>
  <si>
    <t>SubTrib base value empty when doing a PO with fix price</t>
  </si>
  <si>
    <t>BADI to adjust net price in return movements</t>
  </si>
  <si>
    <t>Correction of note 1484208</t>
  </si>
  <si>
    <t>Wrong balance while saving invoice with more than 1 item</t>
  </si>
  <si>
    <t>STO using batch at issuer plant, but not at receiver</t>
  </si>
  <si>
    <t>Documentation for BAdI BADI_J_1BADJ_NET_PRICE_RETURN</t>
  </si>
  <si>
    <t>Schedule Agreement - Item Values Wrongly Calculated</t>
  </si>
  <si>
    <t>Missing Tax Jur.Code in MIRO with One-Time Partner</t>
  </si>
  <si>
    <t>Tax Laws erased from the NF after manual changes</t>
  </si>
  <si>
    <t>Error at PIS/COFINS calculation in TAXBRJ schema</t>
  </si>
  <si>
    <t>MB1B: Error message when registering a new item</t>
  </si>
  <si>
    <t>Corrections to Documentation for Brazil NF-e Functions</t>
  </si>
  <si>
    <t>NF-e: Iss. Type, Proc. Date and Time not copied (STO)</t>
  </si>
  <si>
    <t>NF-e: NT2011/004 Import Tax included in NF Totals</t>
  </si>
  <si>
    <t>NF-e Monitor: wrong results after refresh (F5)</t>
  </si>
  <si>
    <t>BR: NT 04/2011 ICMS exemption reason &amp; value for Zona Franca</t>
  </si>
  <si>
    <t>NF-e: LC NT 04/2011 - Extension of Fields &lt;nDI&gt; and &lt;xNEmp&gt;</t>
  </si>
  <si>
    <t>NF-e: Remove sent/authorized NF-e from batch report queue</t>
  </si>
  <si>
    <t>NF-e: After re-sending an NF-e entrada, other base is zero</t>
  </si>
  <si>
    <t>Correction to Field Help: DTEL J_1BNFE_CANCEL_ALLOWED</t>
  </si>
  <si>
    <t>Correction to description in J_1BNFEDOCSTATUS domain</t>
  </si>
  <si>
    <t>NFe: Incoming for Purchase Orders in Foreign Currency</t>
  </si>
  <si>
    <t>NF-e: Field &lt;IEST&gt; is not filled with correct partner</t>
  </si>
  <si>
    <t>New MS Status 'D' - ERP adjustment to GRC changes</t>
  </si>
  <si>
    <t>Documentation for selection by NF-e event on NF-e Monitor</t>
  </si>
  <si>
    <t>NF-e: Time limit changed for the CC-e creation</t>
  </si>
  <si>
    <t>NF-e: Authorization profile display not correct</t>
  </si>
  <si>
    <t>Nota Fiscal: Valuation of material inconsistent C+ 048</t>
  </si>
  <si>
    <t>NF-e Currency conversion of additional costs</t>
  </si>
  <si>
    <t>NF-e: Prevent printing when NF-e canceled pr. to auth.</t>
  </si>
  <si>
    <t>NFe: Mandatory Field Check for incoming NF-e created w. MIRO</t>
  </si>
  <si>
    <t>NF-e: 'Cancel Source Doc.' fails when NF-e not numbered</t>
  </si>
  <si>
    <t>Short dump due to empty (actually blanc) in NFe number</t>
  </si>
  <si>
    <t>NF-e: Incorrect auth. date/time after 'Cancel Source Doc.'</t>
  </si>
  <si>
    <t>NF-e: Import Nota fiscal rejected for CST 51</t>
  </si>
  <si>
    <t>NF-e Monitor - separate Layouts for Overview and History</t>
  </si>
  <si>
    <t>NF-e: Cancel synch. of skipped NF-e posted in contingency</t>
  </si>
  <si>
    <t>NF-e: Skip ID (ID_V20) not updated in table J_1BNFENUMGAP</t>
  </si>
  <si>
    <t>NF-e: Skipping request fails because of closed period</t>
  </si>
  <si>
    <t>NF-e: Cancel of incoming NF-e in NF Writer causes DB error</t>
  </si>
  <si>
    <t>CC-e: validation error when official sequence number is 20</t>
  </si>
  <si>
    <t>View J_1BNFE_CUST3_4V(Nfe Config) -&gt; Error message 150</t>
  </si>
  <si>
    <t>NF-e: Random Number filled with zeros for incoming NF-e</t>
  </si>
  <si>
    <t>Fill XML field IEST only if tax situation 10,30,60,70,or 90</t>
  </si>
  <si>
    <t>NF-e: Cancel entries in Monitor Menu active without author.</t>
  </si>
  <si>
    <t>NF-e incoming - Subcontracting</t>
  </si>
  <si>
    <t>NF-e: Automation of incoming NF-e special scenarios</t>
  </si>
  <si>
    <t>NF-e Prerequ. for Future delivery in incoming automation II</t>
  </si>
  <si>
    <t>NF-e incoming - Returnable Packaging Goods Receipt</t>
  </si>
  <si>
    <t>NF-e Incoming: Function J_1BNFE_READ_XMLCP does not exist</t>
  </si>
  <si>
    <t>NF-e Incoming Automation: Returnable packaging process</t>
  </si>
  <si>
    <t>NF-e: cancel and recreate entrada - duplicate NFe numbers</t>
  </si>
  <si>
    <t>NF-e incoming: Two XML with the same NF-e number</t>
  </si>
  <si>
    <t>NF-e incoming - prerequisites</t>
  </si>
  <si>
    <t>NF-e: Enhancements for NF-e Incoming</t>
  </si>
  <si>
    <t>NF-e prerequisites for future delivery invoice III</t>
  </si>
  <si>
    <t>Check of Issuer CNPJ against CNPJ in vendor master data</t>
  </si>
  <si>
    <t>Check of taxgroups with zero taxamount</t>
  </si>
  <si>
    <t>Various short terms for same currency brazilian Real</t>
  </si>
  <si>
    <t>NF-e Incoming future delivery wrong conversion at validate</t>
  </si>
  <si>
    <t>Maintenance of incoming automation process attributes</t>
  </si>
  <si>
    <t>Prerequisites for future delivery invoice IV</t>
  </si>
  <si>
    <t>Difference in PIS- and COFINS-taxes</t>
  </si>
  <si>
    <t>Wrong conversion for the delivered quantity</t>
  </si>
  <si>
    <t>Corrections of PO Search for Subcontracting</t>
  </si>
  <si>
    <t>NF-e: Incoming for Purchase Orders in Foreign Currency</t>
  </si>
  <si>
    <t>Enhancements of extended PO Search</t>
  </si>
  <si>
    <t>Example classes for Badi J_1BNFE_IN</t>
  </si>
  <si>
    <t>NF-e incoming: Future Delivery and RTP corrections</t>
  </si>
  <si>
    <t>IPI base not correct by factor 100</t>
  </si>
  <si>
    <t>NF-e: Creation of In. Deliv. fails when BAdI not implemented</t>
  </si>
  <si>
    <t>CFOP-Code for Subcontracting / provided material</t>
  </si>
  <si>
    <t>Fiscal Workplace: Moving average price negative</t>
  </si>
  <si>
    <t>NF-e Simulation: Error message /XNFE/APPB2B 028</t>
  </si>
  <si>
    <t>Batch Split in Inbound Delivery</t>
  </si>
  <si>
    <t>NF-e incoming - Subcontracting corrections</t>
  </si>
  <si>
    <t>NF-e: Incoming error during simualtion</t>
  </si>
  <si>
    <t>NCM Code in PO Search for Subcontracting</t>
  </si>
  <si>
    <t>* Test Tool NF-e Incoming - Version 2 (Subcontr.) - only SP</t>
  </si>
  <si>
    <t>SPED-EFD: Change Field J_1BEFD_TP_CONNECTION</t>
  </si>
  <si>
    <t>SPED-EFD: Field ALIQ_ICMS cleaned after BAdI call</t>
  </si>
  <si>
    <t>Register 0150 - BAdI SET_BLOCK_0_REG_0150_All</t>
  </si>
  <si>
    <t>Register C160 and 0150 BAdI SET_BLOCK_0_REG_0150_ALL</t>
  </si>
  <si>
    <t>SPED-EFD: C190 - Change the VL_RED_BC field calculation</t>
  </si>
  <si>
    <t>SPED-EFD: FILLING RULES - FM date conversion</t>
  </si>
  <si>
    <t>SPED-EFD: C113/0150 - Partner sent without info.</t>
  </si>
  <si>
    <t>SPED-EFD: C113 - Line Level creation and C110 check</t>
  </si>
  <si>
    <t>SPED-EFD: C300 - Record not generated - Badi Macro</t>
  </si>
  <si>
    <t>SPED-EFD: C113 - Wrong Partner Number</t>
  </si>
  <si>
    <t>J_1BEFD - Error in H005 date field</t>
  </si>
  <si>
    <t>SPED-EFD: D150 - VL_PESO_TX - Wrong decimal places</t>
  </si>
  <si>
    <t>SPED-EFD: E200 - Branch without movement</t>
  </si>
  <si>
    <t>SPED-EFD: j5_pdate - Error when dates used on selections</t>
  </si>
  <si>
    <t>SPED-EFD: Block G - TAB_CUST and FILLING_RULES Method</t>
  </si>
  <si>
    <t>SPED-EFD: Register C190 -&gt; CFOP for Consumption</t>
  </si>
  <si>
    <t>SPED-EFD: Register 0150 - Convert country code on BAdIs</t>
  </si>
  <si>
    <t>SPED-EFD: Register 0150 - G130 -&gt; Called by Badi</t>
  </si>
  <si>
    <t>SPED generic objects: Enhancement 09</t>
  </si>
  <si>
    <t>J_1BMANAD: correction of note 1594109</t>
  </si>
  <si>
    <t>EFD-Contributions: Enhancement 14</t>
  </si>
  <si>
    <t>DIRF: Only reversal documents are posted</t>
  </si>
  <si>
    <t>SPED-ECD: Execution for period before New GL migration</t>
  </si>
  <si>
    <t>SPED-EFD: Register H010 - Wrong value for field IND_PROP</t>
  </si>
  <si>
    <t>IN86: Partner is a bus. place, record isn't created in 4.9.1</t>
  </si>
  <si>
    <t>IN86: SVA error if material is updated after doc. posting</t>
  </si>
  <si>
    <t>IN86 - file 4.9.1 - duplicated partner on the same day</t>
  </si>
  <si>
    <t>EFD-Contributions: Tax Jur. Code missing for one-time partn.</t>
  </si>
  <si>
    <t>[J1B_LB03] Error when having an NF-e skipped/cancelled</t>
  </si>
  <si>
    <t>SPED-EFD: ICMS value mismatch in registers C100 and C190</t>
  </si>
  <si>
    <t>EFD-Contributions: BAdI method for Block M</t>
  </si>
  <si>
    <t>SINTEGRA: complement of note 1598415</t>
  </si>
  <si>
    <t>[J1B_LB07N] Wrong Unit Price for Specially Valuated Stock</t>
  </si>
  <si>
    <t>EFD-Contributions: Value mismatch in reg. C190 - C191/C195</t>
  </si>
  <si>
    <t>IN86: Wrong Tax Situation IPI / wrong format Issued Date</t>
  </si>
  <si>
    <t>[J1B_LB03] Valuation type without movement not reported</t>
  </si>
  <si>
    <t>Legal report: class for nota fiscal common routines</t>
  </si>
  <si>
    <t>SPED-EFD: ICMS value mismatch in register C190</t>
  </si>
  <si>
    <t>EFD-Contributions: Missing fields in structure ADDR1_VAL</t>
  </si>
  <si>
    <t>EFD-Contributions: strange characters in the generated files</t>
  </si>
  <si>
    <t>MODELO1: electronic nota fiscal selection enhancement</t>
  </si>
  <si>
    <t>IN86: electronic nota fiscal selection enhancement</t>
  </si>
  <si>
    <t>IN86: 4.3.1/4.3.3- partner w/ date after doc. posting date</t>
  </si>
  <si>
    <t>IN86: Incoming Notas Fiscais in files 4.10.1 and 4.11.1</t>
  </si>
  <si>
    <t>Date in header of modelo 7 can be reported as DD/MM/YYYY.</t>
  </si>
  <si>
    <t>SPED-EFD: Field VL_CONT_IPI not filled when NF Model is 22</t>
  </si>
  <si>
    <t>EFD-Contributions: Guia Prático v1.03: CF-e Code 59</t>
  </si>
  <si>
    <t>SPED-EFD: Code differences in releases 6.05 and 6.06</t>
  </si>
  <si>
    <t>SPED-EFD: Ato Cotepe 41/2011 - Guia Prático 2.0.5/2.0.6</t>
  </si>
  <si>
    <t>SPED generic objects: Enhancement 10</t>
  </si>
  <si>
    <t>SINTEGRA: File generated without any nota fiscal</t>
  </si>
  <si>
    <t>EFD-Contributions: four decimals reporting</t>
  </si>
  <si>
    <t>SPED-ECD: Short dump when running the report</t>
  </si>
  <si>
    <t>XX-CSC-BR-SD</t>
  </si>
  <si>
    <t>Runtime error due to lv_netpr overflow in program SAPLJ1BG</t>
  </si>
  <si>
    <t>VF04: performance enhancement</t>
  </si>
  <si>
    <t>Wrong tax calculation with PIS and COFINS pauta</t>
  </si>
  <si>
    <t>Correction note for 1493715 only relevant for EHP6 &amp; EHP5</t>
  </si>
  <si>
    <t>Official Document type not displayed in Purchase Ledger.</t>
  </si>
  <si>
    <t>Cash Ledger Report Chile : Incorrect Header Text Display</t>
  </si>
  <si>
    <t>RFCLLIB00:Report displays duplicate documents in output list</t>
  </si>
  <si>
    <t>Adjustment of  RFIDCN* reports</t>
  </si>
  <si>
    <t>Gaps in Official Document Numbering (ODN) for China</t>
  </si>
  <si>
    <t>IDCNBSAIS show zero value in functional areas</t>
  </si>
  <si>
    <t>CN Cash flow statement improvements</t>
  </si>
  <si>
    <t>IDCN localization - various corrections</t>
  </si>
  <si>
    <t>ODN generation for reversal documents</t>
  </si>
  <si>
    <t>ODN - no error message in MIRO even if missing customizing</t>
  </si>
  <si>
    <t>XX-CSC-CN-FI</t>
  </si>
  <si>
    <t>Get the credit information correctly</t>
  </si>
  <si>
    <t>For the field BKPF-NUMPG in China</t>
  </si>
  <si>
    <t>China: Adding ledger and alter.account to some transactions</t>
  </si>
  <si>
    <t>Special Periods Shown in Chinese Cash Flow Statement</t>
  </si>
  <si>
    <t>Discount and discount tax are initial in ALV sometimes</t>
  </si>
  <si>
    <t>China Golden Tax Interface Legal Change for GTS 7.00</t>
  </si>
  <si>
    <t>One-time customer displayed incorrectly in GTI ALV</t>
  </si>
  <si>
    <t>VAT Reg.Number of one-time customer incorrectly in GTI ALV</t>
  </si>
  <si>
    <t>Total line issue in ALV List</t>
  </si>
  <si>
    <t>Item number missing in GTI</t>
  </si>
  <si>
    <t>Enhancement for Legal Change GTI V7.0</t>
  </si>
  <si>
    <t>XX-CSC-CZ</t>
  </si>
  <si>
    <t>Czech Republic</t>
  </si>
  <si>
    <t>XX-CSC-CZ-FI</t>
  </si>
  <si>
    <t>Transferred VAT responsibility report: Czech Republic</t>
  </si>
  <si>
    <t>XX-CSC-FIAA</t>
  </si>
  <si>
    <t>Localiz. Asset Acc.</t>
  </si>
  <si>
    <t>RU: Property &amp; Transport Tax Declaration - Full Company Name</t>
  </si>
  <si>
    <t>RU: J3RALFPTAXDECL - Error message J3R_LEGAL_FORMS 316</t>
  </si>
  <si>
    <t>RU: Transport Tax Calculation based on capitalization date</t>
  </si>
  <si>
    <t>J_3R_PTAX_DECL - Structure mismatch value being truncated</t>
  </si>
  <si>
    <t>RU:J3RALFPTAXDECL - Error in Section 1 of Annual declaration</t>
  </si>
  <si>
    <t>Long company name in transport/property tax electronic files</t>
  </si>
  <si>
    <t>LC: Transport tax declaration-2012</t>
  </si>
  <si>
    <t>RU:Declaration XML Error - OBJECTS_OBJREF_NOT_ASSIGNED_NO</t>
  </si>
  <si>
    <t>Documentation for Golden Audit China</t>
  </si>
  <si>
    <t>XX-CSC-HU</t>
  </si>
  <si>
    <t>Hungary</t>
  </si>
  <si>
    <t>XX-CSC-HU-FI</t>
  </si>
  <si>
    <t>FBCJ - RFCASH_HU_AVP calculates invalid exch.rate</t>
  </si>
  <si>
    <t>XX-CSC-IL</t>
  </si>
  <si>
    <t>Israel</t>
  </si>
  <si>
    <t>XX-CSC-IL-FI</t>
  </si>
  <si>
    <t>FI (Obsolete)</t>
  </si>
  <si>
    <t>F110: modification of payment in LC (enhancements)</t>
  </si>
  <si>
    <t>F110:modification of payment in LC(source code modification)</t>
  </si>
  <si>
    <t>Quarterly Returns report for registered dealers for Depot</t>
  </si>
  <si>
    <t>A duplicate line is generated while printing document- J1IV</t>
  </si>
  <si>
    <t>Vendor details wrongly copied to utilization lines- J2I6</t>
  </si>
  <si>
    <t>Search help for Excise Group not working in Excise JV- J1IH</t>
  </si>
  <si>
    <t>Error 8I-583 while refer subcontracting challan in GR: MIGO</t>
  </si>
  <si>
    <t>Wrong closing balance for manufacture/clearance with Ed: ER1</t>
  </si>
  <si>
    <t>RG1 register extract doesn't update IWE classification- J2I6</t>
  </si>
  <si>
    <t>Wrong UoM for Det. of manufacture, clearance &amp; duty payable</t>
  </si>
  <si>
    <t>Wrong exc duty updated for Det of Manu, Clear &amp; duty payable</t>
  </si>
  <si>
    <t>For export type B, opening and closing balance incorrect-ER1</t>
  </si>
  <si>
    <t>Vendor details incorrect in dealer's report - J_1IQRDEPOT</t>
  </si>
  <si>
    <t>J1INUT: Not reversing TDS provisions</t>
  </si>
  <si>
    <t>J1INCCREP- Customer TDS certificates could not be reprinted.</t>
  </si>
  <si>
    <t>DPC: Incorrect rounding off of second currency amount</t>
  </si>
  <si>
    <t>Change in due date from 07 April to 30 April</t>
  </si>
  <si>
    <t>J1INEMIS - SELECT and SAVE layout added to the ALV output.</t>
  </si>
  <si>
    <t>J1INREP should not consider cancelled certificates</t>
  </si>
  <si>
    <t>Incorrect due date for document posted on 31st March</t>
  </si>
  <si>
    <t>XX-CSC-IN-IS</t>
  </si>
  <si>
    <t>XX-CSC-IN-IS-U</t>
  </si>
  <si>
    <t>IS - Utilities</t>
  </si>
  <si>
    <t>IS-U:INDIA:EHP6: Enhancement to NSC&amp;EDM functionalities</t>
  </si>
  <si>
    <t>Service Tax Category determining for Service Invoices- MIRO</t>
  </si>
  <si>
    <t>Capturing Excise values in J1IG with subtotal 6 not working</t>
  </si>
  <si>
    <t>Limited editable rows in challan selection screen in J1IFQ</t>
  </si>
  <si>
    <t>Material document generated by Usage Decision through QM</t>
  </si>
  <si>
    <t>Multiple capture of EI for previous fiscal yr posting- J1IEX</t>
  </si>
  <si>
    <t>CST condition value with subtotal 17 is not round-up in MIRO</t>
  </si>
  <si>
    <t>Incorrect duties calculated for subsequent debit/credit-MIRO</t>
  </si>
  <si>
    <t>Opening/closing balance are incorrect in RG23C Part1 registe</t>
  </si>
  <si>
    <t>Creation of ARE1 along with ARE3 in J1IA101/J1IA301</t>
  </si>
  <si>
    <t>Wrong table update, part2 number range not maintained- TR6C</t>
  </si>
  <si>
    <t>Screen change in transaction J1IFR for EhP5 and EhP6 systems</t>
  </si>
  <si>
    <t>Tax values not defaulted in J1IG for depot to depot transfer</t>
  </si>
  <si>
    <t>NCCD value not calculated while dpeot excise capture- J1IG</t>
  </si>
  <si>
    <t>Wrong duties copied from return depot excise in credit memo</t>
  </si>
  <si>
    <t>Depot ECS duty value wrongly calculated in change mode: J1IG</t>
  </si>
  <si>
    <t>Error message 8I-786 if vendor code is alpha numeric: J1IS</t>
  </si>
  <si>
    <t>AED value is doubled for excise on return delivery : J1IS</t>
  </si>
  <si>
    <t>CST calculation incorrect at the time of vendor invoice:MIRO</t>
  </si>
  <si>
    <t>Wrong Excise componets in vendor invoice for service: MIRO</t>
  </si>
  <si>
    <t>Error 4F-266 while GR w.r.t OBD for STO scenario: MIGO</t>
  </si>
  <si>
    <t>Disabling Excise invoice no &amp; date in change mode of J1IEX</t>
  </si>
  <si>
    <t>RG23A part2: No extraction for 'OTHR' transaction type-J2I5</t>
  </si>
  <si>
    <t>ABAP runtime error for mother excise invoice seletion: J1IGA</t>
  </si>
  <si>
    <t>Incorrect update of RG1 register when PGI cancelled: J1I5</t>
  </si>
  <si>
    <t>J_1IPART2 updated with double entry in case of CESS charges</t>
  </si>
  <si>
    <t>ECS value not updated in detail table for outgoing Ed- J1IIN</t>
  </si>
  <si>
    <t>Incorrect base value calculation in J1IS</t>
  </si>
  <si>
    <t>Excise duties not captured in transaction J1IS</t>
  </si>
  <si>
    <t>Transaction J1IJ creates incorrect Condition Records</t>
  </si>
  <si>
    <t>J_1IJCHK creates incorrect Condition Records</t>
  </si>
  <si>
    <t>ECS value and rate are not updated in outbound excise- VF01</t>
  </si>
  <si>
    <t>Error 8I-171 displayed for no UoM conversion found in J1IS</t>
  </si>
  <si>
    <t>Duty values incorrectly calculated for proforma invoice</t>
  </si>
  <si>
    <t>Cancelled excise accounting document is not generated - J1IH</t>
  </si>
  <si>
    <t>Wrong Pop-up confirmation when PLA has ledger balance- J1IH</t>
  </si>
  <si>
    <t>PART2 register updated with wrong entry in case of CESS-J1IH</t>
  </si>
  <si>
    <t>Sold to party not updated correctly while EI creation - VF01</t>
  </si>
  <si>
    <t>Duty not cleared in utilization screen of J1IIN transaction</t>
  </si>
  <si>
    <t>Reduction of capital goods duty payable on CG sales - J1IS</t>
  </si>
  <si>
    <t>XX-CSC-IN-ST</t>
  </si>
  <si>
    <t>Service Tax Report</t>
  </si>
  <si>
    <t>RFUMSV50: Invoice+Invoice correction from MIRO</t>
  </si>
  <si>
    <t>RFUMSV52: Empty tax base in down payments</t>
  </si>
  <si>
    <t>XX-CSC-INMA-MM</t>
  </si>
  <si>
    <t>INMA MM: Legal change in Chile</t>
  </si>
  <si>
    <t>INMA MM: Inflation Management and New GL</t>
  </si>
  <si>
    <t>XX-CSC-IT</t>
  </si>
  <si>
    <t>Italy</t>
  </si>
  <si>
    <t>ODN IT: New check on Agency Business documents for net value</t>
  </si>
  <si>
    <t>Italy CUP/CIG:Functionality enabled for Scheduling Agreement</t>
  </si>
  <si>
    <t>ODN IT: XBLNR field is overwritten with XBLNR_ALT for FI doc</t>
  </si>
  <si>
    <t>ISJP_MD: authorization check for company code</t>
  </si>
  <si>
    <t>ISJP: multiple tax codes and foreign curr - wrong E message</t>
  </si>
  <si>
    <t>Switch off message ISJP 006</t>
  </si>
  <si>
    <t>Automatic payment: clearing of documents is incomplete</t>
  </si>
  <si>
    <t>Batch Input for Invoice Summary Master Data dumps</t>
  </si>
  <si>
    <t>Missing closing date when reset and revers a payment</t>
  </si>
  <si>
    <t>Cancellation of MIs dumps due to missing authorization</t>
  </si>
  <si>
    <t>XX-CSC-LV</t>
  </si>
  <si>
    <t>Latvia</t>
  </si>
  <si>
    <t>XX-CSC-LV-FI</t>
  </si>
  <si>
    <t>Not possible to edit XBLNR even if ODN not active</t>
  </si>
  <si>
    <t>ODN MX: Misleading error message ICC_CN 892 for XBLNR.</t>
  </si>
  <si>
    <t>DIOT: Issue with 0% tax documents</t>
  </si>
  <si>
    <t>RFIDMXFORMAT29:Blank spaces at the end of the file output</t>
  </si>
  <si>
    <t>DIOT:Issue with the length of the column "PAID AMOUNT"</t>
  </si>
  <si>
    <t>XX-CSC-PE</t>
  </si>
  <si>
    <t>Peru</t>
  </si>
  <si>
    <t>ODN Peru: Dump due to alphanumeric form type</t>
  </si>
  <si>
    <t>RFCLLIB03_PE: Columns are not filled correctly.</t>
  </si>
  <si>
    <t>RFCLLIB04_PE reports last three columns are not being filled</t>
  </si>
  <si>
    <t>Report RFCLLIB01_PE header text for period is incorrect</t>
  </si>
  <si>
    <t>RFCLLIB03_PE: Issue with the column Export</t>
  </si>
  <si>
    <t>RFCLLIB03_PE :Issues with columns "Exempt" and "Non-affect".</t>
  </si>
  <si>
    <t>XX-CSC-PH</t>
  </si>
  <si>
    <t>Philippines</t>
  </si>
  <si>
    <t>PH:New implementation for recalculation of VAT tax condition</t>
  </si>
  <si>
    <t>Error in Generic Witholding Tax Certificate for Philipines</t>
  </si>
  <si>
    <t>XX-CSC-PL-FI</t>
  </si>
  <si>
    <t>Poland FIFO valuiation RFIDPL19 - issues solving</t>
  </si>
  <si>
    <t>RFKORDC1 : Issue with splitted document</t>
  </si>
  <si>
    <t>RFIDPL06 : Issue with foreign company tax declarations</t>
  </si>
  <si>
    <t>DP Poland: Redesigning of Down-payment functionality</t>
  </si>
  <si>
    <t>DP PL:Downpayment is not allowed for one-time customers</t>
  </si>
  <si>
    <t>DP PL: Alternate number range for the clearing invoices</t>
  </si>
  <si>
    <t>F5 348 when posting correction to correction - XVALGS set</t>
  </si>
  <si>
    <t>tbd</t>
  </si>
  <si>
    <t>Invoice list and digital signature in Portugal</t>
  </si>
  <si>
    <t>Digitial Signature for Self Billing - Correction Note</t>
  </si>
  <si>
    <t>Missing warning message when changing the start date</t>
  </si>
  <si>
    <t>Complete proforma invoice Portugal</t>
  </si>
  <si>
    <t>No digital signatures being generated for billing documents</t>
  </si>
  <si>
    <t>Invalid number range interval in the maintenance views</t>
  </si>
  <si>
    <t>PT: Mapas Fiscais - Printing order of the assets in the PDF</t>
  </si>
  <si>
    <t>Errors with Mapas Fiscais 2011 SNC forms</t>
  </si>
  <si>
    <t>PT: Mapas Fiscais -Tax rate from IDPT_A021 is not considered</t>
  </si>
  <si>
    <t>PT: Mapas Fiscais - Portaria nº 92-A/2011 XML for SNC forms</t>
  </si>
  <si>
    <t>Errors in Mapas Fiscais SNC forms 2011</t>
  </si>
  <si>
    <t>PT:Mapas Fiscais-Errors in ABAT and CORP forms of SNC</t>
  </si>
  <si>
    <t>PT: Mapas - Issues with manual entries and VEH_NO_LIMIT key</t>
  </si>
  <si>
    <t>Error in header of the XML file for SNC forms Mapas Fiscais</t>
  </si>
  <si>
    <t>PT: Portaria nº 92-A/2011- Errors in Form 32 and Form 31 XML</t>
  </si>
  <si>
    <t>SNC form 32- Totally Depreciated Assets not displayed</t>
  </si>
  <si>
    <t>PT: Mapas Fiscal - Incorrect Value in form 32 (Column 9)</t>
  </si>
  <si>
    <t>Mapas Fiscais - Error in PDF Alignment form 31 &amp; form 32</t>
  </si>
  <si>
    <t>SNC Form 31 Column 3 revaluation amount reported with limits</t>
  </si>
  <si>
    <t>PT:MAPAS FISCIAS XML-Same assets are reported multiple times</t>
  </si>
  <si>
    <t>Totally Depreciated assets are not grouped in SNC form 32</t>
  </si>
  <si>
    <t>SNC 32 form-XML only contains the records from the last page</t>
  </si>
  <si>
    <t>No GTD-entries created during cancellation of material doc</t>
  </si>
  <si>
    <t>RU: Changed Maintenance Object in Non-Leading Ledger IMG Act</t>
  </si>
  <si>
    <t>RFUMSV50: Simultaneous bank payment, down paym+clearing</t>
  </si>
  <si>
    <t>Dump in J3RKKRD when opening same doc in two sessions</t>
  </si>
  <si>
    <t>RFUMSV50: Wrong help and texts</t>
  </si>
  <si>
    <t>Short UC_OBJECTS_NOT_CONVERTIBLE dump in RFHABU10 report</t>
  </si>
  <si>
    <t>RFUMSV50: Invoice with many tax line items</t>
  </si>
  <si>
    <t>J_3RCALD(K)/J_3RF_RATE_CALC:cannot clear documents,error log</t>
  </si>
  <si>
    <t>J_3RF_RATE_CALC: SG106 - Translation result is too large</t>
  </si>
  <si>
    <t>VAT Invoice: service invoices, INN/KPP</t>
  </si>
  <si>
    <t>J_3RF_NKS_STARTUP: Short-dump ITAB_NON_NUMERIC_COMPONENT</t>
  </si>
  <si>
    <t>Data element J_3RF_110: incorrect texts</t>
  </si>
  <si>
    <t>OS-2 BADI_J_3R_OS2 No asset key in structure J_3R_OS1_S1T</t>
  </si>
  <si>
    <t>Report J_3RFBS_ALL Message no.FPRUNX001</t>
  </si>
  <si>
    <t>technical note - please ignore</t>
  </si>
  <si>
    <t>Missed fields in INV-1 and INV-1A forms</t>
  </si>
  <si>
    <t>RFUMSV50: Empty tax base line in non-standard DP</t>
  </si>
  <si>
    <t>Purchase Ledger: Customs Union</t>
  </si>
  <si>
    <t>RU_CITI_RUR: Tax amount in foreign currency</t>
  </si>
  <si>
    <t>J_3RSSEPINCVAT: incorrect incoming invoice selection</t>
  </si>
  <si>
    <t>J_3RF_VAT_ANALYSIS: Report includes item from future</t>
  </si>
  <si>
    <t>VAT Returns, Section 2: Vendor's name is missing</t>
  </si>
  <si>
    <t>Cash Order (RU): incorrect amount format</t>
  </si>
  <si>
    <t>Empty field 11 in RU_CITI payment medium format</t>
  </si>
  <si>
    <t>OS-6: Intercompany asset transfers processing</t>
  </si>
  <si>
    <t>Sales/Purchase Ledger: downpayment transfer</t>
  </si>
  <si>
    <t>Sales/Purchase Ledger: correction invoices</t>
  </si>
  <si>
    <t>Correction of Invoice: print form</t>
  </si>
  <si>
    <t>J_3RFBS_ALL Ending balance is empty for item 1410</t>
  </si>
  <si>
    <t>Balance notification (RU): period, BAdI parameters</t>
  </si>
  <si>
    <t>OS-6 Legacy data transfer, OS-forms Alternative accoutns</t>
  </si>
  <si>
    <t>Cash Journal KO-4: truncated account number</t>
  </si>
  <si>
    <t>Customs Union: Goods Import Declaration</t>
  </si>
  <si>
    <t>Correction of Invoice form: reducing of quantity</t>
  </si>
  <si>
    <t>J_3RFUM26: missing clearing</t>
  </si>
  <si>
    <t>Cash Receipts: G/L account, print indicator</t>
  </si>
  <si>
    <t>J3RFWORKWEAR:Unit of measure changes in workwear quotas</t>
  </si>
  <si>
    <t>RFUMSV50: Invalid Format of Exchange Rate Field</t>
  </si>
  <si>
    <t>Inlcude J_3R_LF_COMMON_FORMS BAdI method SET_DEFAULT_VALUES</t>
  </si>
  <si>
    <t>Import cargo customs declaration tracking: BoM in mat. doc</t>
  </si>
  <si>
    <t>J_3RCALD(K): clearing with payment exchange rate</t>
  </si>
  <si>
    <t>J_3R_LF_COMMON_SEl_SCR: DE's were added to sel.screen params</t>
  </si>
  <si>
    <t>J_3rfum26: Non-standard currency type</t>
  </si>
  <si>
    <t>J_3RCALD(K): customizing without chart of account</t>
  </si>
  <si>
    <t>ZUONR field in SD docs not populated with purchase order</t>
  </si>
  <si>
    <t>BADI method SET_DEFAULT_VALUES is called only once</t>
  </si>
  <si>
    <t>J_3RCALD(K): incorrect clearing amount</t>
  </si>
  <si>
    <t>Incorrect name of structural division in J3RALFOS3</t>
  </si>
  <si>
    <t>Sales/Purchase Ledger: correction invoices - fixes</t>
  </si>
  <si>
    <t>Optional payment in j3rsexport</t>
  </si>
  <si>
    <t>FIAA_Russia: PTAX Declaration shows blank PDF output</t>
  </si>
  <si>
    <t>Forms OS-4, OS-4A, OS-4B for non-retired assets</t>
  </si>
  <si>
    <t>J_3RSSEPINCVAT: some incoming invoices are not selected</t>
  </si>
  <si>
    <t>J_3rfum26: Additional screen in batch session</t>
  </si>
  <si>
    <t>Sales/Purchase Ledger: MM Delivery Costs corrections</t>
  </si>
  <si>
    <t>Sales Ledger: clearings of outgoing downpayments</t>
  </si>
  <si>
    <t>J_3RCALD(K): clearing between customer and vendor</t>
  </si>
  <si>
    <t>GTD-error when cancelling credit note</t>
  </si>
  <si>
    <t>RFUMSV50: Invalid Format of Exchange Rate Field II</t>
  </si>
  <si>
    <t>RFUSMV50: Wrong tax base in down payment clearing netto</t>
  </si>
  <si>
    <t>VAT invoice form for down payments: names of goods column</t>
  </si>
  <si>
    <t>VAT invoice on a fine (RU): incorrect VAT rate</t>
  </si>
  <si>
    <t>Corrective VAT invoice: reference to original document</t>
  </si>
  <si>
    <t>RU: PTAX Calculation, Asset not included in PTAX Declaration</t>
  </si>
  <si>
    <t>J_3RFUM26: incorrect selection by "Secondary Event" field</t>
  </si>
  <si>
    <t>Cash Orders (RU): company name</t>
  </si>
  <si>
    <t>J_3RMOBVED: Overvalue Processing</t>
  </si>
  <si>
    <t>Issues with MX-1 and MX-3 output</t>
  </si>
  <si>
    <t>Russian form TORG-12: preview, quantities, VAT rate</t>
  </si>
  <si>
    <t>Print forms TORG-1 and TORG-2 (RU)</t>
  </si>
  <si>
    <t>Records for condition tables A150, A151 are missing in T681</t>
  </si>
  <si>
    <t>Minor corrections for Waybill form (RU)</t>
  </si>
  <si>
    <t>J3RFGTDINT: Mandatory Customs Declaration Line Field</t>
  </si>
  <si>
    <t>Waybill form (RU): archiving, accompanying invoices</t>
  </si>
  <si>
    <t>Russian form TORG-12: cancelled invoice data</t>
  </si>
  <si>
    <t>Waybill form (RU): incorrect BAdI interface</t>
  </si>
  <si>
    <t>J_3RMOBVED: Overvalue Processing (Part II)</t>
  </si>
  <si>
    <t>TORG-12 form: incorrect amounts in case of batch split</t>
  </si>
  <si>
    <t>Printing of form TORG-13</t>
  </si>
  <si>
    <t>Waybill form (RU): different ship-to parties</t>
  </si>
  <si>
    <t>J_3RMOBVED: Batch Processing</t>
  </si>
  <si>
    <t>J_3RMOBVED: T001W and T001K Tables</t>
  </si>
  <si>
    <t>TORG-12 form: incorrect amounts</t>
  </si>
  <si>
    <t>Mapping of income types in form is incorrect</t>
  </si>
  <si>
    <t>XX-CSC-TH-LO</t>
  </si>
  <si>
    <t>Logistics (Thailand)</t>
  </si>
  <si>
    <t>TH: Negative opening balance due to valuation type mismatch.</t>
  </si>
  <si>
    <t>TH: Special Stock included due to valuation type mismatch</t>
  </si>
  <si>
    <t>TH: wrong output as goods issue entry calculated as negative</t>
  </si>
  <si>
    <t>XX-CSC-TR</t>
  </si>
  <si>
    <t>Turkey</t>
  </si>
  <si>
    <t>ODN TR:Official Document Control behaves incorrectly in IDCP</t>
  </si>
  <si>
    <t>XX-CSC-UA</t>
  </si>
  <si>
    <t>Ukraine</t>
  </si>
  <si>
    <t>XX-CSC-UA-FI</t>
  </si>
  <si>
    <t>Error message F5 048 in J_1UNCREATE_INCOM</t>
  </si>
  <si>
    <t>UA profit tax declaration</t>
  </si>
  <si>
    <t>ERS Numbering: ODN error for more than 999 line items</t>
  </si>
  <si>
    <t>Performance enhancement for J_1BSA_SCREEN_COMPONENT_ACTIVE</t>
  </si>
  <si>
    <t>New withholding tax keys Philippines</t>
  </si>
  <si>
    <t>Additional countries/components with special processing 2</t>
  </si>
  <si>
    <t>Performance enhancement 2 for J_1BSA_SCREEN_COMPONENT_ACTIVE</t>
  </si>
  <si>
    <t>XX-PART</t>
  </si>
  <si>
    <t>Partner solutions</t>
  </si>
  <si>
    <t>XX-PART-TIF</t>
  </si>
  <si>
    <t>Tax Interface (USA)</t>
  </si>
  <si>
    <t>Background billing: individual entries missing in ETXDCH</t>
  </si>
  <si>
    <t>Billing several documents cause mix of records in ETXDCH</t>
  </si>
  <si>
    <t>External tax calculation: Second method for RFC Buffering</t>
  </si>
  <si>
    <t>MIR4: No down payments displayed in clearing window</t>
  </si>
  <si>
    <t>MIRO: Not all down payments displayed on clearing screen</t>
  </si>
  <si>
    <t>XX-PROJ-CHO-IOA</t>
  </si>
  <si>
    <t>Chorus - Interest on Arrears</t>
  </si>
  <si>
    <t>XX-PROJ-CHO-IOA-FI</t>
  </si>
  <si>
    <t>Chorus - Interest FI</t>
  </si>
  <si>
    <t>FPIA- Changing Park doc. year do not update FPIA entries</t>
  </si>
  <si>
    <t>PCRD: Ungültige Informationen aus CRK1 in CRF4 übernommen</t>
  </si>
  <si>
    <t>CRK3: Error message when saving layout for ALV display</t>
  </si>
  <si>
    <t>XX-TRANSL</t>
  </si>
  <si>
    <t>Translation</t>
  </si>
  <si>
    <t>XX-TRANSL-EN</t>
  </si>
  <si>
    <t>Translation EN</t>
  </si>
  <si>
    <t>Correct spelling in data element AFAP</t>
  </si>
  <si>
    <t>XX-TRANSL-FR</t>
  </si>
  <si>
    <t>Translation FR</t>
  </si>
  <si>
    <t>Spelling error in screen titel of transaction CAT2 and CAT3</t>
  </si>
  <si>
    <t>XX-TRANSL-ZH</t>
  </si>
  <si>
    <t>Translation  ZH</t>
  </si>
  <si>
    <t>Correcting ZH translation of 'Phys. Inventory Items'</t>
  </si>
  <si>
    <t>SAPKH60603</t>
  </si>
  <si>
    <t>Error message 37 051 when subscreen SAPLKACB 9XXX displayed</t>
  </si>
  <si>
    <t>Error message RW602 when posting asset using BAPI</t>
  </si>
  <si>
    <t>Short dump IMPORT_CONTAINER_MISSING in transaction GCU4</t>
  </si>
  <si>
    <t>BAPI: Error FB279 for numeric trading partner</t>
  </si>
  <si>
    <t>Error RW 016 with postings using MIRO</t>
  </si>
  <si>
    <t>Incorrect fiscal year for posting using AC_DOCUMENT_GENERATE</t>
  </si>
  <si>
    <t>BAPI: Alpha conversion missing for AUFNR and SEGMENT</t>
  </si>
  <si>
    <t>Fields STCD3 and STCD4 in BAPI_ACC_DOCUMENT_POST</t>
  </si>
  <si>
    <t>ECS: Use of original values in correction postings</t>
  </si>
  <si>
    <t>Error handling in ECS customizing</t>
  </si>
  <si>
    <t>No Suspense Accounting: Ruleset of ECS environment DEFAULT</t>
  </si>
  <si>
    <t>ECS Run ADM shows a Date in various columns of the doc</t>
  </si>
  <si>
    <t>Derivation Trace Display: Missing authorization values</t>
  </si>
  <si>
    <t>Message CMD_API 024 in CVI-API KNB1-check</t>
  </si>
  <si>
    <t>VMD_EI_API_CHECK: validation of Head Office Account Number</t>
  </si>
  <si>
    <t>CVI: No synchronisation of the field Name Affix 1 to vendor</t>
  </si>
  <si>
    <t>CVI: foreign key check fails for unsaved subrange in PF</t>
  </si>
  <si>
    <t>CVI verarbeitet keine Updates von GP-Beziehungen</t>
  </si>
  <si>
    <t>Fehler im Mapping von Ansprechpartnern</t>
  </si>
  <si>
    <t>CVI Check issue for Vendor Partner Functions</t>
  </si>
  <si>
    <t>SOA BP: BP update service returns incorrect result code</t>
  </si>
  <si>
    <t>BusinessPartnerERPUpdate service: initial validity date</t>
  </si>
  <si>
    <t>Authorization issue during CVI between BP and customer</t>
  </si>
  <si>
    <t>BC-ABA</t>
  </si>
  <si>
    <t>ABAP Runtime Env.</t>
  </si>
  <si>
    <t>Debug Scripts</t>
  </si>
  <si>
    <t>DRB: Relationship between sales order and PP order in DB</t>
  </si>
  <si>
    <t>DRB: Correction for follow-on documents SD_VTTK</t>
  </si>
  <si>
    <t>DRB: Correction note for SAP Note 1573695</t>
  </si>
  <si>
    <t>DRB: Correction for SAP Note 1409627</t>
  </si>
  <si>
    <t>Extraction of characteristics with value SPACE</t>
  </si>
  <si>
    <t>Dump when extracting numeric values of a classification</t>
  </si>
  <si>
    <t>BW-BCT: Order category field not filled in totals extractor</t>
  </si>
  <si>
    <t>BW-BCT-CRM</t>
  </si>
  <si>
    <t>BW-BCT-CRM-SRV</t>
  </si>
  <si>
    <t>Infinite loop in 0CRM_SRV_COSTS and 0CRM_SRV_C_ITEM</t>
  </si>
  <si>
    <t>BTE 5022 is not triggered for transaction and local currency</t>
  </si>
  <si>
    <t>Error: SAP BW system must not be operated in client &lt;XXX&gt;</t>
  </si>
  <si>
    <t>Performance problems with updates on table BWFI_AEDA2</t>
  </si>
  <si>
    <t>0FI_AA_002: Runtime error COLLECT_OVERFLOW_TYPE_P</t>
  </si>
  <si>
    <t>Enhanced interface for master data delta extraction</t>
  </si>
  <si>
    <t>BW-BCT-FI-COL</t>
  </si>
  <si>
    <t>Collections Manageme</t>
  </si>
  <si>
    <t>0CLM_INVOICE:Delta Init without data transfer not possible</t>
  </si>
  <si>
    <t>Extraction fails with TSV_TNEW_PAGE_ALLOC_FAILED or takes lo</t>
  </si>
  <si>
    <t>Incorrect credit/debit indicator in BW extraction 0FI_GL_14</t>
  </si>
  <si>
    <t>0FI_TX_4:Del. entr.frm BWFI_AEDAT if othr 0FI_*_4 DS r inact</t>
  </si>
  <si>
    <t>NewGL: Changeover of delta extractors to UTC time stamp</t>
  </si>
  <si>
    <t>0FI_GL_14: Missing cleared and changed documents in delta</t>
  </si>
  <si>
    <t>0FI_GL_14: Wrong due date calculation</t>
  </si>
  <si>
    <t>Extraction structure of 0FI_GL_4 enhanced with field MWSKZ</t>
  </si>
  <si>
    <t>BW-BCT-FI-MD</t>
  </si>
  <si>
    <t>Master Data Fin Acc</t>
  </si>
  <si>
    <t>Language missing in datasource 0COMP_CODE_TEXT</t>
  </si>
  <si>
    <t>BW-BCT-IM</t>
  </si>
  <si>
    <t>BW-BCT-IM-FA</t>
  </si>
  <si>
    <t>BW-BCT: 0IM_FA_IP extractors extract deleted records</t>
  </si>
  <si>
    <t>No Business Volume setup for customer based rebates possible</t>
  </si>
  <si>
    <t>LBWE: Missing fields in display mode</t>
  </si>
  <si>
    <t>BW/LIS: Delivery costs too large</t>
  </si>
  <si>
    <t>BW: Accounting documents in EKBZ generate wrong statistics</t>
  </si>
  <si>
    <t>BW/LIS: Account statistics missing for archived documents</t>
  </si>
  <si>
    <t>EHP6-SP03:MAA-Wrong results for selections</t>
  </si>
  <si>
    <t>0PM_PRM_PLCS_1: Error message 'IP602'</t>
  </si>
  <si>
    <t>2LIS_04_P_COMP : incorrect Actual GI qty during DELTA</t>
  </si>
  <si>
    <t>FI06: Bank in use, correction to note 1369099</t>
  </si>
  <si>
    <t>Pricing reference article change not handled by DRFOUT</t>
  </si>
  <si>
    <t>Object VC_DVS10  can not be retrofited</t>
  </si>
  <si>
    <t>Unauthorized modification of ITS in DMS</t>
  </si>
  <si>
    <t>Digital Signatures: Undo Signatures does not work</t>
  </si>
  <si>
    <t>Document Status missing in Digital Signature logs</t>
  </si>
  <si>
    <t>Handling Digital Signature from PLM Web UI</t>
  </si>
  <si>
    <t>PLMWUI: Cancelling signature process does not revert status</t>
  </si>
  <si>
    <t>CA-DMS-CNV</t>
  </si>
  <si>
    <t>DMS Integration</t>
  </si>
  <si>
    <t>VEG:VEGenerator Conversion trigger at status change</t>
  </si>
  <si>
    <t>RH: Latest verion is not exploded if customization set</t>
  </si>
  <si>
    <t>CVAPI_DOC_CHECKOUTSET: Change Number not validated</t>
  </si>
  <si>
    <t>CA-EPT</t>
  </si>
  <si>
    <t>Processes and Tools for Enterprise Applications</t>
  </si>
  <si>
    <t>CA-EPT-VE</t>
  </si>
  <si>
    <t>Visual Enterprise</t>
  </si>
  <si>
    <t>CA-EPT-VE-VEG</t>
  </si>
  <si>
    <t>Downport from FND layer to APPL Layer</t>
  </si>
  <si>
    <t>Output control does not add outputs as expected</t>
  </si>
  <si>
    <t>Prog. terminatn GETWA_NOT_ASSIGNED in SAPLCPE_KNUMVTOGUID_OB</t>
  </si>
  <si>
    <t>Performance with pricing conditions in payment document</t>
  </si>
  <si>
    <t>FTW1A: Control Totals Errors for different currency</t>
  </si>
  <si>
    <t>FTWN - Query dialog box for export to local file</t>
  </si>
  <si>
    <t>FTWY - Error message XW 129 for newly created views</t>
  </si>
  <si>
    <t>FTWQ - Transport recording is incomplete</t>
  </si>
  <si>
    <t>FTW1A: Too many CO totals records extracted</t>
  </si>
  <si>
    <t>FTW1A:FI Open Items not extracted with 'Open Items' checked</t>
  </si>
  <si>
    <t>FTWD: Checksum errors for Travel Segment TXW_ZWECK</t>
  </si>
  <si>
    <t>FTWP: Wrong directory set gets updated</t>
  </si>
  <si>
    <t>Termination CX_SY_STRUCT_ATTRIBUTES in F12_DECOMPRESS_RECORD</t>
  </si>
  <si>
    <t>CA-GTF-TS</t>
  </si>
  <si>
    <t>Technical Application Support</t>
  </si>
  <si>
    <t>CA-GTF-TS-SMT</t>
  </si>
  <si>
    <t>Status Management</t>
  </si>
  <si>
    <t>Improvement to system status display</t>
  </si>
  <si>
    <t>Integration of JVA into New General Ledger (EHP5 downport)</t>
  </si>
  <si>
    <t>MDG: Beziehungen</t>
  </si>
  <si>
    <t>BP Data Replication: Confusing texts for filter criteria</t>
  </si>
  <si>
    <t>MDG data exchange: Determining the sender system</t>
  </si>
  <si>
    <t>MDG: Package decoupling MDG</t>
  </si>
  <si>
    <t>MDG: ERP-Ansprechpartnernummer fehlt im Schlüssel-Mapping</t>
  </si>
  <si>
    <t>MDG: Errors when replicating customers or vendors</t>
  </si>
  <si>
    <t>MDGC: incorrect values for sales org. dependant field-status</t>
  </si>
  <si>
    <t>MDGC: client copy; vendor messages in application log</t>
  </si>
  <si>
    <t>MDG: inappropriate ref. to customizing in message long texts</t>
  </si>
  <si>
    <t>MDG Customer/Supplier: ALE-Erweiterungen</t>
  </si>
  <si>
    <t>CVI: Partrnerrollen zum Customer mit externer Nummernvergabe</t>
  </si>
  <si>
    <t>CA-MDG-APP-CUS-LO</t>
  </si>
  <si>
    <t>MDG Local Copy: Determination own business system</t>
  </si>
  <si>
    <t>Profit/Cost Center Group Hierarchy replication fails</t>
  </si>
  <si>
    <t>Lock indicator on Profit Center is not updated</t>
  </si>
  <si>
    <t>Texts are not updated during full replication of hierarchy</t>
  </si>
  <si>
    <t>Error KM 503 (profit center group does not exist)</t>
  </si>
  <si>
    <t>Error KBAS_XI_PROXY 060 &amp; 070 issued during replication</t>
  </si>
  <si>
    <t>Alternative PCTR &amp; CCTR hierarchy replication difficulties</t>
  </si>
  <si>
    <t>Cost Center: Lock indicators cannot be reset</t>
  </si>
  <si>
    <t>Field XLOEV of A segment is not updated</t>
  </si>
  <si>
    <t>Creation of connector for MDG_MATERIAL results error</t>
  </si>
  <si>
    <t>MDG MAT: fehlende Funktionalität für Materialartenänderung</t>
  </si>
  <si>
    <t>Wrong mapping of field LFB1-QLAND in Replication-Outbound</t>
  </si>
  <si>
    <t>CVI: Impossible to maintain Supplier Partner Functions</t>
  </si>
  <si>
    <t>MDG: Dummy Note for SAP_APPL Transport ES template &amp; Co.</t>
  </si>
  <si>
    <t>Subranges SOA replication error: Field 'TASK' is empty</t>
  </si>
  <si>
    <t>MDG: Errors in Inbound processing of supplier replication</t>
  </si>
  <si>
    <t>Conversion error for reference fields of supplier</t>
  </si>
  <si>
    <t>Incorrect mapping of reference fields for partner functions</t>
  </si>
  <si>
    <t>MDGS: activation error due to missing mandat. partner roles</t>
  </si>
  <si>
    <t>Runtime error during import of partner functions</t>
  </si>
  <si>
    <t>Invalid check for vendor subranges in partner functions</t>
  </si>
  <si>
    <t>Error in mapping step PROCUREMENT_ARRANGEMENT</t>
  </si>
  <si>
    <t>Synchronization of contact persons in the vendor master</t>
  </si>
  <si>
    <t>Checkman Error in EHP4</t>
  </si>
  <si>
    <t>CA-TS-CO</t>
  </si>
  <si>
    <t>Integr.Controlling</t>
  </si>
  <si>
    <t>CATR: deleting incorrect CATSCO entries (part 2)</t>
  </si>
  <si>
    <t>CA-TS-PM</t>
  </si>
  <si>
    <t>Integr.Plant Maint.</t>
  </si>
  <si>
    <t>CAT9/CATA: Reversal leads to message RU 147 in log</t>
  </si>
  <si>
    <t>Central Dummy note for ERP Financials CO-OM EHP5 EHP6</t>
  </si>
  <si>
    <t>Neue Funktionen für COGM - Sammelhinweis</t>
  </si>
  <si>
    <t>CO-OM tools: Performance in case of very many sel criteria</t>
  </si>
  <si>
    <t>Unauthorized modification in ITS-Services of ISR</t>
  </si>
  <si>
    <t>Unauthorized modification in BSP application in CO-OM</t>
  </si>
  <si>
    <t>CO-OM tools: Connecting SAP HANA to SE16N part 6</t>
  </si>
  <si>
    <t>Neue UI's für die manuellen Kostenstellenplanung</t>
  </si>
  <si>
    <t>Fix package errors in CO Renovation</t>
  </si>
  <si>
    <t>SE16N: No result for selection in CHAR field</t>
  </si>
  <si>
    <t>Correction to adapt the updates of FPM class</t>
  </si>
  <si>
    <t>CO-OM tools: Connecting SAP HANA to SE16N part 7</t>
  </si>
  <si>
    <t>CO-OM tools: Escape character selection in pooled tables</t>
  </si>
  <si>
    <t>KSII: Actual price in multiple valuation is not updated</t>
  </si>
  <si>
    <t>KWEB_ACTIONLIST_CCTR_CREATE - Syntax error in Unicode system</t>
  </si>
  <si>
    <t>KK03: Display of all usages for orders is incorrect</t>
  </si>
  <si>
    <t>BAPI_COSTACTPLN_CHECKPRIMCOST: KP 577 as W instead E message</t>
  </si>
  <si>
    <t>Allocations: cycle overview displays wrong values</t>
  </si>
  <si>
    <t>Allocations: User exit EXIT_SAPMKGA2_001 using SE38</t>
  </si>
  <si>
    <t>Valuation view is not changed (KSB5)</t>
  </si>
  <si>
    <t>Cost Element Accounting</t>
  </si>
  <si>
    <t>CO-OM-CEL-E</t>
  </si>
  <si>
    <t>Parallel cost of goods manufactrd: Err KI 101 during settl.</t>
  </si>
  <si>
    <t>KAEP: Enhancements for line item reporting with SAP HANA VI</t>
  </si>
  <si>
    <t>Currency of ODP Query display in list report</t>
  </si>
  <si>
    <t>KAEP: External navigation to line item report does not work</t>
  </si>
  <si>
    <t>Settlement rule generated automatically: KD 104</t>
  </si>
  <si>
    <t>Settlement rule: DUPREC during update</t>
  </si>
  <si>
    <t>Settlmt rule intern. order: Auth. check for auto. generation</t>
  </si>
  <si>
    <t>Where-used list of group maintenance for overall planning</t>
  </si>
  <si>
    <t>Assigned values incorrect after CJBN if using Note 853530</t>
  </si>
  <si>
    <t>Proj. w/ valuated proj.stock: Incorr. assgd value after CJBN</t>
  </si>
  <si>
    <t>Incorrect assigned value after CJBN</t>
  </si>
  <si>
    <t>Profitability Analysis</t>
  </si>
  <si>
    <t>KE28 - Performance improvement</t>
  </si>
  <si>
    <t>KE28: option 'Cumulate Record Type', performance</t>
  </si>
  <si>
    <t>Errors in the case of hierarchies in virtual InfoProvider</t>
  </si>
  <si>
    <t>CO-PA-MD</t>
  </si>
  <si>
    <t>KE4I: Program termination during table comparison</t>
  </si>
  <si>
    <t>Archiving object COPAC_xxxx: Write session canceled II</t>
  </si>
  <si>
    <t>Archiving object COPAB_XXXX: Plan/Act. indicator ignored</t>
  </si>
  <si>
    <t>Archiving of line items - performance</t>
  </si>
  <si>
    <t>Consumption values for co-products after price determination</t>
  </si>
  <si>
    <t>CKMADJUST generates clearing posting in currency not in ML</t>
  </si>
  <si>
    <t>Field overflow in statistical PUP during goods movements</t>
  </si>
  <si>
    <t>CKMLCP: Long runtime for selecting materials</t>
  </si>
  <si>
    <t>Unjustified C+ 723 error (in multilevel price determination)</t>
  </si>
  <si>
    <t>CKMLCP: Deadlock in function module CKMS_POST_PERIOD_DELTA</t>
  </si>
  <si>
    <t>Transaction CKMADJUST: Differences in local currency</t>
  </si>
  <si>
    <t>Std price cost comp. split in COPA if material status &lt; 70</t>
  </si>
  <si>
    <t>CKMLBB_AGGREGATE: Receipt values are missing</t>
  </si>
  <si>
    <t>CKMM ALV in result list: default layout cannot be changed</t>
  </si>
  <si>
    <t>CKMM: Sales order stock displayed twice in output list</t>
  </si>
  <si>
    <t>Transaction HDBC: Error "You can only work in client xxx"</t>
  </si>
  <si>
    <t>Trx FCML_FILL: Error "You can only work in client xxx"</t>
  </si>
  <si>
    <t>Various corrections for HANA Accelerator in material ledger</t>
  </si>
  <si>
    <t>Checkman error in Function Module FCMLA3_VIP_STATUS_GET</t>
  </si>
  <si>
    <t>ML drilldown reporting: Selection via Costing Run (AVR)</t>
  </si>
  <si>
    <t>Making price limiter logic controllable in COGM run</t>
  </si>
  <si>
    <t>KE27: No revaluation if total consumption quantity is zero</t>
  </si>
  <si>
    <t>KKBC: cost analysis report - TIME_OUT during line item call</t>
  </si>
  <si>
    <t>RKKRCO00 - TSV_TNEW_PAGE_ALLOC_FAILED during spool output</t>
  </si>
  <si>
    <t>RKKBSELL: Internal format for actual unit of measure</t>
  </si>
  <si>
    <t>KKO7 - Cannot create calculated key figures</t>
  </si>
  <si>
    <t>Test Entwicklung parallele Herstellkosten</t>
  </si>
  <si>
    <t>Error log in sales order costing</t>
  </si>
  <si>
    <t>CK40N: Yellow traffic lights in costing overview</t>
  </si>
  <si>
    <t>CK40N, CK24: Resetting update of other prices</t>
  </si>
  <si>
    <t>ECP: Incorrect plan values after simulation version transfer</t>
  </si>
  <si>
    <t>CO-PC-PCP-WOQ</t>
  </si>
  <si>
    <t>Prod.Cstg w/oQtyStr.</t>
  </si>
  <si>
    <t>Error in field control for item category Y</t>
  </si>
  <si>
    <t>Unit costing: Deletes data of structure CI_CKIS</t>
  </si>
  <si>
    <t>Material costing: Errors when calculating process costs</t>
  </si>
  <si>
    <t>Sales order costing uses incorrect component structure</t>
  </si>
  <si>
    <t>Costing run: Improved statistics display</t>
  </si>
  <si>
    <t>SCE: several reference characteristics for a table field (2)</t>
  </si>
  <si>
    <t>Deleting OLTP status after change in service document</t>
  </si>
  <si>
    <t>CRM-BTX-COI</t>
  </si>
  <si>
    <t>Controlling Integration</t>
  </si>
  <si>
    <t>CRM-BTX-COI-SRV</t>
  </si>
  <si>
    <t>Controll.Int.Service</t>
  </si>
  <si>
    <t>Switching to individual queues for Accounting queue</t>
  </si>
  <si>
    <t>CRM-BTX-COM</t>
  </si>
  <si>
    <t>Complaints/Returns/I</t>
  </si>
  <si>
    <t>Reduction of incorrect sales order stock when scrapping 1</t>
  </si>
  <si>
    <t>FSSC: GOS Service not available (FSSC_LINKAIC in SGOSATTR)</t>
  </si>
  <si>
    <t>Downport of function module for Customer Invoice Search</t>
  </si>
  <si>
    <t>FSSC: Vendor Contact Person Replication Enabling</t>
  </si>
  <si>
    <t>FSSC:Example Archiving Function of Dunning/Account Statement</t>
  </si>
  <si>
    <t>Correct function module SSC_BP_KNB1_DE_EIOUT</t>
  </si>
  <si>
    <t>CRM-ISA-R3</t>
  </si>
  <si>
    <t>Internet Sales (R/3 Edition)</t>
  </si>
  <si>
    <t>CRM-ISA-R3-SLD</t>
  </si>
  <si>
    <t>Sales Documents</t>
  </si>
  <si>
    <t>Search for accepted quotes also displays rejected quotes</t>
  </si>
  <si>
    <t>Missing parameter when calling FICACG10</t>
  </si>
  <si>
    <t>Upload method definition can be changed in locked client</t>
  </si>
  <si>
    <t>Runtime error in List of Journal Entries</t>
  </si>
  <si>
    <t>SAPMKCBE DATA_OFFSET_TOO_LARGE</t>
  </si>
  <si>
    <t>Drilldown reporting: performance HTML export</t>
  </si>
  <si>
    <t>Attributes in Object List Output</t>
  </si>
  <si>
    <t>Repeated print results different</t>
  </si>
  <si>
    <t>0KEK: Error KM 370 for definition for each valuation class</t>
  </si>
  <si>
    <t>RPCA_DEL_REFDOC: Too much data deleted</t>
  </si>
  <si>
    <t>2KEE/RCOPCA10: Fiscal year is derived incorrectly</t>
  </si>
  <si>
    <t>KE54: Deleting profit center w/ PSM in new general ledger</t>
  </si>
  <si>
    <t>EC-PCA-TL</t>
  </si>
  <si>
    <t>Extras</t>
  </si>
  <si>
    <t>EC-PCA-TL-ALE</t>
  </si>
  <si>
    <t>Distribution (ALE)</t>
  </si>
  <si>
    <t>Error FGV 0003 during rollup of period 000</t>
  </si>
  <si>
    <t>Unauthorized modification in BSP application in PlantManager</t>
  </si>
  <si>
    <t>Portal: Order Short text is cleared</t>
  </si>
  <si>
    <t>Navigating from the PReq feeder to the material master fails</t>
  </si>
  <si>
    <t>Message log gets dublicated when confirming ORDRSP in portal</t>
  </si>
  <si>
    <t>CPPR: Submit not possible without submission deadline date</t>
  </si>
  <si>
    <t>Unauthorized modification in BSP applicat. of EP-PCT-PUR-BP</t>
  </si>
  <si>
    <t>Unneeded Popup after accepting Acknowledgement in Portal</t>
  </si>
  <si>
    <t>Web Dynpro ABAP application to display sources of supply</t>
  </si>
  <si>
    <t>Dump on Deselect all from item table in cppr</t>
  </si>
  <si>
    <t>CPPR Bundle &amp; create PO functionality incorrect</t>
  </si>
  <si>
    <t>Dump while compare Source of Supply Assignment.</t>
  </si>
  <si>
    <t>Cannot create Service lines after Automatic AA</t>
  </si>
  <si>
    <t>SPPR- Item Plant feild entry not possible</t>
  </si>
  <si>
    <t>Short dump on clicking the SERVICE in EAM maintenence order</t>
  </si>
  <si>
    <t>Dump on clicking  Delete Items button in SPPR</t>
  </si>
  <si>
    <t>XSS: Source code commented out incorrectly on BSP pages</t>
  </si>
  <si>
    <t>Obsolete ITS services in FI-AA</t>
  </si>
  <si>
    <t>Master data: Runtime error DYN_CALL_PARAM_NOT_FOUND</t>
  </si>
  <si>
    <t>Endless loop in logical database</t>
  </si>
  <si>
    <t>FB ANLC_VORTRAGEN: E_VORTRAG not provided</t>
  </si>
  <si>
    <t>Maintaining asset cl. data dependnt on chrt of depr. : AC012</t>
  </si>
  <si>
    <t>Transaction type maintenance: ACC113</t>
  </si>
  <si>
    <t>Obsolete ITS services in FI-AR/AP</t>
  </si>
  <si>
    <t>FIN UI decoupling: Technical corrections 7</t>
  </si>
  <si>
    <t>FBR2: STCEG not transferred to one-time screen</t>
  </si>
  <si>
    <t>FPDP_CREATE: Error 00 349 for BSEG-MWSKZ</t>
  </si>
  <si>
    <t>FB03/ALV grid control: SKFBT w/ incorrect decimal places</t>
  </si>
  <si>
    <t>F110 Message GLT2201 for withholding tax posting</t>
  </si>
  <si>
    <t>F110 Segment text for payment and down payment requests</t>
  </si>
  <si>
    <t>F110 Payment by due date and extended individual payment</t>
  </si>
  <si>
    <t>F110: Scheduling in case of closed posting period</t>
  </si>
  <si>
    <t>F110: Cash discount for overdue net posted items</t>
  </si>
  <si>
    <t>F110: Incorrect number of items in payments</t>
  </si>
  <si>
    <t>F110: SEPA contract reference for contract is not unique</t>
  </si>
  <si>
    <t>PMW or DMEE: BTL91, Payer's Account Currency</t>
  </si>
  <si>
    <t>CODA: Ext.t-code for house bank and dump due to character</t>
  </si>
  <si>
    <t>RFFOES_T:For Bank to bank transfer the Tax code was not pass</t>
  </si>
  <si>
    <t>RFESR000: ISR subscriber number(TEILN) is incorrectly read</t>
  </si>
  <si>
    <t>FBWE: CIG &amp; CUP in BOE.</t>
  </si>
  <si>
    <t>PMW DMEE: V3_IZV- Segment RFF_PQ is not correct in the file</t>
  </si>
  <si>
    <t>RFFOBE_E: DME Bank Identification in the DME file</t>
  </si>
  <si>
    <t>RFEBNORDIC: Line Item file generated without amounts</t>
  </si>
  <si>
    <t>RFFOIT_FOR:Header position 116-120 was filled with zeros</t>
  </si>
  <si>
    <t>RFFOJP_L: Account Holder name missing in ouput DME file</t>
  </si>
  <si>
    <t>RFEBBE00 :Electronic statement number not passed in Umsatz</t>
  </si>
  <si>
    <t>RFFOIT_FOR:KIDNO truncated in output DME File at P9(60-64)</t>
  </si>
  <si>
    <t>RFEBBECODA00:IBAN of business partner not found in Multicash</t>
  </si>
  <si>
    <t>DK_PAYMUL_DOMESTIC:File has Item text only for 1st line item</t>
  </si>
  <si>
    <t>Line items: Memory not released if back from list to select.</t>
  </si>
  <si>
    <t>Sending FI correspondence in PDF form by e-mail or fax</t>
  </si>
  <si>
    <t>RFKORD10: Structure rf140u not filled</t>
  </si>
  <si>
    <t>RFBIDE00: Transfer of bank details</t>
  </si>
  <si>
    <t>RFBIDE20/RFBIKR20: Enter one file name only</t>
  </si>
  <si>
    <t>Posting split in FI acc. to SAP Note 1497092 for Romania</t>
  </si>
  <si>
    <t>PRRW: BSET-HWSTE = 0 for non-deductible input tax</t>
  </si>
  <si>
    <t>Short dump INPUT_INCOMPLETE during posting of invoice</t>
  </si>
  <si>
    <t>SAP Notes 1353125/1497092: Splitting a revaluation posting</t>
  </si>
  <si>
    <t>Incorrect change documents for IBAN are updated</t>
  </si>
  <si>
    <t>Name is displayed on initial screen</t>
  </si>
  <si>
    <t>Display of STCD5 in vendor master data</t>
  </si>
  <si>
    <t>Field control not taken into account</t>
  </si>
  <si>
    <t>STCEG for Australia</t>
  </si>
  <si>
    <t>Dual control principle: Sensitive change must be confirmed</t>
  </si>
  <si>
    <t>Legal requirement for Colombia</t>
  </si>
  <si>
    <t>New parameter for badi ES_WT_ACC_UNIT_PRICE</t>
  </si>
  <si>
    <t>new field in with_item for reporting</t>
  </si>
  <si>
    <t>Badi for reversal for argentina</t>
  </si>
  <si>
    <t>Badi for Ireland to change exemption details in vendor maste</t>
  </si>
  <si>
    <t>Validate the special characters in the report RFKQSE11</t>
  </si>
  <si>
    <t>Dummy note: Checkman</t>
  </si>
  <si>
    <t>RFIDYYWT: Withholding tax base in generic reporting</t>
  </si>
  <si>
    <t>RF0KQST5 - Downpayment  Negative base amount and tax amount</t>
  </si>
  <si>
    <t>S_P00_07000134 - Generic Withholding Tax Reporting</t>
  </si>
  <si>
    <t>Venezuela VAT WT certificate Numbering- RFIDYYWT</t>
  </si>
  <si>
    <t>US legal Change - 1099K Reporting</t>
  </si>
  <si>
    <t>One time vendors not reporting for two different suppliers</t>
  </si>
  <si>
    <t>RFIDYYWT: Sub period reporting issues</t>
  </si>
  <si>
    <t>Alternate payee number is not getting reported in form/file</t>
  </si>
  <si>
    <t>K-Records not getting reported for Classical WHT in file o/p</t>
  </si>
  <si>
    <t>RCT Legal Change - Ireland 2012</t>
  </si>
  <si>
    <t>Thailand Legal Change-Tax number length changed to 13 digits</t>
  </si>
  <si>
    <t>FBV4/CALL TRANSACTION: Disruption due to dialog box</t>
  </si>
  <si>
    <t>ENJOY: Not possible to delete parked documents in workflow</t>
  </si>
  <si>
    <t>FV60/FV70: Baseline date for payment disappears</t>
  </si>
  <si>
    <t>FBV0: Field BSEG-BUDGET_PD not on screen SAPMF05A 0302</t>
  </si>
  <si>
    <t>FBV2/ENJOY: One-time data is lost for AWTYP BKPFF</t>
  </si>
  <si>
    <t>Inconsistent clearing for down payment clearing</t>
  </si>
  <si>
    <t>F-38: No posting due to RQ 147</t>
  </si>
  <si>
    <t>FB01/FB02: Incorrect payment term for invoice reference</t>
  </si>
  <si>
    <t>F110: Message FZ331 for tax jurisdiction code</t>
  </si>
  <si>
    <t>FB70: Unjustified error message F5 216 displayed</t>
  </si>
  <si>
    <t>F150: Accounts are dunned despite exclusion</t>
  </si>
  <si>
    <t>F150: Dunning by e-mail and Smart Form/PDF: Missing title</t>
  </si>
  <si>
    <t>FINT: FF 748 "Jurisdiction code not defined for procedure &amp;"</t>
  </si>
  <si>
    <t>F150: Company postal code not taken into account for print</t>
  </si>
  <si>
    <t>F150: Message TD 429 when output device changed</t>
  </si>
  <si>
    <t>FI_INT_CUS01~INT_GROUP: Cannot make entry in log</t>
  </si>
  <si>
    <t>RFDEPL00/RFKEPL00: Missng line in headr details in print (2)</t>
  </si>
  <si>
    <t>RFDOFW00/RFKOFW00: Internal adjustments</t>
  </si>
  <si>
    <t>RFAUSZ00: Internal adjustments</t>
  </si>
  <si>
    <t>RF*ABL00: OBJECTS_OBJREF_NOT_ASSIGNED for XML export</t>
  </si>
  <si>
    <t>RFDABL00/RFKABL00: SAPSQL_STMNT_TOO_LARGE/IBAN changes</t>
  </si>
  <si>
    <t>RFDABL00/RFKABL00: Restrctng company code: Too much data (2)</t>
  </si>
  <si>
    <t>RFFBWG10: Fiscal year is determined incorrectly</t>
  </si>
  <si>
    <t>FBWE: Bill of exchange presentation despite err mssg FZ 936</t>
  </si>
  <si>
    <t>AC interface: Posting split in FI for outgoing invoices</t>
  </si>
  <si>
    <t>VF44: Error F5 735 in revenue realization posting</t>
  </si>
  <si>
    <t>SEPA mandate - customers: Fld status for customer &amp; co. code</t>
  </si>
  <si>
    <t>SEPA mandate for customers: F4 help for IBAN</t>
  </si>
  <si>
    <t>FI-BL-MD</t>
  </si>
  <si>
    <t>Enhancement of ABAP Dictionary F4 help H_T012</t>
  </si>
  <si>
    <t>Account statement: Import terminates with error FA 006</t>
  </si>
  <si>
    <t>RFCJ10: Incorrect messages</t>
  </si>
  <si>
    <t>FBCJ: Profit center entered manually is lost</t>
  </si>
  <si>
    <t>FBCJ: Error w/ branch accnts in cash journal/general ledger</t>
  </si>
  <si>
    <t>FBCJ: Incorrect derivation of account assignment objects</t>
  </si>
  <si>
    <t>FBCJ: Message F5 165 Company code &amp; is not defined</t>
  </si>
  <si>
    <t>RFCASH20: Offset total missing</t>
  </si>
  <si>
    <t>RFCASH20: Incorrect display of amount fields</t>
  </si>
  <si>
    <t>FBCJ: Value range for field CHECK_STATUS</t>
  </si>
  <si>
    <t>FBCJ: Currency can be changed in transaction FBCJC0</t>
  </si>
  <si>
    <t>FBCJ: Pstng date chg. -&gt; split line or one-time info is lost</t>
  </si>
  <si>
    <t>FBCJ: System issues message F5 104 incorrectly</t>
  </si>
  <si>
    <t>Payment Card Accesses no longer logged in CCSEC_LOG.</t>
  </si>
  <si>
    <t>Report RFFO*: Dump with CONVT_CODEPAGE</t>
  </si>
  <si>
    <t>OT81 - vendor does not exist because without leading zeros.</t>
  </si>
  <si>
    <t>F111: Payment run terminates with lock error MC 601</t>
  </si>
  <si>
    <t>OT81 Warning Message FIBL_RPCODE026 Error when saving rpcode</t>
  </si>
  <si>
    <t>F111: Document number is missing in table REGUP</t>
  </si>
  <si>
    <t>F111: Incorrect payee in payment data (2)</t>
  </si>
  <si>
    <t>F8BU Variant for payment run cannot be created</t>
  </si>
  <si>
    <t>F111 Payment items with the incorrect plus/minus sign</t>
  </si>
  <si>
    <t>F111 Dump MESSAGE_TYPE_UNKNOWN</t>
  </si>
  <si>
    <t>error FX020, DYNPRO_FIELD_CONVERSION, FFW1.</t>
  </si>
  <si>
    <t>Doku: Korrekturen NewGL, EC-PCA</t>
  </si>
  <si>
    <t>FAGL_CHECK_AUTHORITY_SUM_TABLE Authorization at CoCode level</t>
  </si>
  <si>
    <t>Performance of method CL_FIN_UI_DECO=&gt;GET_COMMAND_TYPE</t>
  </si>
  <si>
    <t>Technical enhancements for randomization function</t>
  </si>
  <si>
    <t>Technical optimization for randomization</t>
  </si>
  <si>
    <t>Validation of Customer Fields in MCA Journal</t>
  </si>
  <si>
    <t>SAP delivered customizing for MCA not switched</t>
  </si>
  <si>
    <t>G/L Account balances displayed for incorrect ledger</t>
  </si>
  <si>
    <t>MCA Valuation History does not meet FI documents</t>
  </si>
  <si>
    <t>MAR: "No Customizing found for MCA key ..."</t>
  </si>
  <si>
    <t>Selection of ledger groups in MCA processes</t>
  </si>
  <si>
    <t>MCA FX Position Valuation posts from gain to loss account</t>
  </si>
  <si>
    <t>Customer fields not displayed in preliminary document</t>
  </si>
  <si>
    <t>MCA: Document header text and reference number as parameter</t>
  </si>
  <si>
    <t>Improved error handling in several programs of MCA</t>
  </si>
  <si>
    <t>Cash discount account assignments for down payments</t>
  </si>
  <si>
    <t>Document splitting: Derivation in base rows</t>
  </si>
  <si>
    <t>Posting despite locked partner profit center in new GL</t>
  </si>
  <si>
    <t>Duplicate accnt assgnmnt due to doc splitting w/ batch input</t>
  </si>
  <si>
    <t>Partner assignment not check with GET_GL_FIELDS</t>
  </si>
  <si>
    <t>PSM accnt assgnmnts incorr converted during constant maint.</t>
  </si>
  <si>
    <t>Short dump MESSAGE_TYPE_X in method P_ITEMS_POST(_PREPARE)</t>
  </si>
  <si>
    <t>Short dump MESSAGE_TYPE_X in method ITEMS_POST</t>
  </si>
  <si>
    <t>Check for required fields incorrect after SAP Note 1493450</t>
  </si>
  <si>
    <t>Document splitting for Spain (Invoice Split Spain) for PSM</t>
  </si>
  <si>
    <t>Terminatn MESSAGE_TYPE_X BALANCE_CCODE on release of invoice</t>
  </si>
  <si>
    <t>New G/L with doc splitting: Cash discount on asset F5 817</t>
  </si>
  <si>
    <t>Error KI 235 after implementing SAP Note 1652947</t>
  </si>
  <si>
    <t>Problems w/ documents in special periods and new G/L acctg</t>
  </si>
  <si>
    <t>JVA - General Ledger Accounting (new) integration</t>
  </si>
  <si>
    <t>Derivation of base rows incorrect</t>
  </si>
  <si>
    <t>SAPSQL_ARRAY_INSERT_DUPREC in general ledger</t>
  </si>
  <si>
    <t>Dummy-Hinweis für dies &amp; das</t>
  </si>
  <si>
    <t>FB03/ALV list: Scroll bar in header data</t>
  </si>
  <si>
    <t>FBB1: BSEG-FDLEV filled even though DMBTR = WRBTR = 0.00</t>
  </si>
  <si>
    <t>ENJOY: ENJOY: Posting/completely despite validation error IV</t>
  </si>
  <si>
    <t>FB03/Payment usage: Transaction type is not displayed</t>
  </si>
  <si>
    <t>Exch. rate diff. instead of rounding diff. in parallel crcy</t>
  </si>
  <si>
    <t>FIN UI decoupling: Technical corrections 8</t>
  </si>
  <si>
    <t>FIN UI decoupling: Technical corrections 9</t>
  </si>
  <si>
    <t>ENJOY: Manual entry "SEGMENT" not transferred</t>
  </si>
  <si>
    <t>FIN UI decoupling: Technical corrections 10</t>
  </si>
  <si>
    <t>FIN UI decoupling: Technical corrections 11</t>
  </si>
  <si>
    <t>SET_ALL_BSEG does not read any BSEG if company code = 0000</t>
  </si>
  <si>
    <t>ENJOY: Field HKTID not transferred to G/L account lines</t>
  </si>
  <si>
    <t>FBV3/FB03: Short dump when "Balance Sheet Adjustment" called</t>
  </si>
  <si>
    <t>FIN UI decoupling: Technical correction for "Hold document"</t>
  </si>
  <si>
    <t>FIN UI decoupling: Technical corrections 12</t>
  </si>
  <si>
    <t>FB11: Transactn figures nt updated during fiscal year change</t>
  </si>
  <si>
    <t>FIN UI Decoupling: Technische Korrektur 13</t>
  </si>
  <si>
    <t>New BAdI Method for FIN UI Decoupling</t>
  </si>
  <si>
    <t>FB02: Error message F5 677 not processed</t>
  </si>
  <si>
    <t>Problems w/ reversal of documents before currency conversion</t>
  </si>
  <si>
    <t>Business area changeable in clearing items after simulation</t>
  </si>
  <si>
    <t>FIN UI decoupling: Technical corrections 14</t>
  </si>
  <si>
    <t>FIN UI decoupling: Technical corrections 15</t>
  </si>
  <si>
    <t>FIN UI decoupling: Technical corrections 16</t>
  </si>
  <si>
    <t>FB01: Entering asterisk ("*") leads to incorrect value</t>
  </si>
  <si>
    <t>FB03/ALV list: Field VORNR cannot be displayed</t>
  </si>
  <si>
    <t>ADB Move and Merge creates same postings twice</t>
  </si>
  <si>
    <t>FAGLF03: Short dump for parallel postings</t>
  </si>
  <si>
    <t>FAGLL03: Authorization for K_PCA not for company code</t>
  </si>
  <si>
    <t>FAGL_GET_ITEMS_BSEG: Internal table is not initialized</t>
  </si>
  <si>
    <t>Line item display: Changing the layout</t>
  </si>
  <si>
    <t>FAGLB03: Message FAGL_POST_SERVICE 030 is incorrect</t>
  </si>
  <si>
    <t>FAGLL03: GETWA_NOT_ASSIGNED in FAGL_GET_ARCH_ITEMS_FAGLBSAS</t>
  </si>
  <si>
    <t>FAGLL03: "Functional area" for non-leading ledger</t>
  </si>
  <si>
    <t>SAPDBSDF: Trans. figures for special yr-end closing entries</t>
  </si>
  <si>
    <t>RFSABL00: Dscrptn of "G/L Account Long Text" colmn incorrect</t>
  </si>
  <si>
    <t>FAGLB03: FBCB postings not displayed for cumulative balance</t>
  </si>
  <si>
    <t>FI_TF_CRE: Checking validity period before archiving</t>
  </si>
  <si>
    <t>Specify a tax jurisdiction key (F5 566)</t>
  </si>
  <si>
    <t>Down payment: Tax rate if BTE 2051 and VATDATE active</t>
  </si>
  <si>
    <t>BCD_ZERODIVIDE in case of cross-company code posting TAX1</t>
  </si>
  <si>
    <t>RFUMSV25: Installment payt conditions w/ multiple tax codes</t>
  </si>
  <si>
    <t>ELSTER with a country key that is not 'DE' for Germany</t>
  </si>
  <si>
    <t>VAT refund: Handling of reversed transactions</t>
  </si>
  <si>
    <t>Dump in SAPLTAX1: Division by 0 (type P)</t>
  </si>
  <si>
    <t>FB01: Cross company posting - error FF 716</t>
  </si>
  <si>
    <t>RFASLD20: New format for German CSV file, versioning</t>
  </si>
  <si>
    <t>FOTV Germany: Text of return code is initial</t>
  </si>
  <si>
    <t>RFUMSV25: Incorrect list output</t>
  </si>
  <si>
    <t>PEO: Long runtimes FMPEBADJ</t>
  </si>
  <si>
    <t>RFUMSV00: New fields STCD3 and STCD4 in output list</t>
  </si>
  <si>
    <t>F5060 issued if foreign crcy postings and tax in open item</t>
  </si>
  <si>
    <t>Correctly generating tax items in ACCIT from BSEG</t>
  </si>
  <si>
    <t>RFUMSV00: Address data w/ stock transfer between plants</t>
  </si>
  <si>
    <t>PEO: REITDS posts incorrect tax amounts</t>
  </si>
  <si>
    <t>PEO: Error message FPY1</t>
  </si>
  <si>
    <t>ELSTER: Sales non-taxable in domestic country (key fig. 45)</t>
  </si>
  <si>
    <t>FS 716 "G/L account &amp; in tax code &amp; not found"</t>
  </si>
  <si>
    <t>New Survey F01MER via RFIDITSR00</t>
  </si>
  <si>
    <t>RFUSVB10: Incorrect incoding UTF8 instead ISO-85891</t>
  </si>
  <si>
    <t>RFUSVB10 : Syslog message BZB</t>
  </si>
  <si>
    <t>RFASLD11B:Incorrect display of customer name</t>
  </si>
  <si>
    <t>RFIDESM340:New Legal Change applicable from January,2012</t>
  </si>
  <si>
    <t>SAFT-PT: Corrections RSAFT_PT_XML for 2010 (35)</t>
  </si>
  <si>
    <t>Inclusion of Services in Transferred VAT Report from 2012</t>
  </si>
  <si>
    <t>BE FOTV: Issue with control n° 7</t>
  </si>
  <si>
    <t>RFASLD11B:Incorrect values in field Amount and Customer Name</t>
  </si>
  <si>
    <t>Foreign Trade Report-RFIDITSR12-Austria-XML error.</t>
  </si>
  <si>
    <t>RFUMSV50: FRANCE discount without tax code</t>
  </si>
  <si>
    <t>Model 347:New Legal Change applicable from 2012</t>
  </si>
  <si>
    <t>SAFT-PT: Corrections RSAFT_PT_XML for 2010 (36)</t>
  </si>
  <si>
    <t>SAFT-PT: Corrections RSAFT_PT_XML for 2010 (38)</t>
  </si>
  <si>
    <t>SAFT-PT: Corrections RSAFT_PT_XML for 2010 (40)</t>
  </si>
  <si>
    <t>SAFT-PT: Corrections RSAFT_PT_XML for 2010 (39)</t>
  </si>
  <si>
    <t>BE:2012 XML-formats for EVAT</t>
  </si>
  <si>
    <t>SAFT-PT: Corrections RSAFT_PT_XML for 2010 (41)</t>
  </si>
  <si>
    <t>RFIDESM347:Issues in quarterly Amount,Telephone number</t>
  </si>
  <si>
    <t>SAFT-PT: Corrections RSAFT_PT_XML for 2010 (42)</t>
  </si>
  <si>
    <t>FAGL_FC_VAL: Error message 00011</t>
  </si>
  <si>
    <t>FAGL_FCV: Selection screen: Icons for select options</t>
  </si>
  <si>
    <t>SAPF100: Remeasurement amount not recognized (Translation)</t>
  </si>
  <si>
    <t>RFBILA00: Comparisn type - diff. between documnt and program</t>
  </si>
  <si>
    <t>FAGL_FCV: Trading partner is not displayed</t>
  </si>
  <si>
    <t>F107, method 3: Different values in local currency 1 and 2</t>
  </si>
  <si>
    <t>SAPF100: Posting with profit center for tax accounts</t>
  </si>
  <si>
    <t>GL Accounting (new): F4 help: Actual versions not displayed</t>
  </si>
  <si>
    <t>FAGL_FCV - Recovery indicator is derived incorrectly</t>
  </si>
  <si>
    <t>FAGL_YEC_POSTINGS: No line items in new general ledger</t>
  </si>
  <si>
    <t>Missing authorization check in FI-SL, FI-GL</t>
  </si>
  <si>
    <t>SAPF100:Termination w/ MESSAGE_TYPE_X during run in workflow</t>
  </si>
  <si>
    <t>New GL allocation: Error GA776 due to randomizer</t>
  </si>
  <si>
    <t>No clearing during reversal of ledger-specific document</t>
  </si>
  <si>
    <t>ZUONR not filled with consecutive value-added tax numbering</t>
  </si>
  <si>
    <t>FS15: Error message SG 806</t>
  </si>
  <si>
    <t>KALC - performance</t>
  </si>
  <si>
    <t>KALC: cost element is not updated in New G/L</t>
  </si>
  <si>
    <t>RTI: wrong amounts in FI when transfer prices is active</t>
  </si>
  <si>
    <t>RTI: CO document partly transferred to FI despite an error</t>
  </si>
  <si>
    <t>RTI: wrong recovery indicator posted in FI</t>
  </si>
  <si>
    <t>ENJOY: Screen variants with customer fields in V_FAGL_TCMAP</t>
  </si>
  <si>
    <t>RFBILA00 - Output using ALV: Zero balance</t>
  </si>
  <si>
    <t>Financial Statements: ALV Tree: Expand all FS items</t>
  </si>
  <si>
    <t>RFBILA10: Unassigned accounts, balance sheet type 3</t>
  </si>
  <si>
    <t>RFBILA00: Error message FE067</t>
  </si>
  <si>
    <t>Copying balance sheet structure: Internal error 34</t>
  </si>
  <si>
    <t>RFBILA00N: Posting period</t>
  </si>
  <si>
    <t>Electronic financial statement: Account mapping in ERP</t>
  </si>
  <si>
    <t>Euro/Migration in New G/L: Quantity from SD not updated</t>
  </si>
  <si>
    <t>New GL drilldown rptg: Poor performance due to GLU1_TO_GLU3</t>
  </si>
  <si>
    <t>FGI0 - Period texts do not match company code</t>
  </si>
  <si>
    <t>GLM_DS: SAPSQL_ARRAY_INSERT_DUPREC due to wrong docln</t>
  </si>
  <si>
    <t>newGL mig: performance problems by building worklist of docs</t>
  </si>
  <si>
    <t>Simulation in dialog box for validation of migration</t>
  </si>
  <si>
    <t>newGL migration: Reset All deletes Treasury entries</t>
  </si>
  <si>
    <t>PRCTR: Short dump DBIF_RSQL_INVALID_RSQL in RKERV002</t>
  </si>
  <si>
    <t>FAGL-REORG: Couldn't display hierarchy correctly</t>
  </si>
  <si>
    <t>PRCTR reorganization: Internal clearing for sales orders</t>
  </si>
  <si>
    <t>Objects not reassigned or transferred</t>
  </si>
  <si>
    <t>Reorg: Profit center in cost center cannot be changed</t>
  </si>
  <si>
    <t>Transfer posting object list not flagged as processed</t>
  </si>
  <si>
    <t>Wrong plan status when using service to create plan</t>
  </si>
  <si>
    <t>SEG: FIN_GL_REORG_SEG should check whether New G/L is active</t>
  </si>
  <si>
    <t>Asset master data with profit center / filling segment</t>
  </si>
  <si>
    <t>Transfer posting: System error in FI interface (F5 691)</t>
  </si>
  <si>
    <t>Minor adjustments in area of reorganization framework</t>
  </si>
  <si>
    <t>Incomplete deletion of a reorganization plan</t>
  </si>
  <si>
    <t>PRCTR: Incomplete standard derivation hierarchy</t>
  </si>
  <si>
    <t>PRCTR: Runtime error NO_OBJ_TYPE in case of price difference</t>
  </si>
  <si>
    <t>PRCTR/SEG: Inconsistencies in reorganization of receivables</t>
  </si>
  <si>
    <t>PRCTR/SEG: Preventing inconsistencies for invoice reference</t>
  </si>
  <si>
    <t>PRCTR/SEG: Error messages use term "Profit Center"</t>
  </si>
  <si>
    <t>PRCTR: Subsequent processes partly post to old accnt assgmt</t>
  </si>
  <si>
    <t>Correction of note 1673589</t>
  </si>
  <si>
    <t>FAGLGP52N: unjustified error message for selection.</t>
  </si>
  <si>
    <t>FAGLGP52N, GP52N: mapping fields, F4 help.</t>
  </si>
  <si>
    <t>Plandatenintegration: Fehler KM813 trotz gültigem Objekt</t>
  </si>
  <si>
    <t>Error when importing account group after SAP Note 1660507</t>
  </si>
  <si>
    <t>Business Trip Mgmt.</t>
  </si>
  <si>
    <t>RPR_AIRP_LRS_TO_FI: Wrong amount calculation w/ Diff. Curr.</t>
  </si>
  <si>
    <t>LARS File correction for currencies different than Euro</t>
  </si>
  <si>
    <t>RPR_AIRP_LRS_TO_FI Shortdump CONVERSION_EXIT_ALPHA_INPUT</t>
  </si>
  <si>
    <t>Japan: Payee not transferred to blfbk-koinh</t>
  </si>
  <si>
    <t>LARS: Wrong liability posting (net w/o VAT) to supplier</t>
  </si>
  <si>
    <t>EDX: Missing Authorization check in EDX_LIST report</t>
  </si>
  <si>
    <t>EDX: Wrong status sequence in inbound processing</t>
  </si>
  <si>
    <t>EDX: Documents are not linked to FI parked invoice</t>
  </si>
  <si>
    <t>EDX: New Program for setting input status</t>
  </si>
  <si>
    <t>Dump BCD_ZERODIVIDE in ALLOCATE_PAID_INVOICES</t>
  </si>
  <si>
    <t>FSCM-BD: Real reversal even though invoice assgd for payt II</t>
  </si>
  <si>
    <t>FBPM1: Message BNK_GENERAL 033 is not customizable</t>
  </si>
  <si>
    <t>Size category: BNK_BATCH_HEADER, BNK_BATCH_ITEM</t>
  </si>
  <si>
    <t>BNK_MONI: Incorrect incoming status messages are displayed</t>
  </si>
  <si>
    <t>BNK_MONI: Two batches for the same payment runs</t>
  </si>
  <si>
    <t>CPON: Storing err in case of same doc. number in bckgnd job</t>
  </si>
  <si>
    <t>FBPM1:Success message BNK_GENERAL 120 w/out batch generation</t>
  </si>
  <si>
    <t>FF7B: Drilldown in line items selects too many items</t>
  </si>
  <si>
    <t>FFA1: ALV Grid - consistency error</t>
  </si>
  <si>
    <t>Long runtime during extraction 0CLM_INVOICE</t>
  </si>
  <si>
    <t>FBL1N/FBL5N: Short dump TSV_TNEW_PAGE_ALLOC_FAILED</t>
  </si>
  <si>
    <t>Program termination for deliveries using VL01N</t>
  </si>
  <si>
    <t>FIN-FSCM-LP</t>
  </si>
  <si>
    <t>Liquidity Planer</t>
  </si>
  <si>
    <t>Error Code 4 in analysis program RFLQ_REXCHAIN2</t>
  </si>
  <si>
    <t>Forecast report doesnot display all delivery schd. of PO itm</t>
  </si>
  <si>
    <t>Local Currency Amount not filled in the split information</t>
  </si>
  <si>
    <t>Customizing object set in the IMG node is wrong</t>
  </si>
  <si>
    <t>RFLQ_REXCHAIN doesnot show info items from second step</t>
  </si>
  <si>
    <t>The field substituting Business Area cannot be displayed</t>
  </si>
  <si>
    <t>FLQT2: Line items are shown incorrectly while scrolling</t>
  </si>
  <si>
    <t>Selection for query seq. missing in RFLQ_CASH_FORECAST_TRD1</t>
  </si>
  <si>
    <t>Exit to change forecast information from Treasury</t>
  </si>
  <si>
    <t>FLQREP &amp; FLQLI does not show transfer postings b/w Liq.items</t>
  </si>
  <si>
    <t>Exit FLQ_SAMPL_REDUCE_DOC is not called in forecast from FI</t>
  </si>
  <si>
    <t>Inact. flag is lost during upload of query seq. w/ FLQUPGRP</t>
  </si>
  <si>
    <t>Incorrect results in drilldown of FLQAC/FLQAD for N:M case</t>
  </si>
  <si>
    <t>F4 help for business area working incorrectly for FLQT1</t>
  </si>
  <si>
    <t>Forecast program selects vendor lines excluded in selection</t>
  </si>
  <si>
    <t>FLQAL:Amount on Dummy transfer items doesnot balance to zero</t>
  </si>
  <si>
    <t>Calculation of moneyness</t>
  </si>
  <si>
    <t>TB_DATAFEED_INTERNET_ACCESS cust.-defined market data conn.</t>
  </si>
  <si>
    <t>BP_CVI: Fields KNA1-LIFNR and LFA1-KUNNR not filled automat.</t>
  </si>
  <si>
    <t>BP_CVI: FI customer: Texts for text schema and account group</t>
  </si>
  <si>
    <t>BP_POT: Default values no longer used after termination</t>
  </si>
  <si>
    <t>BP_CVI: Customer "Consumer" indicator not checked</t>
  </si>
  <si>
    <t>BP_CVI: Required fld check for purchasing organizatn vendors</t>
  </si>
  <si>
    <t>BP_FSE: Column name missing for withholding tax of vendor</t>
  </si>
  <si>
    <t>BP_CVI: Central texts not displayed for customer</t>
  </si>
  <si>
    <t>BP_CVI: Addl purchasing organization and display of data</t>
  </si>
  <si>
    <t>BP_BCL: ASSERTION_FAILED w/ claim entry using mini BP</t>
  </si>
  <si>
    <t>Loans</t>
  </si>
  <si>
    <t>Capitalized amounts not relevant for effective interest</t>
  </si>
  <si>
    <t>Appropriation requests: Change docs displayed incorrectly</t>
  </si>
  <si>
    <t>BADI APPREQUEST_UPDATE: Tabelle INVESTMENT_PROGRAM falsch</t>
  </si>
  <si>
    <t>Planning/budgeting: Unclear values after totaling up</t>
  </si>
  <si>
    <t>IM27/IM27_REPEAT: Assignment transferred not deleted</t>
  </si>
  <si>
    <t>IM_AVCHANA: Confusing field labels or F1 input helps</t>
  </si>
  <si>
    <t>VL60: GR cumulative quantity in SNC is incorrect after GR</t>
  </si>
  <si>
    <t>Technical prerequisites for SAP Note 1678300</t>
  </si>
  <si>
    <t>IS-A-HUM</t>
  </si>
  <si>
    <t>Handling Unit Manag.</t>
  </si>
  <si>
    <t>Überarbeiten des Hinweises 1405129 und 1457513</t>
  </si>
  <si>
    <t>Technical prerequisite for Note 1677930</t>
  </si>
  <si>
    <t>IS-A-SWP</t>
  </si>
  <si>
    <t>Supplier Workplace</t>
  </si>
  <si>
    <t>Unauthorized modification in ITS-Services in SWP.</t>
  </si>
  <si>
    <t>IS-ADEC-MPN-MRP</t>
  </si>
  <si>
    <t>Material Req. Plan.</t>
  </si>
  <si>
    <t>Core enhancement points for note 1698225</t>
  </si>
  <si>
    <t>BAPI_ALM_ORDER_MAINTAIN: AFPOD is not updated</t>
  </si>
  <si>
    <t>Technical prerequisite for Note</t>
  </si>
  <si>
    <t>IS-M</t>
  </si>
  <si>
    <t>Industry-Specific Component Media</t>
  </si>
  <si>
    <t>IS-M-MD</t>
  </si>
  <si>
    <t>IS-M-MD-PR</t>
  </si>
  <si>
    <t>Product Master Data</t>
  </si>
  <si>
    <t>IS-M: Displaying JPTMARA change documents in media product</t>
  </si>
  <si>
    <t>Definition of an ENHANCEMENT-SECTION</t>
  </si>
  <si>
    <t>IS-MP-PP</t>
  </si>
  <si>
    <t>Technische Voraussetzung für Hinweis 1695820</t>
  </si>
  <si>
    <t>Technische Voraussetzung für Hinweis 1694785</t>
  </si>
  <si>
    <t>Technical prerequisite for SAP Note 1694793</t>
  </si>
  <si>
    <t>SAP_APPL : Technical prerequisite for Note 1675128</t>
  </si>
  <si>
    <t>Technical prerequisite for SAP Note 1685920</t>
  </si>
  <si>
    <t>IS-OIL-OL</t>
  </si>
  <si>
    <t>Offshore Logistic</t>
  </si>
  <si>
    <t>IW32:PM Order Components:unnecessary locks on deliveries</t>
  </si>
  <si>
    <t>Incorrect conversion of 6-digit EANs as UPC-E</t>
  </si>
  <si>
    <t>Informative characteristics not filtered during CRM download</t>
  </si>
  <si>
    <t>Activation of gen article replication on SAP Retail-SAP CRM</t>
  </si>
  <si>
    <t>ARTMAS: Deleting STAWN is not passed on</t>
  </si>
  <si>
    <t>MM42: Error when inserting in table WRPL</t>
  </si>
  <si>
    <t>Incorrect reading of stocks (MARD) for value-only article</t>
  </si>
  <si>
    <t>IS-R-BD-MMM</t>
  </si>
  <si>
    <t>Mass Maintenance MD</t>
  </si>
  <si>
    <t>LOCATION_HELP_RECEIVE unloading points are not displayed</t>
  </si>
  <si>
    <t>[GDS Rule Engine: Error handling for Method calls</t>
  </si>
  <si>
    <t>GDS: Long runtime for Validation and Enrichment Processor</t>
  </si>
  <si>
    <t>IS-R-BD-PR</t>
  </si>
  <si>
    <t>Seasonal / Promotion</t>
  </si>
  <si>
    <t>Incorrect result for same units of measure PUQ = CUQ</t>
  </si>
  <si>
    <t>EDPP1 records not deleted during archivingg</t>
  </si>
  <si>
    <t>Sites:Change to material group description w/ only 40 places</t>
  </si>
  <si>
    <t>WB01 does not copy supplying sites to material group level</t>
  </si>
  <si>
    <t>WRF1: Change documents are not generated</t>
  </si>
  <si>
    <t>Structure E1WPC02 enhancement category "Cannot Be Enhanced"</t>
  </si>
  <si>
    <t>WPMA/WPMI initial article value error listing check</t>
  </si>
  <si>
    <t>IS-R-IFC-SGR</t>
  </si>
  <si>
    <t>Store Goods Receipt</t>
  </si>
  <si>
    <t>Customer-specific movement types in the store goods receipt</t>
  </si>
  <si>
    <t>IS-R-PUR-LB</t>
  </si>
  <si>
    <t>Load Building</t>
  </si>
  <si>
    <t>WWP4: No error message when purchase order not created</t>
  </si>
  <si>
    <t>IS-R-PUR-RP</t>
  </si>
  <si>
    <t>WSM3: M3 695: Error inserting in table WRPL</t>
  </si>
  <si>
    <t>German translation for mesage WG 474</t>
  </si>
  <si>
    <t>Dely item is distribution-relevant/non-distribution (3)</t>
  </si>
  <si>
    <t>LE-IEW-INB</t>
  </si>
  <si>
    <t>Receiving point not taken over from central ERP system</t>
  </si>
  <si>
    <t>LE-IEW-STO</t>
  </si>
  <si>
    <t>Multiple units of measure in STO - POD process</t>
  </si>
  <si>
    <t>wrong destination bin when destination bin is changed</t>
  </si>
  <si>
    <t>LM47: short dump - LIST_TOO_MANY_LPROS</t>
  </si>
  <si>
    <t>LM05: pick and pack doesn't work</t>
  </si>
  <si>
    <t>pick HU is empty in SUM. Extension of note 1683117 to 46C.</t>
  </si>
  <si>
    <t>Unauthorized use of application functions in LE-SHP</t>
  </si>
  <si>
    <t>PGI: duplicate selection of order data slows down postings</t>
  </si>
  <si>
    <t>POD-relevance of SiT-relevant items not checked</t>
  </si>
  <si>
    <t>VL03N: Delievery locked with VL046 in Display-Change switch</t>
  </si>
  <si>
    <t>Partial goods issue return using BOM does not work</t>
  </si>
  <si>
    <t>Preceding document category in doc. flow table not filled</t>
  </si>
  <si>
    <t>VL03N: Message VL095 only as info after Display &lt;-&gt; Change</t>
  </si>
  <si>
    <t>LIKP-TZONRC not filled correctly for manual addresses</t>
  </si>
  <si>
    <t>Deletion of delivery item w/ many successor items takes long</t>
  </si>
  <si>
    <t>BAPI_OUTB_DELIVERY_CREATE_SLS: no info on overdelivered item</t>
  </si>
  <si>
    <t>BAPI_OUTB_DELIVERY_CREATE_SLS: Wrong delivery quantity</t>
  </si>
  <si>
    <t>BAPI_OUTB_DELIVERY_CREATENOREF sequence of items</t>
  </si>
  <si>
    <t>Missing header fields during delivery creation from MIGO/MB*</t>
  </si>
  <si>
    <t>No check against factory calendar when changing del. date</t>
  </si>
  <si>
    <t>LIKP-WADAT_IST remains empty for goods receipt using MIGO</t>
  </si>
  <si>
    <t>Error message ME160 for quantity change in batch split</t>
  </si>
  <si>
    <t>VL31N: Runtime error GETWA_NOT_ASSIGNED when creating batch</t>
  </si>
  <si>
    <t>Batch error VLSC017 for components not subject to batch mgmt</t>
  </si>
  <si>
    <t>Qty calculation for subcontracting component if dely qty 0</t>
  </si>
  <si>
    <t>ME2ON: Delivery item weight not from material master</t>
  </si>
  <si>
    <t>Transfer of incorrect BUoM to delivery when using ME2ON</t>
  </si>
  <si>
    <t>VLMOVE: Reason Code not checked</t>
  </si>
  <si>
    <t>Unauthorized use of application functions in LE-SHP-GF</t>
  </si>
  <si>
    <t>MD04 - open requirements after deletion of HUs</t>
  </si>
  <si>
    <t>Delivery time before goods issue time</t>
  </si>
  <si>
    <t>Goods receiving hours not considered during forward sched.</t>
  </si>
  <si>
    <t>Batch split: Leading unit of measure is not copied from main</t>
  </si>
  <si>
    <t>LD00 output type: wrong language used when printing a PDF</t>
  </si>
  <si>
    <t>EK00 output type: wrong language used when printing a PDF</t>
  </si>
  <si>
    <t>Partial goods receipt with serialized handling units</t>
  </si>
  <si>
    <t>PGR with VL06IG: Serial numbers not copied into material doc</t>
  </si>
  <si>
    <t>VL09: warning message for each serial number</t>
  </si>
  <si>
    <t>Missing enhancement option in include SAPMV50A</t>
  </si>
  <si>
    <t>VL09: Cancellation of service not possible in SiT process</t>
  </si>
  <si>
    <t>SiT postings using VLPOD for batch main items</t>
  </si>
  <si>
    <t>Missing refresh for subcontract order and GR in VL06I</t>
  </si>
  <si>
    <t>SIT goods movement using POD IDoc (message STPPOD)</t>
  </si>
  <si>
    <t>LIKP-WADAT_IST overwritten in VLPODQ during SiT posting</t>
  </si>
  <si>
    <t>Forwarding Agent Tracking ID not filled in segment E1EDT57</t>
  </si>
  <si>
    <t>Some Outputs not getting determined from VT33</t>
  </si>
  <si>
    <t>Update was terminated while saving the shipments in VT33</t>
  </si>
  <si>
    <t>LE-WM and EWM: Prerequisite for using RDS service</t>
  </si>
  <si>
    <t>L3 580 issued after TO cancellation with Lean WM and DDU</t>
  </si>
  <si>
    <t>Transfer order is created with additional lines</t>
  </si>
  <si>
    <t>AB: Archiving messages for vendor invoices</t>
  </si>
  <si>
    <t>Wrong tax base transferred from agency business to FI</t>
  </si>
  <si>
    <t>AB: Field status group from billing type is ignored</t>
  </si>
  <si>
    <t>AB: Missing error message when copying conditions</t>
  </si>
  <si>
    <t>AB: Additional country information</t>
  </si>
  <si>
    <t>AB: Error in outbound framework</t>
  </si>
  <si>
    <t>AB: Error message error WS 161</t>
  </si>
  <si>
    <t>SAP TM integration</t>
  </si>
  <si>
    <t>Sales price calculation: Missing BAdI</t>
  </si>
  <si>
    <t>AB: FI-CA: Cross-document document numbering</t>
  </si>
  <si>
    <t>completion of note 1669146 : payment type not required</t>
  </si>
  <si>
    <t>AB: Reversal not possible due to Cash Management error</t>
  </si>
  <si>
    <t>AB: Missing BAdI: Default single document billing type</t>
  </si>
  <si>
    <t>Table KONDIND cannot be enhanced</t>
  </si>
  <si>
    <t>AB: Transaction WLF1KO is not displayed in the menu</t>
  </si>
  <si>
    <t>Int BAdIs for TM integration of Log. Invoice Verification</t>
  </si>
  <si>
    <t>AB: Wrong arguments for BAdI determine_cash_discount</t>
  </si>
  <si>
    <t>AB-Performance: Creation of accounting document</t>
  </si>
  <si>
    <t>AB: Dump on Remuneration list creation from FI documents</t>
  </si>
  <si>
    <t>AB: "Canceled Partner" is set incorrectly during SR copy</t>
  </si>
  <si>
    <t>AB: Imcomplete settlement document after creation via BAPI</t>
  </si>
  <si>
    <t>AB: I_KOMLFL in CHANGE_ITEM_LINE_REMU_LIST not filled</t>
  </si>
  <si>
    <t>ORDRSP: Reference doc. number is overwritten when copying</t>
  </si>
  <si>
    <t>AB: Incorrect payment recepient for SRL with WRL1</t>
  </si>
  <si>
    <t>AB: Tax wrong code when cancelling Customer Settlement</t>
  </si>
  <si>
    <t>AB: Incorrect document from the settlement request list</t>
  </si>
  <si>
    <t>AB: Purchasing info record is also read without vendor</t>
  </si>
  <si>
    <t>AB: Standard text can be changed</t>
  </si>
  <si>
    <t>AB: Documentation insufficient</t>
  </si>
  <si>
    <t>AB: Tax code wrong when cancelling Customer Settlement</t>
  </si>
  <si>
    <t>AB: Additional corrections related to Note 1684813</t>
  </si>
  <si>
    <t>AB: Posting logic for the trans. cost distr.insufficent</t>
  </si>
  <si>
    <t>AB: Dynamic field check insufficient in case of change</t>
  </si>
  <si>
    <t>AB: Non-deductible input VAT in payment document</t>
  </si>
  <si>
    <t>AB: Updating the material ledger</t>
  </si>
  <si>
    <t>AB: Copy process using API methods terminates</t>
  </si>
  <si>
    <t>Proforma Invoice for rSTO</t>
  </si>
  <si>
    <t>Repair process possible for valuated returns</t>
  </si>
  <si>
    <t>VL09: Reversal not possible due to MSR_INSP_MESSAGES 302</t>
  </si>
  <si>
    <t>ARM: Problems when creating the invoice verification</t>
  </si>
  <si>
    <t>VL09: Reversal not possible due to MSR_INSP_MESSAGES 302 (2)</t>
  </si>
  <si>
    <t>LO-ARM-INS</t>
  </si>
  <si>
    <t>Inspection</t>
  </si>
  <si>
    <t>ARM Inspection is not finished for "No Further Activities"</t>
  </si>
  <si>
    <t>Poor performance during delivery selection in MSR_INSPWH</t>
  </si>
  <si>
    <t>Fast change credit memo request:Too many fields changeable</t>
  </si>
  <si>
    <t>Batch determination: Available batches are not selected</t>
  </si>
  <si>
    <t>Wrong values by batch determination in CO27</t>
  </si>
  <si>
    <t>Execute check: Dump in MIGO with batch</t>
  </si>
  <si>
    <t>LO-BM-BH</t>
  </si>
  <si>
    <t>Batch History</t>
  </si>
  <si>
    <t>Jump in object not possible</t>
  </si>
  <si>
    <t>Batch status and batch stock are inconsistent</t>
  </si>
  <si>
    <t>Batch derivation for purchase order using IDoc</t>
  </si>
  <si>
    <t>Derivation with subcontract order does not work</t>
  </si>
  <si>
    <t>No display of deliveries with alphanumeric characters</t>
  </si>
  <si>
    <t>No revision level change for automatic assignment</t>
  </si>
  <si>
    <t>CPCC_S_TASK_LIST_MAINTAIN: Structures cannot be enhanced</t>
  </si>
  <si>
    <t>EWB: Incorrect warning for inspection plan check</t>
  </si>
  <si>
    <t>EWB: Missing error message for the task list check</t>
  </si>
  <si>
    <t>EWB: Returning to selection screen is not possible</t>
  </si>
  <si>
    <t>LO-GT</t>
  </si>
  <si>
    <t>Global Trade</t>
  </si>
  <si>
    <t>LO-GT-TC</t>
  </si>
  <si>
    <t>Trading Contract</t>
  </si>
  <si>
    <t>GT: Missing interface</t>
  </si>
  <si>
    <t>GT: Inadequate documentation</t>
  </si>
  <si>
    <t>HUMO : default plant and storage location not used</t>
  </si>
  <si>
    <t>Movement type reason defined as required</t>
  </si>
  <si>
    <t>VT02N/VT03N : Cross HU not displayed</t>
  </si>
  <si>
    <t>Standard GS1 Barcodes - day '00' cannot be scanned</t>
  </si>
  <si>
    <t>Problems during GR replication from EWM</t>
  </si>
  <si>
    <t>Delivery items in HU are not distinguished after posting</t>
  </si>
  <si>
    <t>HUGENERAL060 in transport transaction</t>
  </si>
  <si>
    <t>Unit of Measure extractor enhancements</t>
  </si>
  <si>
    <t>Delivery w/o ref. - Incorrect control key for TM integration</t>
  </si>
  <si>
    <t>EDI: Error M8_2 111 when entering an invoice</t>
  </si>
  <si>
    <t>address transferred to TM in spite of no change of it</t>
  </si>
  <si>
    <t>Syntax error in FMC*FUSR, termination of update</t>
  </si>
  <si>
    <t>BAPI_MATERIAL_SAVEDATA: Incorrect recursion error (M3 609)</t>
  </si>
  <si>
    <t>CS61 and CS71: In copy reference pricing data is not copied</t>
  </si>
  <si>
    <t>CO01:Insert Reference Operation Set: Choose(F2)does not work</t>
  </si>
  <si>
    <t>ALE: 'Country not defined in system message' raised (2)</t>
  </si>
  <si>
    <t>Flash API fails to search contact persons by email</t>
  </si>
  <si>
    <t>Flash API - Partner function error during create customer</t>
  </si>
  <si>
    <t>Incorrect error CVI_API 003 with field LFB1-UZAWE</t>
  </si>
  <si>
    <t>Incorrect foreign key check for ZOLLA and EXPVZ</t>
  </si>
  <si>
    <t>Sub-range or plant level partner function not saved</t>
  </si>
  <si>
    <t>ESH_EX_FU_DEMON takes a very long time or never ends</t>
  </si>
  <si>
    <t>CL_ERP_VENDOR_API: no subrange-/ plant-specif. status WYT3</t>
  </si>
  <si>
    <t>WPDTC: Long runtimes</t>
  </si>
  <si>
    <t>LO-MD-MG</t>
  </si>
  <si>
    <t>Material Groups</t>
  </si>
  <si>
    <t>Error BL 207 when creating IDocs for W_WGRP</t>
  </si>
  <si>
    <t>BAPI/ALE: No change of material memos</t>
  </si>
  <si>
    <t>Enterprise Search: Material can no longer be found</t>
  </si>
  <si>
    <t>MI10: History tables not updated correctly</t>
  </si>
  <si>
    <t>Error message: You have not fully maintained the description</t>
  </si>
  <si>
    <t>MDM_CLNT_EXTR: Issue in Material Extraction</t>
  </si>
  <si>
    <t>MATERIAL_READ: Incorr. data is read after refreshing buffer</t>
  </si>
  <si>
    <t>MATMAS: MG 144 not issued for missing required fields</t>
  </si>
  <si>
    <t>SP and DC Condition creation flags set incorrectly</t>
  </si>
  <si>
    <t>Error updating Promotion with variants on offer type change</t>
  </si>
  <si>
    <t>Discounts are missing when offer is changed from bonus buy</t>
  </si>
  <si>
    <t>Prices changes for multiple UoMs not transferred to DMF</t>
  </si>
  <si>
    <t>ERP Promotions: Column 'Blocking Reason' visible</t>
  </si>
  <si>
    <t>Prevent non-retail materials from being added to promotion.</t>
  </si>
  <si>
    <t>EIO205 for batch status change with MMSL = 01</t>
  </si>
  <si>
    <t>Scrolling problems during/after item switch: Screen 0300</t>
  </si>
  <si>
    <t>WF10:Delivery cycle not used for delivery date determination</t>
  </si>
  <si>
    <t>No Ultimate Consignee Determination in Inbound Deliveries</t>
  </si>
  <si>
    <t>Incorrect result of stock comparison between ERP and EWM</t>
  </si>
  <si>
    <t>GR fails with error: Enter the shelf life expiration date</t>
  </si>
  <si>
    <t>0 quantities are not sent to SNC from inbound deliveries</t>
  </si>
  <si>
    <t>Response message sent from EWM fails with error HUDIALOG400</t>
  </si>
  <si>
    <t>Inbound delivery blocked in EWM</t>
  </si>
  <si>
    <t>Error message BORGR580 when replacing an inbound delivery</t>
  </si>
  <si>
    <t>VL_COMPLETE: "Delivery Completed" indicator not set</t>
  </si>
  <si>
    <t>Door and number of packages get lost in delivery III</t>
  </si>
  <si>
    <t>Handling unit in inbound del. not updated correctly in EWM</t>
  </si>
  <si>
    <t>Error message /SPE/INBVAL 010 for qty difference posting</t>
  </si>
  <si>
    <t>Multiple partial goods receipts failed in VL60 with VL609</t>
  </si>
  <si>
    <t>Run time error while executing VL65</t>
  </si>
  <si>
    <t>Error message M7036 when creating an inbound dely w/ aut. GR</t>
  </si>
  <si>
    <t>Batch selection criteria not available in decentral system 2</t>
  </si>
  <si>
    <t>Outbound delivery not distributed due to missing MARD</t>
  </si>
  <si>
    <t>Missing hierarchy for dly created from an order w/o charge</t>
  </si>
  <si>
    <t>Missing or incorrect batch during posting to scrap</t>
  </si>
  <si>
    <t>VL 186 prevents delivery item completion</t>
  </si>
  <si>
    <t>Multiple issues during update of STO document in ERP</t>
  </si>
  <si>
    <t>Reversal of goods movement for cross company STO</t>
  </si>
  <si>
    <t>Failure of inbound delivery creation via CDOD output type</t>
  </si>
  <si>
    <t>Short dump after error during loading</t>
  </si>
  <si>
    <t>Delete observer: Instance has expired</t>
  </si>
  <si>
    <t>Comparison of numeric values</t>
  </si>
  <si>
    <t>Char.val.assgmt:Display object dependencies for char.value</t>
  </si>
  <si>
    <t>Inconistent valuation of restrictable characteristics</t>
  </si>
  <si>
    <t>Long runtime in VC_I_GET_CONFIGURATION_IBASE II</t>
  </si>
  <si>
    <t>IDoc/BAPI with characteristic value SPACE</t>
  </si>
  <si>
    <t>Text items with selection criterion in fixed BOM</t>
  </si>
  <si>
    <t>IBINOBS entries for planned orders are not deleted</t>
  </si>
  <si>
    <t>Manually inserted items in the scenario SET</t>
  </si>
  <si>
    <t>Deletion of manually inserted items</t>
  </si>
  <si>
    <t>Multiple BOMs in set processing</t>
  </si>
  <si>
    <t>SAP Sourcing: Performance problem when creating contracts</t>
  </si>
  <si>
    <t>GUID in PO item long text when created out of RFx document</t>
  </si>
  <si>
    <t>MDM_CLNT_EXTR: Extraction of Vendor Partner Functions</t>
  </si>
  <si>
    <t>MDM_CLNT_EXTR: Performance of address change pointers</t>
  </si>
  <si>
    <t>MEIS - program termination due to BCD_ZERODIVIDE</t>
  </si>
  <si>
    <t>INTRASTAT DE from 2012:DE as country of origin for re-import</t>
  </si>
  <si>
    <t>Supplement to SAP Note 1668550</t>
  </si>
  <si>
    <t>Mesage M7314: Missing context</t>
  </si>
  <si>
    <t>MM-IM-GF-BAPI</t>
  </si>
  <si>
    <t>BAPIs for Goods Move</t>
  </si>
  <si>
    <t>BAPI: Error IO 304 for stock transfer with serial numbers</t>
  </si>
  <si>
    <t>BAPI_GOODSMVT_CANCEL: Reason for goods movement</t>
  </si>
  <si>
    <t>Incorrect vendor in batch for goods receipt of consignment</t>
  </si>
  <si>
    <t>Goods movements w/ ref to reservations for prof.segmt</t>
  </si>
  <si>
    <t>MIGO/MB01/MBST: Subcontracting and collective requirement</t>
  </si>
  <si>
    <t>MBVALUE: SIT SMUs w/ special stock indicator = 'T' incorrect</t>
  </si>
  <si>
    <t>Preprocessor removed frm database consistency tools in MM-IM</t>
  </si>
  <si>
    <t>MM-IM-GF-MISC</t>
  </si>
  <si>
    <t>MB02: Changes in field XBLNR not updated in MSEG</t>
  </si>
  <si>
    <t>VL01N/VL31N: Field XBLNR_MKPF not filled in MM document item</t>
  </si>
  <si>
    <t>MAA2: MRRL reference document not found</t>
  </si>
  <si>
    <t>MAA2: Error AAPO 153 or M7 437 when you set the DCI</t>
  </si>
  <si>
    <t>MAA: Error message M7437 in transaction MBSF</t>
  </si>
  <si>
    <t>MB54: Material document list is incomplete</t>
  </si>
  <si>
    <t>IO220 &amp;IO213 during TF of material w/ serial no. requirement</t>
  </si>
  <si>
    <t>MM-IM-GR-PO</t>
  </si>
  <si>
    <t>MIGO: Incorrect stock type (QM) for GR with PO creation</t>
  </si>
  <si>
    <t>New stock fields introduced in EHP4 and EHP5 not updated</t>
  </si>
  <si>
    <t>MM-IM-PI-CC</t>
  </si>
  <si>
    <t>Cycle Counting</t>
  </si>
  <si>
    <t>MIBC: material master change documents not generated</t>
  </si>
  <si>
    <t>MIBC: No option for processing with update and list</t>
  </si>
  <si>
    <t>MM-IM-PI-PI</t>
  </si>
  <si>
    <t>MI20 and MI24: "Refresh" function has no effect</t>
  </si>
  <si>
    <t>MM-IM-RS-RS</t>
  </si>
  <si>
    <t>MB21: Return to variant transaction</t>
  </si>
  <si>
    <t>MB25: Performance problems after you implement Note 972236</t>
  </si>
  <si>
    <t>Stock transfer/post.</t>
  </si>
  <si>
    <t>Missing German translation for message MEPO 148</t>
  </si>
  <si>
    <t>Goods movements in SIT, performance, M7021, document flow</t>
  </si>
  <si>
    <t>SiT: Error M7 361 for goods receipt in Val. GR Bl. Stock</t>
  </si>
  <si>
    <t>Determination of lowest value: Revaluation reason incorrect</t>
  </si>
  <si>
    <t>MRN9: Revaluation reason not in price change document</t>
  </si>
  <si>
    <t>LIFO / FIFO: Runtime error DBIF_RSQL_INVALID_RSQL</t>
  </si>
  <si>
    <t>MRF1: No value for clearing value</t>
  </si>
  <si>
    <t>MRN0: Price is not updated</t>
  </si>
  <si>
    <t>MRN0: Rounding error during determination of new price</t>
  </si>
  <si>
    <t>Adobe Document Servi</t>
  </si>
  <si>
    <t>MR_PRINT_INSERS: Logical order is incorrect for text.</t>
  </si>
  <si>
    <t>EDI: Multiple reference to same purchase order item</t>
  </si>
  <si>
    <t>EDI: Transfer value date from IDoc</t>
  </si>
  <si>
    <t>EDI: Balance error messages for multiple account assignment</t>
  </si>
  <si>
    <t>ESR data not completely checked</t>
  </si>
  <si>
    <t>MR90: ERS/ERS6 tax code for multiple account assignment</t>
  </si>
  <si>
    <t>Error message FF 763 during material revaluation</t>
  </si>
  <si>
    <t>BUS2081: Document header text is not displayed</t>
  </si>
  <si>
    <t>MM-IV-INT-WT</t>
  </si>
  <si>
    <t>Withholding Tax</t>
  </si>
  <si>
    <t>BAPI: Withholding tax base amount of zero cannot be posted</t>
  </si>
  <si>
    <t>MIRO: Balance message F5 842</t>
  </si>
  <si>
    <t>BAdI: MRMBADI_DISTRIBUTION_MAAS</t>
  </si>
  <si>
    <t>BAPI: BAPI_INCOMINGINVOICE_CREATE1 - Park as complete</t>
  </si>
  <si>
    <t>BAPI_INCOMINGINVOICE_CREATE1: Complete parking</t>
  </si>
  <si>
    <t>MR8M: Error message M8607: Error in routine MRM_FRSEG_CHECK</t>
  </si>
  <si>
    <t>MIRO: Error messages F5354 for planned delivery costs</t>
  </si>
  <si>
    <t>MIRO: Pricing for CPE conditions</t>
  </si>
  <si>
    <t>MIRO: Layout 13_6310 displayed in error</t>
  </si>
  <si>
    <t>MIRO: "Subseq. debit/credit" ind. for differential invoicing</t>
  </si>
  <si>
    <t>MIRO: User parameter IVAMOUNTADJUST in differential invoice</t>
  </si>
  <si>
    <t>MIRO: Last display variant not displayed</t>
  </si>
  <si>
    <t>MIRO: Invoice is incorrectly locked</t>
  </si>
  <si>
    <t>MIRO/MIR7: Error M8 476 while entering a credit memo.</t>
  </si>
  <si>
    <t>MIRO: GR/IR account is not cleared</t>
  </si>
  <si>
    <t>MIRO:Net purchase order value field for differential invoice</t>
  </si>
  <si>
    <t>MIRO: Error message M8285 when distributing delivery costs</t>
  </si>
  <si>
    <t>MIRO: Parking without G/L account check</t>
  </si>
  <si>
    <t>MM-IV-LIV-ERS</t>
  </si>
  <si>
    <t>ERS</t>
  </si>
  <si>
    <t>MRRL: Accessibility</t>
  </si>
  <si>
    <t>MR8M: Error message M8140</t>
  </si>
  <si>
    <t>MIR6: Display variant not transferred for document display</t>
  </si>
  <si>
    <t>MIR4: Change documents for RBTX</t>
  </si>
  <si>
    <t>MIR6/MIR4: One-time vendor data disappears</t>
  </si>
  <si>
    <t>MRBR: Releasing invoice with price variance (KW)</t>
  </si>
  <si>
    <t>MM-PUR-ADB</t>
  </si>
  <si>
    <t>Adobe document services in purchasing</t>
  </si>
  <si>
    <t>MM-PUR-ADB-PRN</t>
  </si>
  <si>
    <t>Document output</t>
  </si>
  <si>
    <t>Archiving of Adobe forms during print preview</t>
  </si>
  <si>
    <t>Change text for header data is not printed in Adobe Form</t>
  </si>
  <si>
    <t>Header details not filled in Buyer's Negotiation Sheet</t>
  </si>
  <si>
    <t>PO Header text not printed for dunning message</t>
  </si>
  <si>
    <t>Supplementary conditions not printed for Service item</t>
  </si>
  <si>
    <t>Outline header conditions not printed in Contract output</t>
  </si>
  <si>
    <t>Incorrect UoM printed if alternate UoM is used in PO</t>
  </si>
  <si>
    <t>FIP: Long runtimes for distribution list</t>
  </si>
  <si>
    <t>FIP: Default value for authorization obj. S_DEVELOP missing</t>
  </si>
  <si>
    <t>ME22N: Partial invoice indicator cannot be changed</t>
  </si>
  <si>
    <t>ME 083 Enter a Functional Area</t>
  </si>
  <si>
    <t>Wrong check for invoices in archive pre-processing</t>
  </si>
  <si>
    <t>Display of archived service and limit data</t>
  </si>
  <si>
    <t>MM_EKKO: Incorrect authorization check for activity 06</t>
  </si>
  <si>
    <t>MM_EKKO: EKUB not being deleted with RM06EW47 / RM06EW70</t>
  </si>
  <si>
    <t>RM06BV70: Performance optimization</t>
  </si>
  <si>
    <t>ARL: Display of attachments does not work for contracts</t>
  </si>
  <si>
    <t>V_V2 exits when serialized PO is rescheduled</t>
  </si>
  <si>
    <t>ME21n: Price is not transferred from the catalog</t>
  </si>
  <si>
    <t>Revaluation of invoice value refering to partial inv. plan</t>
  </si>
  <si>
    <t>Error CPE 304 despite successfully evaluated formula</t>
  </si>
  <si>
    <t>Traffic light in ME2DP turns red again after invoice receipt</t>
  </si>
  <si>
    <t>ME2DP: Down payment amount contains double tax</t>
  </si>
  <si>
    <t>ORDRSP: Error during update Table EKES</t>
  </si>
  <si>
    <t>Parked confirmation information not updated correctly</t>
  </si>
  <si>
    <t>MMHIPO: List Output of Purchase Order History</t>
  </si>
  <si>
    <t>Condition/Price difference in ERP for SRM OA with location</t>
  </si>
  <si>
    <t>PurchaseOrderERPConfirmation not posted in SRM</t>
  </si>
  <si>
    <t>Error VK 022 for fix price conditions</t>
  </si>
  <si>
    <t>PR not transfered to sourcing although released for PO</t>
  </si>
  <si>
    <t>Error 6Q202 while creating contract with PR reference</t>
  </si>
  <si>
    <t>Error CX_SY_DYN_CALL_ILLEGAL_TYPE after implementing 1684314</t>
  </si>
  <si>
    <t>Purchase Order does not exist, when triggered via qRFC</t>
  </si>
  <si>
    <t>cl_se_pur_pr_wf_out=&gt;execute contains commit work</t>
  </si>
  <si>
    <t>SIT: Short dump DYNPRO_FIELD_CONVERSION in transaction MIRO</t>
  </si>
  <si>
    <t>MRDC: Error M8 607 in routine MRM_DRSEG_FILL(SAPLMRMH)</t>
  </si>
  <si>
    <t>MIRO: Incorrect default values</t>
  </si>
  <si>
    <t>MM-PUR-GF-KONF</t>
  </si>
  <si>
    <t>Origin of Configuration not filled in BAPI</t>
  </si>
  <si>
    <t>MASS: not possible to change partner data</t>
  </si>
  <si>
    <t>MASS: change will not be passed to EXIT_SAPMM06E_012</t>
  </si>
  <si>
    <t>Old items being printed in the change output message</t>
  </si>
  <si>
    <t>MIRO: Poor performance for delivery costs</t>
  </si>
  <si>
    <t>Manual conditions deleted while changing the PO</t>
  </si>
  <si>
    <t>Message 06248 not displayed in ME21N</t>
  </si>
  <si>
    <t>MEI1: Missing update of price during automatic adjustment</t>
  </si>
  <si>
    <t>Dump when outbound delivery is created or changed</t>
  </si>
  <si>
    <t>ME21N: Warning 147(MEPO) with order unit</t>
  </si>
  <si>
    <t>F&amp;A pricing not working for batch materials</t>
  </si>
  <si>
    <t>ME2L - Incorrect "To-be-Delivered(Qty)" at Sch.line</t>
  </si>
  <si>
    <t>short dump COMPUTE_BCD_OVERFLOW while using BAPI for release</t>
  </si>
  <si>
    <t>Selection using ME2O in the ALV calls ALV consistency check</t>
  </si>
  <si>
    <t>Requirements for Subcon. Components not correctly reduced</t>
  </si>
  <si>
    <t>MM-PUR-GF-SN</t>
  </si>
  <si>
    <t>TP: Serial numbers are not transferred to Purchase Req.</t>
  </si>
  <si>
    <t>MM-PUR-GF-VE</t>
  </si>
  <si>
    <t>Vendor Evaluation</t>
  </si>
  <si>
    <t>ME61: wrong text will be displayed</t>
  </si>
  <si>
    <t>MM-PUR-GF-WOF</t>
  </si>
  <si>
    <t>Update Debugging while confirming Order Acknowledgement</t>
  </si>
  <si>
    <t>Conditions are not displayed for contract without plant</t>
  </si>
  <si>
    <t>SC component requirement quantity update not possible</t>
  </si>
  <si>
    <t>BAPI_CONTRACT_CHANGE resulted in error VK016</t>
  </si>
  <si>
    <t>Multiple account assignment not created</t>
  </si>
  <si>
    <t>SC Vendor flag can be set for Stock transfer Scheduling Agr.</t>
  </si>
  <si>
    <t>Incorrect price and price date update using BAPI_SAG_CHANGE</t>
  </si>
  <si>
    <t>Exception CX_SY_REF_IS_INITIAL raised for Schedule_Maintain</t>
  </si>
  <si>
    <t>Call off PO created without EKAB entry</t>
  </si>
  <si>
    <t>ME31L: Base price condition not created after save</t>
  </si>
  <si>
    <t>Unexpected quantity change in Purchasing Contract</t>
  </si>
  <si>
    <t>Print sched.agrmt.release: Schedule lines always aggregated</t>
  </si>
  <si>
    <t>Incorrect message type for messages MEPO 155 and MEPO 156</t>
  </si>
  <si>
    <t>Message ME898 is not customizable</t>
  </si>
  <si>
    <t>BAPI_PO_CHANGE: POPARTNER update is not possible</t>
  </si>
  <si>
    <t>BAPI_PO_CREATE1: Unwanted overwriting of interface fields</t>
  </si>
  <si>
    <t>Object Link not written for PORDCR1</t>
  </si>
  <si>
    <t>BAPI_PO_CHANGE: XERSY will be set automatically</t>
  </si>
  <si>
    <t>BAPI_PO_CREATE1: Condition value is not transferred</t>
  </si>
  <si>
    <t>ME22N-AM 250 Address error in PO item grid control</t>
  </si>
  <si>
    <t>Error 06 865 when adjusting subitem quantity or delivery dat</t>
  </si>
  <si>
    <t>SAP Sourcing Purchase order shows unique key in text id F10</t>
  </si>
  <si>
    <t>ME23N: Purchase Order is not displayed</t>
  </si>
  <si>
    <t>PO Header Status wrong for IV curr. different from PO curr.</t>
  </si>
  <si>
    <t>ME23n: Header "Status" displays incorrect invoice values</t>
  </si>
  <si>
    <t>CN71: A error has occurred in a generation program</t>
  </si>
  <si>
    <t>BAPI_PR_CREATE: TXJCD not derived</t>
  </si>
  <si>
    <t>PReq creation from SRM fails when rel to central contract</t>
  </si>
  <si>
    <t>EBAN APPEND fields get cleared while using BAPI_PR_CHANGE</t>
  </si>
  <si>
    <t>MM_CCM 019 when creating a PReq with SRM contract reference</t>
  </si>
  <si>
    <t>CCM Reference changeable after PO generation in PReq</t>
  </si>
  <si>
    <t>Name of doc creator incorrect for PReq in Status tab page</t>
  </si>
  <si>
    <t>Source list contains blank item category for MPN material</t>
  </si>
  <si>
    <t>ME05 result in dump after message 06347</t>
  </si>
  <si>
    <t>Error generating source using ME05 for future validity</t>
  </si>
  <si>
    <t>Error 06564 not displayed for fixed vendor change</t>
  </si>
  <si>
    <t>MEQ8 fails with selection based on Minimum variance</t>
  </si>
  <si>
    <t>Unauthorized modification in Shopping Application MM-PUR-SSP</t>
  </si>
  <si>
    <t>The catalog items are not getting transferred into SC</t>
  </si>
  <si>
    <t>Syntax Error while launching Shopping Cart Factsheet</t>
  </si>
  <si>
    <t>Reset UI guideline property to "Default Setting"</t>
  </si>
  <si>
    <t>Unable to approve the Shopping Cart.</t>
  </si>
  <si>
    <t>Short dump on saving Shopping Cart after changing Address</t>
  </si>
  <si>
    <t>Approvers shown in non sorted order of approval status</t>
  </si>
  <si>
    <t>ERP SSP Workflow Simplification</t>
  </si>
  <si>
    <t>Deliver To link disappears if address is removed</t>
  </si>
  <si>
    <t>SC dumps if non existing plant is assigned</t>
  </si>
  <si>
    <t>Incorrect forecasting of Shopping Cart Approvers</t>
  </si>
  <si>
    <t>Shopping cart cancellation issue with multiple items</t>
  </si>
  <si>
    <t>Check for the mandatory field is not maintained.</t>
  </si>
  <si>
    <t>Default values not maintained for the Authorization Check</t>
  </si>
  <si>
    <t>Alert Mails not reaching the User</t>
  </si>
  <si>
    <t>PO price not matching with Shopping Cart FOD</t>
  </si>
  <si>
    <t>Vendor-Material Relationships and Conditions</t>
  </si>
  <si>
    <t>Screen check on EINE-LSTNR failed</t>
  </si>
  <si>
    <t>ME12: Purchase order text is not editable</t>
  </si>
  <si>
    <t>MM-PUR-VM-SET</t>
  </si>
  <si>
    <t>Subsequent Settlem.</t>
  </si>
  <si>
    <t>Missing EKBO entries</t>
  </si>
  <si>
    <t>Accessibility not defined</t>
  </si>
  <si>
    <t>Error M8 454 in the detailed statement</t>
  </si>
  <si>
    <t>ML81N/BAPI_ENTRYSHEET_CREATE: Contract target value exceeded</t>
  </si>
  <si>
    <t>Dump TABLE_INVALID_INDEX issued during addition of new row</t>
  </si>
  <si>
    <t>ME22N : Service Items with follow-on documents are deleted</t>
  </si>
  <si>
    <t>Performance: Creation of purchase orders</t>
  </si>
  <si>
    <t>Incorrect behaviour on setting FORMELNR as 'Reqd. entry'</t>
  </si>
  <si>
    <t>Dump BCD_FIELD_OVERFLOW issued in service document creation</t>
  </si>
  <si>
    <t>Conditions not copied during PR creation from MDM</t>
  </si>
  <si>
    <t>SES points to wrong PO number when viewed from PO history</t>
  </si>
  <si>
    <t>@ME@error M7 265 given in releasing service entry viaM</t>
  </si>
  <si>
    <t>Service PO Commitment Value is not updated correctly</t>
  </si>
  <si>
    <t>BAPI_ENTRYSHEET_GETDETAIL:Earmarked funds for account assign</t>
  </si>
  <si>
    <t>BAPI_PO_CREATE1: OSS note 1236355</t>
  </si>
  <si>
    <t>BAPI_PR_CHANGE: Gross price and Net price becomes zero/null</t>
  </si>
  <si>
    <t>BAPI_PR_CREATE: ESLL EXTROW created in descending order</t>
  </si>
  <si>
    <t>BAPI_PR_CREATE: SERVICELINES has empty Currency</t>
  </si>
  <si>
    <t>BAPI_ENTRYSHEET_CREATE: SE182 error message display is wrong</t>
  </si>
  <si>
    <t>CCM: Price change does not update condition records.</t>
  </si>
  <si>
    <t>PurchaseOrderERPRequest_In_V1: Tax code is not mapped</t>
  </si>
  <si>
    <t>CCM: On changing the contract, ESLL-NETWR is zero</t>
  </si>
  <si>
    <t>Currency key not recorded in CDPOS table</t>
  </si>
  <si>
    <t>MM-SRV-GF-OC</t>
  </si>
  <si>
    <t>ML81n Message record disappears after save operation</t>
  </si>
  <si>
    <t>MM-SRV-IP</t>
  </si>
  <si>
    <t>Invoicing Plan</t>
  </si>
  <si>
    <t>Status of down payment date incorrect</t>
  </si>
  <si>
    <t>Message type not returned by CATM during BDC</t>
  </si>
  <si>
    <t>EAM CC 2: General preparations (SAP_APPL)</t>
  </si>
  <si>
    <t>Generation of maintenance view V_T351 is impossible</t>
  </si>
  <si>
    <t>Enhancing tech. object lists (characteristics) - Corrections</t>
  </si>
  <si>
    <t>Enhancing the technical object lists - application note</t>
  </si>
  <si>
    <t>Wrong characteristic validation in linear data</t>
  </si>
  <si>
    <t>Short dump in transaction IN24 or IN25</t>
  </si>
  <si>
    <t>Wrong class verification in linear data</t>
  </si>
  <si>
    <t>EQUIPMENT_SELECT: Bad performance because of search via date</t>
  </si>
  <si>
    <t>Equipment primary language indicator is deleted</t>
  </si>
  <si>
    <t>Nummernkreis für Netzattribute</t>
  </si>
  <si>
    <t>Field Division is not handled properly in func. location</t>
  </si>
  <si>
    <t>Primary language indicator is not set for for FL</t>
  </si>
  <si>
    <t>Time declaration in period selection is not correct</t>
  </si>
  <si>
    <t>Service 'Update Maintenance Plan' has unpredictable response</t>
  </si>
  <si>
    <t>IP19 : Duplicate hits for search incl. functional location</t>
  </si>
  <si>
    <t>Enhancing the call horizon - interface note</t>
  </si>
  <si>
    <t>Enhancing the call horizon - application note</t>
  </si>
  <si>
    <t>EAM CC 2:Technical preparation for document flow enhancement</t>
  </si>
  <si>
    <t>EAM CC 2: Document flow enhancement in maintenance order</t>
  </si>
  <si>
    <t>BAPI: BAPI_ALM_CONF_CREATE return table not cleared</t>
  </si>
  <si>
    <t>IW30: Dump MESSAGE_TYPE_X when FL select option used</t>
  </si>
  <si>
    <t>IW38/IW39: Estimated Costs are displayed incorrectly</t>
  </si>
  <si>
    <t>MAM3.0: BADi ALM_ME_031_EQUIPMENT not triggered at create</t>
  </si>
  <si>
    <t>MAM3.0: Error not displayed even when business error occurs</t>
  </si>
  <si>
    <t>MAM/EAM_WO: Order/notification getdetail is adjusted</t>
  </si>
  <si>
    <t>BAPI: Incorrect error message for wrong priority of notif.</t>
  </si>
  <si>
    <t>IW21: Incorrect notification type text in F4 help</t>
  </si>
  <si>
    <t>Line breaks during paging in batch input (background)</t>
  </si>
  <si>
    <t>Zeilenumbrüche beim Paging im Batch-Input (Hintergrund) II</t>
  </si>
  <si>
    <t>IW23/IW53: status of task for item not displayed</t>
  </si>
  <si>
    <t>No prompt message for Standard Text update for operation</t>
  </si>
  <si>
    <t>IW33:Unaqble to navigate to free of charge Deliv.(Doc. flow)</t>
  </si>
  <si>
    <t>Wrong status when notification is deleted from object list</t>
  </si>
  <si>
    <t>IW32: Priority field incorrectly saved in the PM/CS order</t>
  </si>
  <si>
    <t>BAPI_ALM_ORDER_MAINTAIN raises a pop-up message I0 200</t>
  </si>
  <si>
    <t>IW32: Search help in operation enhancement tab dumps</t>
  </si>
  <si>
    <t>Cost overview in basic order view</t>
  </si>
  <si>
    <t>EAM CC 2: Vorber. "Dokumente im IH-Auftrag" (SAP_APPL)</t>
  </si>
  <si>
    <t>EAM CC 2: Documents in plant maintenance order (SAP_APPL)</t>
  </si>
  <si>
    <t>Configuration update at component level</t>
  </si>
  <si>
    <t>Inspection lot not generated from transaction CM33</t>
  </si>
  <si>
    <t>EAM order: Workflow item  error</t>
  </si>
  <si>
    <t>Short dump TABLE_INVALID_INDEX in basic order view</t>
  </si>
  <si>
    <t>EAM CC 2: Cost Overview in PM Order (WebDynpro)</t>
  </si>
  <si>
    <t>Header functional location not returned in object list</t>
  </si>
  <si>
    <t>EAM CC 2: Corrections for "Document assignment for PM order"</t>
  </si>
  <si>
    <t>Maintaining OAA orders in basic order view</t>
  </si>
  <si>
    <t>IW34: E 00 055 Mußfeldprüfung auf dem Einstiegsbild</t>
  </si>
  <si>
    <t>Missing object lists, dump for notif. creation from order</t>
  </si>
  <si>
    <t>Pflege der Schätzkosten pro Wertkategorie über BAPI</t>
  </si>
  <si>
    <t>IW40N - Benutzervariante "U_xxx" wird nicht gezogen</t>
  </si>
  <si>
    <t>Popup to select the workcenter and operations not issued</t>
  </si>
  <si>
    <t>BAPI: Incorrect assignment of From Plant data</t>
  </si>
  <si>
    <t>Assembly processing: Runtime error MESSAGE_TYPE_X</t>
  </si>
  <si>
    <t>CA80: Incorrect display of where used list on workcenter</t>
  </si>
  <si>
    <t>Runtime Error RAISE_EXCEPTION in SAP GUI transaction CN02</t>
  </si>
  <si>
    <t>CA51: accessibility issue for radio button and check box</t>
  </si>
  <si>
    <t>CR60: Missing authorization check for trx CR02 and CR12</t>
  </si>
  <si>
    <t>CR15: AUTHORITY-CHECK does not work</t>
  </si>
  <si>
    <t>Wrong Application Help in Workcenter Transactions</t>
  </si>
  <si>
    <t>CM25: Short dump MESSAGE_TYPE_X during mid-point scheduling.</t>
  </si>
  <si>
    <t>IW31 : Incorrect capacity availabilty check due to rounding.</t>
  </si>
  <si>
    <t>Unauthorized modification in ITS-Service in KANBAN</t>
  </si>
  <si>
    <t>PKMC: Dump on changing strategy in control cycle</t>
  </si>
  <si>
    <t>PK18: selection using wild card * is not working</t>
  </si>
  <si>
    <t>Confirmation from MES posts phantom assemblies in ERP</t>
  </si>
  <si>
    <t>Unauthorized modification in SICF-services in PP-MES</t>
  </si>
  <si>
    <t>MD61: Runtime Error DYNPRO_FIELD_CONVERSION with reference</t>
  </si>
  <si>
    <t>Parameter ids WRK/VWK not updated correctly from MD04/MD05</t>
  </si>
  <si>
    <t>Too few materials for multiple selection by MRP controller</t>
  </si>
  <si>
    <t>Order report for STO does not show issuing plant elements</t>
  </si>
  <si>
    <t>CI44: Delta download does not download deleted operations</t>
  </si>
  <si>
    <t>PDC confirmation: Runtime error CONVT_OVERFLOW</t>
  </si>
  <si>
    <t>C202 Consistency log: misleading popup text</t>
  </si>
  <si>
    <t>C203: Short dump DYNPRO_FIELD_CONVERSION</t>
  </si>
  <si>
    <t>Dummy Note for Releasing GIS ETCT</t>
  </si>
  <si>
    <t>Runtime Error occurs duing Load OIL Transfer Scenario</t>
  </si>
  <si>
    <t>Aothority Check for allocation</t>
  </si>
  <si>
    <t>Performance Improvements for Planned Allocation Run</t>
  </si>
  <si>
    <t>Wrong Quantity Calculation for Begining Inventory Scenario</t>
  </si>
  <si>
    <t>Load Oil scenario allocation result calculation is wrong</t>
  </si>
  <si>
    <t>Node quantity adjustment for the intra month changes</t>
  </si>
  <si>
    <t>Index failed issue with Planned Top down allocation</t>
  </si>
  <si>
    <t>PP-PN-GIS</t>
  </si>
  <si>
    <t>Geographical Info</t>
  </si>
  <si>
    <t>GIS Coupling in UOM</t>
  </si>
  <si>
    <t>Report PPARBFRD displays duplicate records</t>
  </si>
  <si>
    <t>Termination during background processing of material staging</t>
  </si>
  <si>
    <t>MF50: Dump MESSAGE_TYPE_X in the creation of planned orders</t>
  </si>
  <si>
    <t>Process Instructions are not copied during pln order conv</t>
  </si>
  <si>
    <t>Order split: Message COOS 095 in incorrect language</t>
  </si>
  <si>
    <t>CO02 DUMP "SAPLCOBO" "NOT_FOUND" split order</t>
  </si>
  <si>
    <t>Order split: Backflushing indicator for by-product</t>
  </si>
  <si>
    <t>Error RU 117 issued for rework operations</t>
  </si>
  <si>
    <t>Goods Movements incorrectly assigned to confirmations</t>
  </si>
  <si>
    <t>Incorrect configuration displayed in change management</t>
  </si>
  <si>
    <t>By-products: Plus/minus sign of value withdrawn</t>
  </si>
  <si>
    <t>Display of quantity withdrawn and available quantity</t>
  </si>
  <si>
    <t>Runtime error MESSAGE_TYPE_X during planned order conversion</t>
  </si>
  <si>
    <t>RIORD000 sets deletion indicator for reservations</t>
  </si>
  <si>
    <t>Runtime error RAISE_EXCEPTION OBJECT_NOT_FOUND</t>
  </si>
  <si>
    <t>CO08: Creating an order for a completed item</t>
  </si>
  <si>
    <t>CO02:Insert reference operation set for oper. with sub-oper.</t>
  </si>
  <si>
    <t>Create oder using BAPI: Account assignment data</t>
  </si>
  <si>
    <t>Create order using BAPI: Error 61 261</t>
  </si>
  <si>
    <t>Assembly: WBS element is lost</t>
  </si>
  <si>
    <t>Collective conversion: Authorization to jump to transaction</t>
  </si>
  <si>
    <t>PP-SFC-PLN-TPT</t>
  </si>
  <si>
    <t>Trigger points</t>
  </si>
  <si>
    <t>TrigPoint Processing status not set after adding ref routing</t>
  </si>
  <si>
    <t>(Reconstruct.) OPH5: Long runtime &amp; high memory consumption</t>
  </si>
  <si>
    <t>BAPI_ACC_DOCUMENT_REV_POST: FI057 (BELNR in LFMPRF04)</t>
  </si>
  <si>
    <t>Unauthorized modification in ITS-Service in PS-CLM</t>
  </si>
  <si>
    <t>PS-CON</t>
  </si>
  <si>
    <t>Message RU 224 coming while processing Network confirmation</t>
  </si>
  <si>
    <t>Unauthorized modification in ITS-Service in PS</t>
  </si>
  <si>
    <t>KOCO/CJCO: Truncated texts in log</t>
  </si>
  <si>
    <t>Creating project with ECP: Short dump when saving</t>
  </si>
  <si>
    <t>CJV4: Easy Cost Planning is not updated</t>
  </si>
  <si>
    <t>Costs for component in valuated project stock</t>
  </si>
  <si>
    <t>PS-COS-PLN-PLN</t>
  </si>
  <si>
    <t>Planned Costs</t>
  </si>
  <si>
    <t>CJ40/CJ42/KO12: Using your own planning layouts</t>
  </si>
  <si>
    <t>Rounding errors when converting units</t>
  </si>
  <si>
    <t>OPI1: Maßeinheit mit Kleinbuchstaben wird nicht akzeptiert</t>
  </si>
  <si>
    <t>PS-IS-ACC-HIE</t>
  </si>
  <si>
    <t>Hierarchy Reports</t>
  </si>
  <si>
    <t>Valuation view for PS hierarchy reports</t>
  </si>
  <si>
    <t>Transaction ADPMPS ends w/ dialog box w/ error message OK020</t>
  </si>
  <si>
    <t>PSIS: Profit center hierarchy wrong(II)</t>
  </si>
  <si>
    <t>Wrong hierarchy-position of activity selecting network only</t>
  </si>
  <si>
    <t>CN47: Wrong WBS element for OLC order operations</t>
  </si>
  <si>
    <t>CN47: Project Definition is blank for PP-orders</t>
  </si>
  <si>
    <t>CN41N: Decimal places error comparing fields/versions</t>
  </si>
  <si>
    <t>Post goods issue does not enter errors in error protocol</t>
  </si>
  <si>
    <t>PS-MAT-DLV</t>
  </si>
  <si>
    <t>Delivery</t>
  </si>
  <si>
    <t>Error F5080 when posting goods issue for a PS delivery</t>
  </si>
  <si>
    <t>CNE5: progress values are initial in object currency</t>
  </si>
  <si>
    <t>DIP: No exception triggered if cost element is missing</t>
  </si>
  <si>
    <t>DP91: Excluding dynamic items from processing</t>
  </si>
  <si>
    <t>DP90: Information on partially billed status does not exist</t>
  </si>
  <si>
    <t>DP91: Dump with runtime error CONVT_NO_NUMBER</t>
  </si>
  <si>
    <t>DP82: VPK1 101 when starting with WBS element and version</t>
  </si>
  <si>
    <t>Rounding errors in liquidity forecast</t>
  </si>
  <si>
    <t>PS: Note to improve the quality of Access Control List (ACL)</t>
  </si>
  <si>
    <t>PS-ST-PLN</t>
  </si>
  <si>
    <t>Structure Planning</t>
  </si>
  <si>
    <t>Cj20-Time unit popup appears instead of "Project not found"</t>
  </si>
  <si>
    <t>PSM-FM-BCS-AC</t>
  </si>
  <si>
    <t>Service module to savely call AVC last check (part 1)</t>
  </si>
  <si>
    <t>Verfügbarkeitskontrolle auf Einnahmekontierungen</t>
  </si>
  <si>
    <t>Laufzeitfehler bei Stornierung einer Rechnung oder Anordnung</t>
  </si>
  <si>
    <t>FM7M: missing field Expiration Date</t>
  </si>
  <si>
    <t>FMMD: Missing description for F_FICA_PPL for field FM_PPLAN</t>
  </si>
  <si>
    <t>Lock problem when using earmarked funds in purchase order</t>
  </si>
  <si>
    <t>Mittelvormerkung: Performanceverbesserung</t>
  </si>
  <si>
    <t>FMRE: Incorrect amounts in value adjustment documents</t>
  </si>
  <si>
    <t>FMVA01: Incorrect amounts in value adjustment documents</t>
  </si>
  <si>
    <t>Act.&amp; Commit. Update</t>
  </si>
  <si>
    <t>dump CALL_FUNCTION_PARM_UNKNOWN</t>
  </si>
  <si>
    <t>FM Account Assignment for PM order component is invalid</t>
  </si>
  <si>
    <t>Document header text deleted in accounting interface</t>
  </si>
  <si>
    <t>FM does not recognize manual tax lines</t>
  </si>
  <si>
    <t>PSM-GM</t>
  </si>
  <si>
    <t>Grants Management</t>
  </si>
  <si>
    <t>PSM-GM-GTE</t>
  </si>
  <si>
    <t>Grantee Management</t>
  </si>
  <si>
    <t>PSM-GM-GTE-UP</t>
  </si>
  <si>
    <t>Actual/Commitment Up</t>
  </si>
  <si>
    <t>Statistical Key Figures and Grantee Management</t>
  </si>
  <si>
    <t>FB50 documents not shown in extended PO history</t>
  </si>
  <si>
    <t>Unauthorized modification of ITS in QM</t>
  </si>
  <si>
    <t>Enhancement QCPA0007: Copying without version is impossible</t>
  </si>
  <si>
    <t>QEDS: Signature proc. completed w/ characteristic status '3'</t>
  </si>
  <si>
    <t>QM-IM-RR-CHR</t>
  </si>
  <si>
    <t>Characteris. results</t>
  </si>
  <si>
    <t>QE01 : Any number of codes can be entered</t>
  </si>
  <si>
    <t>Spalte für die Ikone 'aktive Position' wird nicht angezeigt</t>
  </si>
  <si>
    <t>QA11: Valuation of MS objects &amp; conditional characteristics</t>
  </si>
  <si>
    <t>QA11 and HU's: Delivery created instead of material document</t>
  </si>
  <si>
    <t>QACL_USAGE_DECISION_CODE:Enhancement acc. to SAP Note 588283</t>
  </si>
  <si>
    <t>Characteristic long text deleted after being unlocked</t>
  </si>
  <si>
    <t>QM-QC</t>
  </si>
  <si>
    <t>Quality Control</t>
  </si>
  <si>
    <t>Runtime error when displaying the results history</t>
  </si>
  <si>
    <t>Duplicate notifications when creating notif. via workflow</t>
  </si>
  <si>
    <t>IQS21: Long text not protected after change of notif. type</t>
  </si>
  <si>
    <t>QM_NOTIF_OVERVW3: Long text is not printed</t>
  </si>
  <si>
    <t>QQMA0001: Length of customer subscreen not sufficient</t>
  </si>
  <si>
    <t>RE-IT</t>
  </si>
  <si>
    <t>Input Tax Treatment</t>
  </si>
  <si>
    <t>RE Classic transaction FO_RFVIITLBZX under RE-FX</t>
  </si>
  <si>
    <t>RE-PR-CN</t>
  </si>
  <si>
    <t>Contract Management</t>
  </si>
  <si>
    <t>Preassignment for conditions: Gross indic. for jurisdiction</t>
  </si>
  <si>
    <t>Accrual/deferral general contract: Object transfer missing</t>
  </si>
  <si>
    <t>RE-RT-RC</t>
  </si>
  <si>
    <t>Rental Agreement Mgt</t>
  </si>
  <si>
    <t>Partner in conditions deleted after change of dunning area</t>
  </si>
  <si>
    <t>Global Available-to-Promise</t>
  </si>
  <si>
    <t>VA02 :SYSFAIL in CIF queue during PAL update in case of RBA.</t>
  </si>
  <si>
    <t>Initial load: No parallelization at SCM using small blocks</t>
  </si>
  <si>
    <t>CIF: planned order: configured BOM could not be exploded</t>
  </si>
  <si>
    <t>Batch split items loosing batch selection criteria</t>
  </si>
  <si>
    <t>CFM1: Increase performance for the selection from MARC table</t>
  </si>
  <si>
    <t>Poor performance (at CIF_IMOD) when executing ATP check</t>
  </si>
  <si>
    <t>CIFIMODGEN: Blank field for business partner creation</t>
  </si>
  <si>
    <t>Note 1694329 decreases change pointer processing performance</t>
  </si>
  <si>
    <t>SCM-APO-INT-MD-LO</t>
  </si>
  <si>
    <t>Location</t>
  </si>
  <si>
    <t>Changes at customers or vendors are not transferred to TM</t>
  </si>
  <si>
    <t>CURTO_CREATE: No SNP PDS is pulled when using CMPDS1</t>
  </si>
  <si>
    <t>Explanation report for transferring from PDS to APO</t>
  </si>
  <si>
    <t>CARO_ROUTING_READ slow when routing is referenced</t>
  </si>
  <si>
    <t>INT-PDS:Interoperationtime is not correct with parallel seq.</t>
  </si>
  <si>
    <t>INT-PDS: Wrong return operations if using ref. operation set</t>
  </si>
  <si>
    <t>INT-PDS: Interoperation times are not taken into account</t>
  </si>
  <si>
    <t>CIF queues dump with error "CONVT_NO_NUMBER"</t>
  </si>
  <si>
    <t>Purchasing / Purch. Req. and Order, Transfer Order</t>
  </si>
  <si>
    <t>Long runtime when executing cfm1 for scheduling agreements</t>
  </si>
  <si>
    <t>CMDS: order created in SCM / APO with atp category BN</t>
  </si>
  <si>
    <t>checkman error in package V45V</t>
  </si>
  <si>
    <t>BOP: R/3 inbound queues in SYSFAIL - characteristics</t>
  </si>
  <si>
    <t>SCM-APO-INT-STK</t>
  </si>
  <si>
    <t>Stock</t>
  </si>
  <si>
    <t>Duplicate entries at IT_DLEX table at SCM system</t>
  </si>
  <si>
    <t>ITAB_ILLEGAL_SORT_ORDER_BLK booking order proposal</t>
  </si>
  <si>
    <t>Deactivation option for FRE_CONS_POINTER / FRE_STOCK_POINTER</t>
  </si>
  <si>
    <t>FRE_C4 does not handle structured articles properly</t>
  </si>
  <si>
    <t>F&amp;R Kundenaufträge - Vorabhinweis Customizing</t>
  </si>
  <si>
    <t>Check report FRE_CHECK_SUPPLY_NET ends with a runtime error</t>
  </si>
  <si>
    <t>F&amp;R sales orders - Preliminary note for the source code</t>
  </si>
  <si>
    <t>FRE_C4: Inconsistencies due to wrong time zone</t>
  </si>
  <si>
    <t>DIF for promotions: FRE12 sends incorrect quantities for DC</t>
  </si>
  <si>
    <t>Transferring layout module data</t>
  </si>
  <si>
    <t>F&amp;R sales order: Delivery with Support Package</t>
  </si>
  <si>
    <t>FRE04 NO RECORDS SELECTED</t>
  </si>
  <si>
    <t>FRE_INIT_LOAD: transportation lane data not transferred</t>
  </si>
  <si>
    <t>Wrong RFC error message when sending orders proposals</t>
  </si>
  <si>
    <t>ROEMPROACT2: Quota required for the same vendor</t>
  </si>
  <si>
    <t>RSMIPROACT generates too large IDocs</t>
  </si>
  <si>
    <t>RSMIPROACT: Remove restriction of references for source list</t>
  </si>
  <si>
    <t>RSMIPROACT: Safety requirements considered as Demand</t>
  </si>
  <si>
    <t>SCM-ICH-KNB</t>
  </si>
  <si>
    <t>Incorrect texts in report KANBAN_MD_TRANSMIT</t>
  </si>
  <si>
    <t>ATP Delivery proposal screen displayed for check rule 'B'.</t>
  </si>
  <si>
    <t>ATP not updated correctly for changed sales orders.</t>
  </si>
  <si>
    <t>Program termination COMPUTE_FLOAT_ZERODIVIDE</t>
  </si>
  <si>
    <t>shortdump in routine EBUB_DB_READ from program SAPLATP2</t>
  </si>
  <si>
    <t>Error in ATP check result with material using ICF</t>
  </si>
  <si>
    <t>Deadlock during ATP check</t>
  </si>
  <si>
    <t>Assembly: WBS on PP order lost if sales order qty. changed</t>
  </si>
  <si>
    <t>Transp&amp;Ship scheduling dates not filled after gATP with RBA</t>
  </si>
  <si>
    <t>VA02 : Product Allocation issues with reference orders</t>
  </si>
  <si>
    <t>VA02 : Wrong confirmed quantity in product allocation</t>
  </si>
  <si>
    <t>Wrong period displayed in the allocation details screen</t>
  </si>
  <si>
    <t>VA01/02 : Product Allocation button displays incorrect UoM</t>
  </si>
  <si>
    <t>RVKRED77: Incorrect open delivery value for batch split</t>
  </si>
  <si>
    <t>CheckMan error in CPE-relevant packages in SAP_APPL</t>
  </si>
  <si>
    <t>Output for repair order does not process without error</t>
  </si>
  <si>
    <t>Adobe: Printing PDF sales orders in Norwegian</t>
  </si>
  <si>
    <t>VBPA-LAND1 not filled during order creation from message</t>
  </si>
  <si>
    <t>Fld overflow for YKBETR if condition value entered manually</t>
  </si>
  <si>
    <t>Value contract: Unit of measure of the net price changes</t>
  </si>
  <si>
    <t>Incorrect values for condition update</t>
  </si>
  <si>
    <t>CRM upload: Texts are assigned incorrectly</t>
  </si>
  <si>
    <t>Quotation/Outline agrmt messages: Too many texts created</t>
  </si>
  <si>
    <t>Performance: Call of header or item text processing</t>
  </si>
  <si>
    <t>Withholding tax &amp; installment plan in collective (1)</t>
  </si>
  <si>
    <t>Reference documents are not found</t>
  </si>
  <si>
    <t>SD-BIL-CA</t>
  </si>
  <si>
    <t>FI311 occurs for text items</t>
  </si>
  <si>
    <t>One-time customer with incorrect bank data</t>
  </si>
  <si>
    <t>No display of archived billing documents (2)</t>
  </si>
  <si>
    <t>TVFK: Input check missing for document category</t>
  </si>
  <si>
    <t>PDF print: Var configuration w/o char. val. assgt</t>
  </si>
  <si>
    <t>Adobe: Printing PDF invoices in Norwegian language</t>
  </si>
  <si>
    <t>PDF printing: Pricing for intercompany billing</t>
  </si>
  <si>
    <t>VPRS: Incorrect scaling to existing billing documents 2</t>
  </si>
  <si>
    <t>KW00/PCVP: RW002 when posting an incoming invoice</t>
  </si>
  <si>
    <t>Incomplete addresses for general billing interface</t>
  </si>
  <si>
    <t>Deleting a credit card in a replicated order</t>
  </si>
  <si>
    <t>Kreditkarten im Auftrag</t>
  </si>
  <si>
    <t>Performance issue during PGI of huge deliveries</t>
  </si>
  <si>
    <t>Performance problems during processing of a delivery</t>
  </si>
  <si>
    <t>VFRB: Retroactive billing for mixed business transactions</t>
  </si>
  <si>
    <t>BRE value screen: Rounding error for actual bill doc value</t>
  </si>
  <si>
    <t>BRE: Exception CX_SY_ZERODIVIDE in the valuation screen</t>
  </si>
  <si>
    <t>Billing Request Editor: Error when adding SPLIT items</t>
  </si>
  <si>
    <t>Duplicate revenues due to item category change</t>
  </si>
  <si>
    <t>SDRRAV52: Transfer of USING reference parameter not correct</t>
  </si>
  <si>
    <t>Short dump due to incorrect D/R account after price change</t>
  </si>
  <si>
    <t>Incorrect FI documents in VF45 display</t>
  </si>
  <si>
    <t>Correction value: Incorrect distr. between two revenue accts</t>
  </si>
  <si>
    <t>System reads the archive at item level unnecessarily</t>
  </si>
  <si>
    <t>EDI REQOTE: No item text in the last item</t>
  </si>
  <si>
    <t>INVOIC: Payment term description for installment plan</t>
  </si>
  <si>
    <t>INTRASTAT Hungary: Statistical value is not reported</t>
  </si>
  <si>
    <t>VX14N - Bank data not transferred from input help</t>
  </si>
  <si>
    <t>WAK2: Conditions created despite missing authorization</t>
  </si>
  <si>
    <t>SD-MD-MM-LIS</t>
  </si>
  <si>
    <t>Material Listing</t>
  </si>
  <si>
    <t>Material listing incorrect for product proposal</t>
  </si>
  <si>
    <t>Search help for SD document no. does not work consistently</t>
  </si>
  <si>
    <t>LORD: Access to data buffer after saving</t>
  </si>
  <si>
    <t>LORD: Error when calling billing plan data</t>
  </si>
  <si>
    <t>ESOA PurchaseOrderRequest_In: Texts are not transferred</t>
  </si>
  <si>
    <t>Service overwrites validty</t>
  </si>
  <si>
    <t>SARI / SARE: Error 00064 when displaying from archive</t>
  </si>
  <si>
    <t>Customizing for contracts: Documentation is missing</t>
  </si>
  <si>
    <t>Incompleteness for rejected item</t>
  </si>
  <si>
    <t>SD-SLS-OA-SCH</t>
  </si>
  <si>
    <t>Customer Scheduling</t>
  </si>
  <si>
    <t>Error msg. V4 144 for release dates of sched. agrmt. release</t>
  </si>
  <si>
    <t>Material field in item detail screen is ready for input</t>
  </si>
  <si>
    <t>Incorrect business data after copying subitems</t>
  </si>
  <si>
    <t>Sales UI, material search: Sorting by relevance column</t>
  </si>
  <si>
    <t>Service Entry sheet not updated in Shopping cart history</t>
  </si>
  <si>
    <t>SRM-EBP-INV</t>
  </si>
  <si>
    <t>Invoicing</t>
  </si>
  <si>
    <t>MAA: Invoice quantity is not correct at the backend</t>
  </si>
  <si>
    <t>PO invoice simulation posting does not return error messages</t>
  </si>
  <si>
    <t>SRM-ESO</t>
  </si>
  <si>
    <t>SRM eSourcing (Frictionless -Please use subcomponents)</t>
  </si>
  <si>
    <t>SRM-ESO-ERP</t>
  </si>
  <si>
    <t>ERP Integration</t>
  </si>
  <si>
    <t>Error B1 547 for percentage based conditions</t>
  </si>
  <si>
    <t>External doc. no. for SchedAgreement from CLM not working</t>
  </si>
  <si>
    <t>SRM-ESO-MD</t>
  </si>
  <si>
    <t>BADI to filter Product categories filters only texts</t>
  </si>
  <si>
    <t>POWL "All Assets": Inventory number is not filled</t>
  </si>
  <si>
    <t>SV-SMB-AIO-AET-MM</t>
  </si>
  <si>
    <t>Selection parameters for POWL /KYK/ISQ_RFDOPR10</t>
  </si>
  <si>
    <t>Determine tax code on transfer of FSD based on country codes</t>
  </si>
  <si>
    <t>Tax determination in PurOrd with Orig and Destn country code</t>
  </si>
  <si>
    <t>Note for Account Assignment BAdI for TM Related PO/SES</t>
  </si>
  <si>
    <t>TM 9.0  Enhancements in ERP 606 SP03</t>
  </si>
  <si>
    <t>Issue with Credit Memo for stage level settlement</t>
  </si>
  <si>
    <t>Error Handling if sales org mapping is missing in SAP ERP</t>
  </si>
  <si>
    <t>WEC-APP-BF</t>
  </si>
  <si>
    <t>Web Channel: Cross-application functions</t>
  </si>
  <si>
    <t>WEC-APP-BF-CRS</t>
  </si>
  <si>
    <t>General&amp; reuse funct</t>
  </si>
  <si>
    <t>Switch for WEC 3.0</t>
  </si>
  <si>
    <t>HOME BF's for WEC 3.0 switches</t>
  </si>
  <si>
    <t>WEC-APP-ISP</t>
  </si>
  <si>
    <t>WEC In-Store Pickup</t>
  </si>
  <si>
    <t>Send pick list for in-store pickup in an e-mail</t>
  </si>
  <si>
    <t>ERP SU22 Proposals for Webchannel Rel2.0</t>
  </si>
  <si>
    <t>External services for WEC2 ECommerce ERP template</t>
  </si>
  <si>
    <t>Add missing authorization objects WEC_SOBJECT</t>
  </si>
  <si>
    <t>B2B: "Forgot your user name?" and "Forgot your password?"</t>
  </si>
  <si>
    <t>WEC User Management: Name display not always complete</t>
  </si>
  <si>
    <t>Activate Web Channel R 2.0 back end functionality in ABAP</t>
  </si>
  <si>
    <t>WEC-WCB</t>
  </si>
  <si>
    <t>Web Channel Builder</t>
  </si>
  <si>
    <t>Web Channel Builder: Missing Web Site Permission</t>
  </si>
  <si>
    <t>Web Channel Builder Service User Authorizations</t>
  </si>
  <si>
    <t>J_1AF205: Wrong amount for documents with two tax codes.</t>
  </si>
  <si>
    <t>J_1AF016 Reversed document reporting in different periods</t>
  </si>
  <si>
    <t>J_1AF205: CAI and Branch values are wrongly populated.</t>
  </si>
  <si>
    <t>ODN AR : Reference number in PO history table-II</t>
  </si>
  <si>
    <t>AR WS RG2904: Issue with buidling XML data of the documents</t>
  </si>
  <si>
    <t>AR WS RG2485: Enhancing values for tax number type</t>
  </si>
  <si>
    <t>AR WS RG2485: Problem with Get Last ODN functionality</t>
  </si>
  <si>
    <t>AR WS RG2904: BAPI Request and response</t>
  </si>
  <si>
    <t>AR WS RG2485: Incorrect values for Taxes(Tributos) array</t>
  </si>
  <si>
    <t>AR WS RG2485:Issues in documents with special G/L indicator</t>
  </si>
  <si>
    <t>AR WS RG2904:Wrong ODN generation for new fiscal year</t>
  </si>
  <si>
    <t>AR WS RG2904: Error code 519 due to incorrect unit price</t>
  </si>
  <si>
    <t>AR WS RG2904: Wrong amounts sent in request XML</t>
  </si>
  <si>
    <t>ODN AR : Issue with print character determination</t>
  </si>
  <si>
    <t>XX-CSC-BE</t>
  </si>
  <si>
    <t>Belgium</t>
  </si>
  <si>
    <t>BE: 2012 XML-formats for EU Sales List</t>
  </si>
  <si>
    <t>BR: Data Upload from MS Excel for NF Writer</t>
  </si>
  <si>
    <t>Maintain tax rates with 4 decimals for SPED (Pauta Unit)</t>
  </si>
  <si>
    <t>NF Writer: Missing OT account fields from MIRO without PO</t>
  </si>
  <si>
    <t>Maintain PIS and COFINS tax rates with 4 dec. more robust</t>
  </si>
  <si>
    <t>Pauta Rate and Subtrib Base Reduction despite not active tax</t>
  </si>
  <si>
    <t>NF: Unit and Number of Units is empty for Pauta Conditions</t>
  </si>
  <si>
    <t>CT-e Legal Change: EHP6 #2</t>
  </si>
  <si>
    <t>4-dec Phase 1 (4): 4DEC-Unit of measure is copied</t>
  </si>
  <si>
    <t>NF-e Check routine for batch-input and background simulation</t>
  </si>
  <si>
    <t>BR:DDA Segment G and Segment H changes for Febraban</t>
  </si>
  <si>
    <t>Wrong PIS and COFINS base for resale returns scenario</t>
  </si>
  <si>
    <t>Wrong FI Tax Post in Batch Split STO Cancelled GR</t>
  </si>
  <si>
    <t>Some nota fiscal fields are not persisted to the database</t>
  </si>
  <si>
    <t>PO for Resale calculating taxes for consumption</t>
  </si>
  <si>
    <t>NF-e Monitor - separate Layout for Event History</t>
  </si>
  <si>
    <t>NF-e Batch Split in Inbound Delivery prerequisite part</t>
  </si>
  <si>
    <t>Conhecimento de Transporte Eletrônico (CT-e): Legal Change</t>
  </si>
  <si>
    <t>NF-e: Log Expiration Date in NF-e Monitor</t>
  </si>
  <si>
    <t>NF-e: validation error during proxy transformation in GRC</t>
  </si>
  <si>
    <t>NF-e: Purchase Orders in Foreign Currency with fix exch.rate</t>
  </si>
  <si>
    <t>NF-e: Cancel fails when posted under contingency and denied</t>
  </si>
  <si>
    <t>NF-e Availability-check of import data in NF-Writer</t>
  </si>
  <si>
    <t>NF-e: Mandatory field check doesn't work for random number</t>
  </si>
  <si>
    <t>NF-e: Check for Import Tax in NF Writer</t>
  </si>
  <si>
    <t>NF-e: Messaging system status 'G' is not reset</t>
  </si>
  <si>
    <t>NF-e: Previous NF-e information is not cleared in the Writer</t>
  </si>
  <si>
    <t>NF-e: Messaging System status 'G' - Resend is allowed</t>
  </si>
  <si>
    <t>NF-e: Documents are rejected due to rounding errors</t>
  </si>
  <si>
    <t>NF-e incoming - automation of special scenarios (II)</t>
  </si>
  <si>
    <t>NF-e incoming - Consignment Invoice</t>
  </si>
  <si>
    <t>NF-e: Set Goods Receipt Document Date to NF-e Document Date</t>
  </si>
  <si>
    <t>NF-e: Do not park Invoice in case of a posting error</t>
  </si>
  <si>
    <t>NF-e incoming - BAdI for customer checks in Invoice Simul.</t>
  </si>
  <si>
    <t>IN86: provide BAdI for files 4.4.1/4.4.2</t>
  </si>
  <si>
    <t>IN86: Issue Date instead of Posting Date for selected NFs</t>
  </si>
  <si>
    <t>Standard Extractors to BR Localization Related Tables</t>
  </si>
  <si>
    <t>SPED-EFD: C190-VL_OPR does not sum value of import tax</t>
  </si>
  <si>
    <t>New DIRF layout 2012</t>
  </si>
  <si>
    <t>EFD-Contributions: NF-e key empty for cancelled NF</t>
  </si>
  <si>
    <t>NF database filled with wrong one-time partner addr. data</t>
  </si>
  <si>
    <t>SPED-EFD: E113 - Values not exported to blocks 0150 and 0200</t>
  </si>
  <si>
    <t>EFD-Contributions: Statistical taxes should not be reported</t>
  </si>
  <si>
    <t>SPED-EFD: 4 decimal places reporting for PIS and COFINS</t>
  </si>
  <si>
    <t>SPED-EFD: 0005 - Phone/Fax size not according to layout 005</t>
  </si>
  <si>
    <t>EFD-Contributions: M510/M620 - DESCR_AJ with wrong length</t>
  </si>
  <si>
    <t>VF04: performance enhancement II</t>
  </si>
  <si>
    <t>Mandatory IPI law for Conhecimento de Transporte</t>
  </si>
  <si>
    <t>XX-CSC-CN-EPIC</t>
  </si>
  <si>
    <t>e-Paymt Integration</t>
  </si>
  <si>
    <t>EPIC: additional bank communication procedure</t>
  </si>
  <si>
    <t>China: Adding Current period P/L to income statement</t>
  </si>
  <si>
    <t>China: Adding ledger group to Zhang Jie Fa</t>
  </si>
  <si>
    <t>China: SIGN shows improperly in Account Balance Report</t>
  </si>
  <si>
    <t>China: Amount shows improperly in Account Balance Report</t>
  </si>
  <si>
    <t>China: Accounting Document Report enhancement</t>
  </si>
  <si>
    <t>Financial Document Printout Same as Configured Hierarchy</t>
  </si>
  <si>
    <t>Fix bank account number overlength missing in GTI-CN</t>
  </si>
  <si>
    <t>Golden Tax write back BADI</t>
  </si>
  <si>
    <t>Enhance line limit of invoice in GTI interface</t>
  </si>
  <si>
    <t>ERS Numbering: ERS numbering is enabled for non ERS vendors</t>
  </si>
  <si>
    <t>RU: J3RALFFATAXLIST - Error message AU115</t>
  </si>
  <si>
    <t>FBCJ - RFCASH_HU_AVP historical data</t>
  </si>
  <si>
    <t>Hungary - EC Sales List and file format (12A60)</t>
  </si>
  <si>
    <t>EXIM: Adding license details and proposes duty value for BoE</t>
  </si>
  <si>
    <t>Incorrect values for balance quantity during register: J2I6</t>
  </si>
  <si>
    <t>J1inqefile - w./tax Base Accumulation</t>
  </si>
  <si>
    <t>J1INQEFILE- Incorrect clubbing of tax lines in Q-returns</t>
  </si>
  <si>
    <t>J1INQEFILE : Performance issue</t>
  </si>
  <si>
    <t>Issue ralated to Advance Clearing in F-54</t>
  </si>
  <si>
    <t>NOT RELEVANT FOR CUSTOMERS.. NOTE 1381234   RELEASED..!</t>
  </si>
  <si>
    <t>Exceptional AED not calculated while purchase order: TAXINJ</t>
  </si>
  <si>
    <t>Excise quantity/UoM updated wrongly while import GR: MIGO</t>
  </si>
  <si>
    <t>Error 8I-611 while capturing depot excise invoice - J1IG</t>
  </si>
  <si>
    <t>Rate of non-cenvatable AED displayed as 100% in PO- TAXINJ</t>
  </si>
  <si>
    <t>Mismatch in annexure &amp; abstract data for ETT 57RC- J2I9</t>
  </si>
  <si>
    <t>GTA remittance challan creation showing all business areas</t>
  </si>
  <si>
    <t>The excise base value is not prorated based on quantity-J1IG</t>
  </si>
  <si>
    <t>Cancelled inbound excise not displayed in goods display-MIGO</t>
  </si>
  <si>
    <t>Excise duties not calculated in invoice verification- MIRO</t>
  </si>
  <si>
    <t>Runtime error for Excise with more than 999 line items:J1IIN</t>
  </si>
  <si>
    <t>KE396 Error for cancelling outbound excise invoice in J1IIN</t>
  </si>
  <si>
    <t>Exit to handle negative excise values while bill background</t>
  </si>
  <si>
    <t>INMA-MM: shortend periods</t>
  </si>
  <si>
    <t>Cancellation of MI - display error message on screen</t>
  </si>
  <si>
    <t>Invoice summary views in incoming payment:buttons don't work</t>
  </si>
  <si>
    <t>XX-CSC-JP-IS</t>
  </si>
  <si>
    <t>XX-CSC-JP-IS-A</t>
  </si>
  <si>
    <t>IS Automotive</t>
  </si>
  <si>
    <t>Japan automotive temporary pricing downport</t>
  </si>
  <si>
    <t>XX-CSC-KR</t>
  </si>
  <si>
    <t>South Korea</t>
  </si>
  <si>
    <t>RFIDKRTCR: Customer email address missing in excel output.</t>
  </si>
  <si>
    <t>Digital Invoice Mexico: Increasing of texts length</t>
  </si>
  <si>
    <t>XX-CSC-NL</t>
  </si>
  <si>
    <t>Netherlands</t>
  </si>
  <si>
    <t>WKA subscreen frame text hard coded in ME21N, ME22N, ME23N</t>
  </si>
  <si>
    <t>NL : Partner bank type is cleared while amount split - MIRO</t>
  </si>
  <si>
    <t>RFCLLIB04_PE: Issue with column "Other taxes and charges".</t>
  </si>
  <si>
    <t>RFCLLIB03_PE: Issue with the column "Total Amount"</t>
  </si>
  <si>
    <t>RFCLLIB03_PE : Issues with regular credit memos.</t>
  </si>
  <si>
    <t>RFCLLIB03_PE not showing reference document for credit memo</t>
  </si>
  <si>
    <t>RFCLLIB03_PE: Issue with column "Other taxes and charges".</t>
  </si>
  <si>
    <t>RFCLLIB03_PE : Certain Columns has incorrect text in spanish</t>
  </si>
  <si>
    <t>RFCLLIB03_PE : Header data is incorrect in ES language</t>
  </si>
  <si>
    <t>NEW Internal Invoice for Poland</t>
  </si>
  <si>
    <t>DP PL:Wrong accounting entries due to the discount condition</t>
  </si>
  <si>
    <t>PL DP:Wrong Accounting entries for collective billing doc</t>
  </si>
  <si>
    <t>DP PL: Cancellation of correction DP invoice(Credit Memo)</t>
  </si>
  <si>
    <t>Incorrect number range determined - Self billing</t>
  </si>
  <si>
    <t>Recording external number range for digital signature</t>
  </si>
  <si>
    <t>Portugal: Runtime error during billing document creation</t>
  </si>
  <si>
    <t>PT:Mapas-Deactivation date is not considered correctly</t>
  </si>
  <si>
    <t>PT: Mapas Fiscais - Wrong Useful life in Forms 33.*</t>
  </si>
  <si>
    <t>Form 31 Column 5 does not consider Revaluation Amount</t>
  </si>
  <si>
    <t>PT: Form 3204 Incorrect Value in Column 12</t>
  </si>
  <si>
    <t>Short Dump when executing RAIDPT02 with XML</t>
  </si>
  <si>
    <t>PT: Totally Depreciated assets are not grouped together</t>
  </si>
  <si>
    <t>PT: Errors in Mapas Fiscais PDF Print Program</t>
  </si>
  <si>
    <t>Form-32 C12 &amp; Fully Dep. asset not grouped,form-31 Reporting</t>
  </si>
  <si>
    <t>New VAT invoice form: field values update</t>
  </si>
  <si>
    <t>VAT invoice form: currency name, country of origin</t>
  </si>
  <si>
    <t>Business Function FIN_LOC_CI_23 for Russia</t>
  </si>
  <si>
    <t>FIAA_Russia: PTAX calculation based on Fiscal Year Variant</t>
  </si>
  <si>
    <t>Error F8 001 in J_3RFUM26 report</t>
  </si>
  <si>
    <t>J_3RFTAX_FINREZ_LIST: Technical assets with subnumbers</t>
  </si>
  <si>
    <t>Transaction J3RKOBS doesn't show leading zeros in acc.number</t>
  </si>
  <si>
    <t>RFHABU10 ignores summation parameter in unicode system</t>
  </si>
  <si>
    <t>J_3RFBS_ALL:FSV variants, J_3RFBS_ALL_BADI,shifted fisc.year</t>
  </si>
  <si>
    <t>Error message in RFUMSV50 or J_3RFUM26 report.</t>
  </si>
  <si>
    <t>J_3RF_NKS_STARTUP Rounding difference</t>
  </si>
  <si>
    <t>J3RSEXPORT ignores selection by sales order type</t>
  </si>
  <si>
    <t>Short dump DBIF_RSQL_SQL_ERROR in report RFHABU10</t>
  </si>
  <si>
    <t>New VAT Invoice form</t>
  </si>
  <si>
    <t>BADI /CCIS/SMOD_J_3RKAC1 not called for manual interpret.</t>
  </si>
  <si>
    <t>J_3RF_RATE_CALC: SD billing plans</t>
  </si>
  <si>
    <t>Customs Union: Goods Import Claim - annex 1</t>
  </si>
  <si>
    <t>New Corrective VAT Invoice form</t>
  </si>
  <si>
    <t>OS-6:Section 5, OS-1 OS-1A OS-1B OS-3 OS-4: Layout changes</t>
  </si>
  <si>
    <t>Russian banks uploading: Field BNKA-BNKLZ is empty</t>
  </si>
  <si>
    <t>Sales/Purchase Ledger: incorrect sign in budget payments</t>
  </si>
  <si>
    <t>J_3RFBS_ALL-overflow, 7 digits in thousands is not enough</t>
  </si>
  <si>
    <t>TORG-12 form: CX_SY_CONVERSION_OVERFLOW</t>
  </si>
  <si>
    <t>Russian Payment Order error: CX_SY_CONVERSION_OVERFLOW</t>
  </si>
  <si>
    <t>Additional columns in J_3RFTAX_FINREZ_LIST</t>
  </si>
  <si>
    <t>Wrong sign in drill-down to credit in transaction J3RKKRL</t>
  </si>
  <si>
    <t>Transaction J3RKKRL doesn't show long account name</t>
  </si>
  <si>
    <t>Balance Notification report: periods with zero turnovers</t>
  </si>
  <si>
    <t>J_3RFUM26: error when transferring VAT</t>
  </si>
  <si>
    <t>Account correspondence line items saved incompletely</t>
  </si>
  <si>
    <t>J_3rfum26: Error at assignment: Overwritten protected field.</t>
  </si>
  <si>
    <t>KO-4 form: recipient name</t>
  </si>
  <si>
    <t>New features in cash flow statement</t>
  </si>
  <si>
    <t>J_3RF_RATE_CALC: incorrect down payment amount</t>
  </si>
  <si>
    <t>KO-1, KO-2 forms: double name of recipient</t>
  </si>
  <si>
    <t>Sales Ledger: document types for additional sheet</t>
  </si>
  <si>
    <t>VAT Invoice form (RU): minor issues</t>
  </si>
  <si>
    <t>J_3RFUM26: tax transfer document is not posted</t>
  </si>
  <si>
    <t>Balance Notification report: reporting periods, ALV header</t>
  </si>
  <si>
    <t>J_3RFUM26: add to note 1680896</t>
  </si>
  <si>
    <t>Balance Notification report: error DATA_LENGTH_NEGATIVE</t>
  </si>
  <si>
    <t>J_3RFVATMM (Goods Import Declaration): goods receipt date</t>
  </si>
  <si>
    <t>VAT Returns: Section 2 is not output</t>
  </si>
  <si>
    <t>New indexes for table J_3RKKRS</t>
  </si>
  <si>
    <t>Balance Notification: calculation fields are too small</t>
  </si>
  <si>
    <t>Corrective VAT invoice: batch splitting</t>
  </si>
  <si>
    <t>J_3RF_RATE_CALC: difference reason</t>
  </si>
  <si>
    <t>Search helps for add. information for Russian payment order.</t>
  </si>
  <si>
    <t>J_3RMOBVED: Stock in Transit Processing</t>
  </si>
  <si>
    <t>M-11, M-15 print forms (RU): language, BAdI</t>
  </si>
  <si>
    <t>Waybill form (RU): data editing not required</t>
  </si>
  <si>
    <t>TORG-12 form : batch split is not required</t>
  </si>
  <si>
    <t>New corrective VAT invoice form: field values update</t>
  </si>
  <si>
    <t>Material code not completely displayed on form TORG-13</t>
  </si>
  <si>
    <t>VAT Invoices form SD: FI document number</t>
  </si>
  <si>
    <t>Checkman Fehler DZIC</t>
  </si>
  <si>
    <t>Missing update of external tax system for BKPF-GLVOR = SD00</t>
  </si>
  <si>
    <t>RFYTXDISPLAY: selection for user does not work</t>
  </si>
  <si>
    <t>FPIA: Invoice reference information for FINTAP</t>
  </si>
  <si>
    <t>XX-PROJ-FI</t>
  </si>
  <si>
    <t>XX-PROJ-FI-CA</t>
  </si>
  <si>
    <t>Dummy note</t>
  </si>
  <si>
    <t>Marginal changes to report FSTST_ACCESS_CHECK</t>
  </si>
  <si>
    <t>PCRD: Fehlende Feldbeschreibungen bei BerObjekt F_FCRD_DAT</t>
  </si>
  <si>
    <t>Incorrect translation of transaction in table TABWT</t>
  </si>
  <si>
    <t>XX-TRANSL-JA</t>
  </si>
  <si>
    <t>Translation JA</t>
  </si>
  <si>
    <t>Correction of translation of 'CDPer.'</t>
  </si>
  <si>
    <t>SAPKH60604</t>
  </si>
  <si>
    <t>Incorrect segment for addnl acct assgmt in Asset Accounting</t>
  </si>
  <si>
    <t>Problems with generic object services</t>
  </si>
  <si>
    <t>Problems after implementing SAP Note 1661668</t>
  </si>
  <si>
    <t>IDoc ACLPAY and incorrect tax base amounts</t>
  </si>
  <si>
    <t>BAPI: Information message F5A 007 displayed in dialog box</t>
  </si>
  <si>
    <t>Exception SINGLE_EXIT_MULTIPLY_ACTIVE with BAdI AC_DOCUMENT</t>
  </si>
  <si>
    <t>BAPI: Ledger group not available during validation</t>
  </si>
  <si>
    <t>BAPI: "Plant" field does not exist</t>
  </si>
  <si>
    <t>ECS Reversal Does Not Find Docs Posted to Specific Ledgers</t>
  </si>
  <si>
    <t>ECS Amount Fields Have Wrong Currency Field Reference</t>
  </si>
  <si>
    <t>CVI-&gt; Problem beim mehreren BUKRSs Quellensteuer</t>
  </si>
  <si>
    <t>Field XBLCK not getting synchronized from Vendor to BP.</t>
  </si>
  <si>
    <t>Problem in credit card synchronization from BP to customer</t>
  </si>
  <si>
    <t>BAPI_BUPA_BANKDETAIL_ADD External Bank ID deleted</t>
  </si>
  <si>
    <t>ASSERT condition was violated during customer master update</t>
  </si>
  <si>
    <t>BC-ILM-CDE</t>
  </si>
  <si>
    <t>Context Data Extract</t>
  </si>
  <si>
    <t>Dummy note for internal corrections in ILM area</t>
  </si>
  <si>
    <t>Legal Case: Correction interface ASH_QMEL_RELATIONS_GET_RW</t>
  </si>
  <si>
    <t>DRB: Correction of DRB call for MM_EKKO</t>
  </si>
  <si>
    <t>DRB: Deliveries are missing from the display</t>
  </si>
  <si>
    <t>DRB: Evaluation of VBFA-MJAHR information for material docs</t>
  </si>
  <si>
    <t>DRB: Profit center documents</t>
  </si>
  <si>
    <t>DRB: Correction of relations for purchase requisition</t>
  </si>
  <si>
    <t>DRB: Uniqueness of reference documents</t>
  </si>
  <si>
    <t>RDRBFI00: System variant CUS&amp; cannot be saved</t>
  </si>
  <si>
    <t>BW-BCT: Query log</t>
  </si>
  <si>
    <t>BW-BCT: Limiting extraction messages in the job log</t>
  </si>
  <si>
    <t>BW-BCT: CO-OM DataSource does not extract functional area</t>
  </si>
  <si>
    <t>DataSource 0CO_OM_CCA_8: Activity unit is incorrect</t>
  </si>
  <si>
    <t>BW-BCT-EC</t>
  </si>
  <si>
    <t>BW-BCT-EC-CS</t>
  </si>
  <si>
    <t>Unexpected error message during extraction</t>
  </si>
  <si>
    <t>0FI_GL_40: Memory dump system_no_roll</t>
  </si>
  <si>
    <t>BI extraction: Dump DBIF_RSQL_INVALID_CURSOR</t>
  </si>
  <si>
    <t>0FI_GL_14: Term. MESSAGE_TYPE_X for direct access from BI</t>
  </si>
  <si>
    <t>Extraction by 0COMP_CODE_TEXT terminates due to note 1380527</t>
  </si>
  <si>
    <t>Investment Mmgt.</t>
  </si>
  <si>
    <t>Simplified Reporting: Termination AP100 (TBP1C_NOT_FOUND)</t>
  </si>
  <si>
    <t>RSA7: 2LIS_06_INV - Incorrect entry for AREWR and AREWW</t>
  </si>
  <si>
    <t>BW: Missing partner information for PO from archive</t>
  </si>
  <si>
    <t>0PM_PRM_PLCS_1: Error when packages have same planned date</t>
  </si>
  <si>
    <t>Error message in the application log: No further processing</t>
  </si>
  <si>
    <t>Planning plant (IWERK) as an additional selection criterion</t>
  </si>
  <si>
    <t>0PS_CSH_WBS/NTW/NWA: Wrong assignment of characteristics</t>
  </si>
  <si>
    <t>BADI: Edit statistics data for billing documents</t>
  </si>
  <si>
    <t>Too many classification data is sent to APO</t>
  </si>
  <si>
    <t>Correction of note 1711220</t>
  </si>
  <si>
    <t>CA-CL-CHR</t>
  </si>
  <si>
    <t>Characteristics</t>
  </si>
  <si>
    <t>Dump after characteristic help or characteristic value help</t>
  </si>
  <si>
    <t>DRFOUT timeout issue</t>
  </si>
  <si>
    <t>DIR: An entry created in STXH table when no long text exists</t>
  </si>
  <si>
    <t>User is able to create DIR with version as *</t>
  </si>
  <si>
    <t>CV01N: The button 'Classification' does not work</t>
  </si>
  <si>
    <t>New BadI when changing the status of a document</t>
  </si>
  <si>
    <t>RH:File name of original not used during Assembly Conversion</t>
  </si>
  <si>
    <t>Bad storage category could result in dump</t>
  </si>
  <si>
    <t>DCD: Distributing DIRs with only one original file</t>
  </si>
  <si>
    <t>Performance improvement when retrieving Distribution Log</t>
  </si>
  <si>
    <t>CA-DMS-EAI</t>
  </si>
  <si>
    <t>EAI</t>
  </si>
  <si>
    <t>Checkman errors in DMS</t>
  </si>
  <si>
    <t>Issue with the pop-up to enter characteristic values</t>
  </si>
  <si>
    <t>Unable to link a Functional Location with special characters</t>
  </si>
  <si>
    <t>Char values not displayed when default values not maintained</t>
  </si>
  <si>
    <t>Extra dialog shown when updating the recipient list</t>
  </si>
  <si>
    <t>Output control does not add outputs as expected II</t>
  </si>
  <si>
    <t>Description of Output Type is not changed accordingly</t>
  </si>
  <si>
    <t>Unnötige Aufforderung zum Sichern des Belegs</t>
  </si>
  <si>
    <t>CPE maintainable even if Condition setting does not allow it</t>
  </si>
  <si>
    <t>CheckMan error in CPE-relevant packages in SAP_APPL 606</t>
  </si>
  <si>
    <t>CheckMan error: CPE-relevant packages in SAP_APPL 605, 606</t>
  </si>
  <si>
    <t>Adjustments to extract splitter in DART 2.7</t>
  </si>
  <si>
    <t>Termin. DBIF_RSQL_SQL_ERROR for bkgd job with several views</t>
  </si>
  <si>
    <t>FTWH / FTWY: Blank fields at line end for FIX format</t>
  </si>
  <si>
    <t>FTWN - Dateigröße in Byte nicht korrekt</t>
  </si>
  <si>
    <t>FTWH / FTWY - Meldung XW274 wird unberechtigt ausgegeben</t>
  </si>
  <si>
    <t>FTWH / FTWY - wrong runtime in FTWN</t>
  </si>
  <si>
    <t>FTWY: Selection options are incomplete</t>
  </si>
  <si>
    <t>FTWH / FTWY - dump during creation of files</t>
  </si>
  <si>
    <t>Transaktion FTWL: fehlende Reportüberschrift</t>
  </si>
  <si>
    <t>FTWD - message XW220 due to old extract files in log</t>
  </si>
  <si>
    <t>Copy view: View name field not updated</t>
  </si>
  <si>
    <t>FTWR: Segmentnamen werden nach 10 Stellen abgeschnitten</t>
  </si>
  <si>
    <t>FTWN - unclear message XW256 during deletion of Views</t>
  </si>
  <si>
    <t>Selektion von TXW_MATVAL nicht buchungskreisabhängig</t>
  </si>
  <si>
    <t>FTW1A: Selection of transaction data deactivated</t>
  </si>
  <si>
    <t>FTWY / FTWH - View mit falschem Extrakt erstellt</t>
  </si>
  <si>
    <t>FTWY: Company Code authorization not checked from extracts</t>
  </si>
  <si>
    <t>TXW_MATVAL: Incorrect extraction from MBEW or MBEWH</t>
  </si>
  <si>
    <t>FTWF - fuctionality for ALV layout missing</t>
  </si>
  <si>
    <t>Business Suite Sidepanel</t>
  </si>
  <si>
    <t>CA-GTF-SP-FIN</t>
  </si>
  <si>
    <t>Content for ERP Fin</t>
  </si>
  <si>
    <t>Release Info SAP_APPL</t>
  </si>
  <si>
    <t>CA-GTF-SP-GEN</t>
  </si>
  <si>
    <t>Generic Applications</t>
  </si>
  <si>
    <t>Side panel: Enhancements for Support Package 4</t>
  </si>
  <si>
    <t>Joint Vent. /Prod Sh</t>
  </si>
  <si>
    <t>JV Zyklen: Eingabefeld "Manipulation rule" zu lang (Unicode)</t>
  </si>
  <si>
    <t>JV Zyklen: fehlerhafte Prüfungen/F4-Hilfe, fehlende Felder</t>
  </si>
  <si>
    <t>MDG: Error during data exchange or initial load</t>
  </si>
  <si>
    <t>Systems accepts invalid contact person number</t>
  </si>
  <si>
    <t>MDG-C: Message-Navigation Partner-Funktion</t>
  </si>
  <si>
    <t>MDGC/S: Issues in distribution of partner functions</t>
  </si>
  <si>
    <t>MDG-C/MDG-S: Error in customer vendor integration (CVI)</t>
  </si>
  <si>
    <t>CVI: Standard communication and gender for contact person</t>
  </si>
  <si>
    <t>CCTR, PCTR or CELEM MDGF load (values are partially cut off)</t>
  </si>
  <si>
    <t>Error KBAS_XI_PROXY 078 in P/C Group hierarchy replication</t>
  </si>
  <si>
    <t>Lost ACCOUNT and FRSI texts during MDGF replication</t>
  </si>
  <si>
    <t>Error 'Missing Company Code' in Profit Center replication</t>
  </si>
  <si>
    <t>No additional message for supplier partner function errors</t>
  </si>
  <si>
    <t>MDGS: LFM2 fields BOPNR and XERSR not replicated via service</t>
  </si>
  <si>
    <t>MDG supplier: Deletion Blocked Indicator not replicated</t>
  </si>
  <si>
    <t>CVI: Mandatory partner functions</t>
  </si>
  <si>
    <t>Change pointer for the display article components</t>
  </si>
  <si>
    <t>CAT2: Total hours incorrectly displayed if it exceeds 999,99</t>
  </si>
  <si>
    <t>Dump OBJECTS_NOT_CHARLIKE in 'Find' Function of CAT2</t>
  </si>
  <si>
    <t>CATS: Wrong data type in the interface parameters in EHP5</t>
  </si>
  <si>
    <t>CA-VE</t>
  </si>
  <si>
    <t>SAP Visual Enterprise</t>
  </si>
  <si>
    <t>CA-VE-VWR</t>
  </si>
  <si>
    <t>SAP Visual Enterpris</t>
  </si>
  <si>
    <t>Chip Enhancements, to make them BSSP Compatible</t>
  </si>
  <si>
    <t>RKAZCJ45: Schedule Manager job is closed too many times</t>
  </si>
  <si>
    <t>KSH2: Group with values is deleted from standard hierarchy</t>
  </si>
  <si>
    <t>RKACOR04: Error message MQ311</t>
  </si>
  <si>
    <t>Supplement to SAP Note 545453</t>
  </si>
  <si>
    <t>CO-OM tools: SAP HANA connection: Authorization check</t>
  </si>
  <si>
    <t>Issue After Save New Internal Order</t>
  </si>
  <si>
    <t>CO-OM tools: Connecting SAP HANA to SE16N part 8</t>
  </si>
  <si>
    <t>CO-OM tools: SE16N: RKSE16N_CD_DISPLAY selects too much</t>
  </si>
  <si>
    <t>Group maintenance: SU22 default values for KSH*</t>
  </si>
  <si>
    <t>CO-OM tools: Connecting SAP HANA to SE16N part 9</t>
  </si>
  <si>
    <t>COGM: Versions not reread after parameter change</t>
  </si>
  <si>
    <t>Group maintenance: Authorization G_800S_GSE, part VIII</t>
  </si>
  <si>
    <t>CO-OM tools: Incorrect GUI heading</t>
  </si>
  <si>
    <t>CO-OM tools: Currencies/quantities in ALV display</t>
  </si>
  <si>
    <t>CO-OM-ACT-E</t>
  </si>
  <si>
    <t>Termintn MESSAGE_TYPE_X for CO15 with posting date in future</t>
  </si>
  <si>
    <t>Logical system does not exist when copying a cost center</t>
  </si>
  <si>
    <t>BAPI_COSTCENTER_CHANGEMULTIPLE: Interval gaps merged</t>
  </si>
  <si>
    <t>OKEON: Dump "NO_INTERSECTION" after cost center change</t>
  </si>
  <si>
    <t>KS12: Change document for "Logical system" field</t>
  </si>
  <si>
    <t>KS01: Authorization for template cost center not checked</t>
  </si>
  <si>
    <t>SP4: Erweiterung der manuellen Kostenstellenplanung</t>
  </si>
  <si>
    <t>Incorrect ref. bus. trans. in CO commitment for funds commt</t>
  </si>
  <si>
    <t>Allocations: Errors for cycles with fixed amounts</t>
  </si>
  <si>
    <t>CO-OM-CEL-A</t>
  </si>
  <si>
    <t>FS00: Problms in integrtn between G/L accnts and cst elemnts</t>
  </si>
  <si>
    <t>Incorrect currency translation in COIN from MM (part II)</t>
  </si>
  <si>
    <t>Termination: DBIF_RSQL_INVALID_RSQL for order report</t>
  </si>
  <si>
    <t>Correction to adapt the updates of FPM class (II)</t>
  </si>
  <si>
    <t>KAEP: Line item reporting with SAP HANA: Dump in KSBPN</t>
  </si>
  <si>
    <t>KAEP: Line item reporting with SAP HANA VII</t>
  </si>
  <si>
    <t>CCSS report: Order items not selected</t>
  </si>
  <si>
    <t>KKBC reports: Actual valuation when line items are called</t>
  </si>
  <si>
    <t>Internal order: Object currency from controlling area</t>
  </si>
  <si>
    <t>Internal order:Mode of customer-specific authorization check</t>
  </si>
  <si>
    <t>BAPI_INTERNALORDER_CREATE obj.cl. not trnsfrd fr. order type</t>
  </si>
  <si>
    <t>Internal order: Basic settlement in settlement rule</t>
  </si>
  <si>
    <t>Poor performance of settlement rule - supplement</t>
  </si>
  <si>
    <t>Internal order collective display: No. of orders per block</t>
  </si>
  <si>
    <t>Creating internal order: Warning msg re missng profit center</t>
  </si>
  <si>
    <t>Settlement rule RKSRULE4: Improving performance</t>
  </si>
  <si>
    <t>Exit: CJ42 as access for detailed planning</t>
  </si>
  <si>
    <t>BPFCTRA0: Unjustified message 00 208</t>
  </si>
  <si>
    <t>FREE MEMORY statement in correction of note 1461728 is wrong</t>
  </si>
  <si>
    <t>Settlement of an asset: Clearing lines by online split</t>
  </si>
  <si>
    <t>Settlement to asset reversal: incorrect values in PCA, FI-SL</t>
  </si>
  <si>
    <t>Detail list of settlement of order: Overlapping columns</t>
  </si>
  <si>
    <t>Settlement of investment measure: Incorrect area values</t>
  </si>
  <si>
    <t>Job termination during settlement of projects</t>
  </si>
  <si>
    <t>OHA: Improvement when reading line items</t>
  </si>
  <si>
    <t>REPOSTING: I_LOGNR_INVALID when reversing CO reposting</t>
  </si>
  <si>
    <t>ALLOCATION: GA010 in program RKGALKEU5</t>
  </si>
  <si>
    <t>KE11: System does not display all planning data</t>
  </si>
  <si>
    <t>CKFA: Transferring prod. order cost component split to CO-PA</t>
  </si>
  <si>
    <t>BAPI_COPA_WW_GET_VALUES returns no characteristic values</t>
  </si>
  <si>
    <t>KF 315: The allocation was not cancelled</t>
  </si>
  <si>
    <t>KE28: Message KG 345 not justified</t>
  </si>
  <si>
    <t>KEHA: Sales order item cannot be activated</t>
  </si>
  <si>
    <t>Co HomePage</t>
  </si>
  <si>
    <t>KE28 - asynchronous posting</t>
  </si>
  <si>
    <t>Runtime error RAISE_EXCEPTION with exception PROGRAM_ERROR</t>
  </si>
  <si>
    <t>KEIP: Error R7 024 when generating virtual InfoProvider</t>
  </si>
  <si>
    <t>Technical chg. to master data access in virtual InfoProvider</t>
  </si>
  <si>
    <t>KE30: Archived line items displayed incorrectly II</t>
  </si>
  <si>
    <t>KE30: no line items due to hierarchy error</t>
  </si>
  <si>
    <t>CO-PA-ST</t>
  </si>
  <si>
    <t>KEA5: Message KX647: Field name used twice</t>
  </si>
  <si>
    <t>KEA6: Dump DYNPRO_NOT_FOUND</t>
  </si>
  <si>
    <t>Realignment missing on SAP HANA Database</t>
  </si>
  <si>
    <t>Abbruch in CL_FCOM_HDB_SELECT============CP</t>
  </si>
  <si>
    <t>BADI (Ending inventory valuation) in fallback cycle case</t>
  </si>
  <si>
    <t>COGM: Corrections FCML0 for FI postings</t>
  </si>
  <si>
    <t>Internal error in FORM/FUNCTION CKML_LA_PERIOD_READ_CO</t>
  </si>
  <si>
    <t>Dump during archiving CO_ML_DAT and other errors</t>
  </si>
  <si>
    <t>CKMM: Not possible to change sales order stocks</t>
  </si>
  <si>
    <t>Revaluation in profit center valuation for process cat. BKK</t>
  </si>
  <si>
    <t>Missing cost component split for goods receipt</t>
  </si>
  <si>
    <t>MB04: Error C+ 052 when posting in previous month</t>
  </si>
  <si>
    <t>SIT: Falsche Beträge beim Wareneingang zu Umlagerung</t>
  </si>
  <si>
    <t>CKMLBB: Field overflow when determining FIFO price</t>
  </si>
  <si>
    <t>FCML: Memory overflow when filling the reporting table</t>
  </si>
  <si>
    <t>Material Ledger Drilldown Reporting: Adjustments</t>
  </si>
  <si>
    <t>Missing text for transaction ML13</t>
  </si>
  <si>
    <t>Correction for SAP Note 1617375</t>
  </si>
  <si>
    <t>CKM3: Missing values in cost component view</t>
  </si>
  <si>
    <t>Activity consumption with a value of zero</t>
  </si>
  <si>
    <t>Freight postings with vendor billing documents</t>
  </si>
  <si>
    <t>Error C+ 048 in previous period or previous year</t>
  </si>
  <si>
    <t>Error C+099 during multilevel price determination (ii)</t>
  </si>
  <si>
    <t>MR22 Empty screen for screen variant "All materials"</t>
  </si>
  <si>
    <t>Price release with future price on the basis of the period</t>
  </si>
  <si>
    <t>RKKBSELL: Valuation view as selection criterion</t>
  </si>
  <si>
    <t>CK13N: Cost component view with incorrect lot size unit</t>
  </si>
  <si>
    <t>KKP6 - Origin group is initial in report writer report</t>
  </si>
  <si>
    <t>CK13N: Runtime when reading texts - KKB_UC_02</t>
  </si>
  <si>
    <t>RKKBSELL - Reserves/WIP for display in object currency</t>
  </si>
  <si>
    <t>KKBC_ORD - incorrect master data transaction in line items</t>
  </si>
  <si>
    <t>CRM billing short dumps at insert in COINT_TPOST_IT</t>
  </si>
  <si>
    <t>CO REPORT DATABASE UPDATE in TESTRUN</t>
  </si>
  <si>
    <t>SR: Number of distribution rules- default + autom. generated</t>
  </si>
  <si>
    <t>Incorrect order credit in preliminary costing</t>
  </si>
  <si>
    <t>Enhancement of selection conditions in marking</t>
  </si>
  <si>
    <t>Goods receipt for production order does not credit order</t>
  </si>
  <si>
    <t>VA02: Texts in order are overwritten by costing</t>
  </si>
  <si>
    <t>Message CK2 003 in marking is incomplete</t>
  </si>
  <si>
    <t>Cost estimate: Moving current standard cost estimate</t>
  </si>
  <si>
    <t>ECP: Preassigning Execution Services if one service only</t>
  </si>
  <si>
    <t>ECP: Description in costing model as characteristic</t>
  </si>
  <si>
    <t>CNECP_MAINTAIN: Work center is not updated</t>
  </si>
  <si>
    <t>ECP, PR: No value preassigned for delivery date</t>
  </si>
  <si>
    <t>Easy Cost Planning: Incorrect check for data entry</t>
  </si>
  <si>
    <t>ECP, Execution Service PReq: Sorting the items</t>
  </si>
  <si>
    <t>CKECP, display header data: Del. flag can be changed; dump</t>
  </si>
  <si>
    <t>KKE1: Cost element not ready for input on detail screen</t>
  </si>
  <si>
    <t>Costing: No price for external processing operation</t>
  </si>
  <si>
    <t>CK11N: Short dump BCD_ZERODIVIDE</t>
  </si>
  <si>
    <t>Profit center costing: Incorrect transfer prices determined</t>
  </si>
  <si>
    <t>Enhancement SAPLXCKA: No itemization for raw materials</t>
  </si>
  <si>
    <t>CU34 does not check TIME characteristic</t>
  </si>
  <si>
    <t>Error "VPD 005" You cannot delete partner function X</t>
  </si>
  <si>
    <t>Empty credit cards appearing in sales orders in CRM</t>
  </si>
  <si>
    <t>Error "V1 335" returned after replication of sales order</t>
  </si>
  <si>
    <t>Test data generation for CRM_QM_NOTIF_UPLOAD_PROXY</t>
  </si>
  <si>
    <t>CRM-FM</t>
  </si>
  <si>
    <t>CRM-FM-ACL</t>
  </si>
  <si>
    <t>Accruals</t>
  </si>
  <si>
    <t>Product hierarchy is missing in COPA line item</t>
  </si>
  <si>
    <t>ECC Rebate Accruals posted wrongly to CRM fund usage</t>
  </si>
  <si>
    <t>CRM-IC-ABO</t>
  </si>
  <si>
    <t>Transaction Launcher</t>
  </si>
  <si>
    <t>Unauthorized modification of displayed content in CCMP_RABOX</t>
  </si>
  <si>
    <t>CRM-ISA-BCS</t>
  </si>
  <si>
    <t>Business-to-Consumer</t>
  </si>
  <si>
    <t>No success message appears after change of B2C user details</t>
  </si>
  <si>
    <t>CRM-ISA-MKT</t>
  </si>
  <si>
    <t>Marketing (Recommend</t>
  </si>
  <si>
    <t>B2C Product Recommendation not displayed for Consumers</t>
  </si>
  <si>
    <t>Internet Sales (R/3</t>
  </si>
  <si>
    <t>B2C RFC user has useradmin authorizations</t>
  </si>
  <si>
    <t>CRM-ISA-UM</t>
  </si>
  <si>
    <t>User Management</t>
  </si>
  <si>
    <t>User creation fails with CUA</t>
  </si>
  <si>
    <t>New ADRC field mapping in PI address mapping modules</t>
  </si>
  <si>
    <t>Perfomance issues in Customer credit card code logic</t>
  </si>
  <si>
    <t>Errors in BP to BP Payment card replication</t>
  </si>
  <si>
    <t>SDIMA won't compare 2 address fields CITY_CODE and CHKSTATUS</t>
  </si>
  <si>
    <t>KNVV-ANTLF is reset when connected to CRM version &lt;= 5.0</t>
  </si>
  <si>
    <t>CRM-MD-INB</t>
  </si>
  <si>
    <t>Installed Bases</t>
  </si>
  <si>
    <t>Email added to an individual object not transferred to ERP</t>
  </si>
  <si>
    <t>CRM-MKT-SEG-ATT</t>
  </si>
  <si>
    <t>Attributes</t>
  </si>
  <si>
    <t>Dump while creating RFC filter from ECC.</t>
  </si>
  <si>
    <t>Short Dump: CX_SY_CONVERSION_NO_NUMBER - III</t>
  </si>
  <si>
    <t>BAPI: BAPI_ALM_ORDER_MAINTAIN - DeviceID is not updated</t>
  </si>
  <si>
    <t>Vorabversand für ein zusätzliches Material fehlerhaft</t>
  </si>
  <si>
    <t>Ret. earnings - prior yrs in method chg for prop. consolidtn</t>
  </si>
  <si>
    <t>Unexpected ANI B/S item is used in periodic extract</t>
  </si>
  <si>
    <t>Postings from non-leading New G/L in consolidation</t>
  </si>
  <si>
    <t>Hierarchy not deleted with characteristic</t>
  </si>
  <si>
    <t>GRR2: "Save data" query when exiting definition</t>
  </si>
  <si>
    <t>KE30 - summarization data and reading from archive</t>
  </si>
  <si>
    <t>GRR2: Lines moved by copy of line in a different section</t>
  </si>
  <si>
    <t>Preparations for consolidation: goods receipt</t>
  </si>
  <si>
    <t>FI invoice receipt: Partner profit center goes missing</t>
  </si>
  <si>
    <t>Navigation to transaction KO03 does not work</t>
  </si>
  <si>
    <t>Portal: User status Data is lost when error occurs in order</t>
  </si>
  <si>
    <t>EP-PCT-MAN-MW</t>
  </si>
  <si>
    <t>BP for Mainten. Work</t>
  </si>
  <si>
    <t>EAMS: HUNIT not checked when changing the maintenance plan</t>
  </si>
  <si>
    <t>EAMS: Equipment can be used despite deletion flag</t>
  </si>
  <si>
    <t>WD application QISR_UI_FORM: Default values in trans. SU22</t>
  </si>
  <si>
    <t>SPPR: Short Text for Source of Supply missing</t>
  </si>
  <si>
    <t>Error message exist even after deleting item</t>
  </si>
  <si>
    <t>EHP6-SP03:Outline long text not copied from template</t>
  </si>
  <si>
    <t>Incorrect Error message text in CPPR for Blocked PRs</t>
  </si>
  <si>
    <t>Incorrect error message displayed in single AA</t>
  </si>
  <si>
    <t>Automatic AA active popup for copied outline</t>
  </si>
  <si>
    <t>Few fields can't be edited in SPPR after error message</t>
  </si>
  <si>
    <t>Incorrect F4 search criteria in item basic data</t>
  </si>
  <si>
    <t>Unable to remove G/L account for Parked PR</t>
  </si>
  <si>
    <t>Structure of service outline differs on copying from MDM</t>
  </si>
  <si>
    <t>Unable to save a Parked PR without any changes</t>
  </si>
  <si>
    <t>SOS assignment possible after RFX creation</t>
  </si>
  <si>
    <t>Unchanged items are reprocessed when accepting ORDRSP</t>
  </si>
  <si>
    <t>Outline text gets cleared on clicking 'close'</t>
  </si>
  <si>
    <t>Service Entry Sheet shows wrong status 'Entered'</t>
  </si>
  <si>
    <t>Copy from accounting template not working</t>
  </si>
  <si>
    <t>Dump while Cancel in"Save As Template" in Account Assignment</t>
  </si>
  <si>
    <t>Dump on clicking Edit Long Text button.</t>
  </si>
  <si>
    <t>Dump occurs on clicking 'delete' button</t>
  </si>
  <si>
    <t>Service structure not copied correctly from Catalog in SPPR</t>
  </si>
  <si>
    <t>Short dump in Maintenance order screen of EAM</t>
  </si>
  <si>
    <t>Retiring a fixed asset that has not been carried forward</t>
  </si>
  <si>
    <t>AS02: F4 input help for tax jurisdiction (external system)</t>
  </si>
  <si>
    <t>ANLBZA: Transfer of intervals from main asset number</t>
  </si>
  <si>
    <t>Legacy data transfer for deactivated assets</t>
  </si>
  <si>
    <t>Recalculating depreciation: System does not issue an error</t>
  </si>
  <si>
    <t>Posting with different business area to that in fixed asset</t>
  </si>
  <si>
    <t>ABF1L: Post with reference/inverse posting</t>
  </si>
  <si>
    <t>RAPOST2001: Error displayed even though there is no error</t>
  </si>
  <si>
    <t>FI-AA-AA-H</t>
  </si>
  <si>
    <t>Revaluation</t>
  </si>
  <si>
    <t>RAAUFW02: Creating an area</t>
  </si>
  <si>
    <t>RAAUFW02: Unjustified message APERB023 by revaluation</t>
  </si>
  <si>
    <t>AW01N: Ordinary depreciation revaluation duplicated</t>
  </si>
  <si>
    <t>Determining balnce sheet itms from parallel depreciatn areas</t>
  </si>
  <si>
    <t>Interface Note: Withholding tax line exclusions (correction)</t>
  </si>
  <si>
    <t>Validation errors are not linked to screen elements</t>
  </si>
  <si>
    <t>Uploading,Sorting and Delete issues in attachment section</t>
  </si>
  <si>
    <t>Error message is raised on uploading the documents</t>
  </si>
  <si>
    <t>Change Vendor Sustainability record doesn't work properly</t>
  </si>
  <si>
    <t>Problem with values in filter.</t>
  </si>
  <si>
    <t>FB10: Validation/substitution is not processed</t>
  </si>
  <si>
    <t>EnjoySAP: Baseline date for payment for amount split</t>
  </si>
  <si>
    <t>FB03/ALV grid control: Not all lines displayed</t>
  </si>
  <si>
    <t>FBA7: Acct assignment to real estate object not transferred</t>
  </si>
  <si>
    <t>ENJOY: Amount split reset</t>
  </si>
  <si>
    <t>F110: SEPA one-time mandate / lead times / BTE 1812</t>
  </si>
  <si>
    <t>SEPA: Incorr clearing date for update run without proposal</t>
  </si>
  <si>
    <t>F110: SEPA lead time after mandate change</t>
  </si>
  <si>
    <t>F110: Transfer of earmarked funds from down payment</t>
  </si>
  <si>
    <t>SEPA: Err. during sel. of mandate in maint. of proposal run</t>
  </si>
  <si>
    <t>RFFOBE_I:Payment text not coming in the file correctly</t>
  </si>
  <si>
    <t>Italy Changes for fetching CUP/CIG directly from header text</t>
  </si>
  <si>
    <t>RFFOES_T:Problem with Bank to Bank Transfer for Intercompany</t>
  </si>
  <si>
    <t>RFEBNO00: Incorrect processing of incoming file</t>
  </si>
  <si>
    <t>DMEE: GB_BACS: RTI Info for payroll in the DME file</t>
  </si>
  <si>
    <t>Italy:CUP/CIG Comp Code less than 4 chars not truncated</t>
  </si>
  <si>
    <t>RFFODK_E:Leading zero missing in Bank Account number for CN</t>
  </si>
  <si>
    <t>RFFOBE_I: References of multiple invoices not passed in DME</t>
  </si>
  <si>
    <t>RFFOF__T: Foreign Bank Transfers- date/currency indicator</t>
  </si>
  <si>
    <t>RFEBBECODA00:Partner IBAN not passed for multiple entries</t>
  </si>
  <si>
    <t>RFFOIT_FOR: The value CVA has to be passed in P9 record</t>
  </si>
  <si>
    <t>RFFONZ_T: Error BFIBL02 280 generated during execution</t>
  </si>
  <si>
    <t>DMEE: FI_XML_CT Format support for HR payments also</t>
  </si>
  <si>
    <t>RFEBBECODA00:Issue in upload of Bank file-Skip Globalisation</t>
  </si>
  <si>
    <t>GET_CUP_CIG_BOE_IT: Performance issue while query for BSAD</t>
  </si>
  <si>
    <t>RFFOES_T:Tax code number not populated for Special/Abroad tr</t>
  </si>
  <si>
    <t>RFFONO_T:Records BETFOR21/22 not generated for Domestic Paym</t>
  </si>
  <si>
    <t>Korea:Extensive locking of the table LFB1_KR during Vendor</t>
  </si>
  <si>
    <t>RFFOGB_T: RTI changes for RFFOGB_T for PT20000 format</t>
  </si>
  <si>
    <t>RFFOJP_T: Special char ',' is valid as per ZENGINKYO format</t>
  </si>
  <si>
    <t>RFFOGB_T: No END record in DME file for format 'BACSBOX'</t>
  </si>
  <si>
    <t>DMEE Format: CH_EZAG: Bank Account Number is wrong</t>
  </si>
  <si>
    <t>Italy: DMEE Format SETIF: Reason Code is not correct</t>
  </si>
  <si>
    <t>RFKOPR00/RFKOPR10: Internal adjustments</t>
  </si>
  <si>
    <t>Balance confirmation does not display posting date</t>
  </si>
  <si>
    <t>Batch input: IBAN with account number</t>
  </si>
  <si>
    <t>IBAN not updated for alternative payer</t>
  </si>
  <si>
    <t>Posting split in SAP Notes 1497092 and 1670486 for Lithuania</t>
  </si>
  <si>
    <t>No update of document segment fields in BSIS/BSAS</t>
  </si>
  <si>
    <t>Error F5 858 during split of an invoice in FI</t>
  </si>
  <si>
    <t>Split acc. to SAP Notes 1497092 and 1670486 for Portugal</t>
  </si>
  <si>
    <t>INVOIC: Required entry fields are not filled</t>
  </si>
  <si>
    <t>INVOIC: Tax items missing for acquisition tax</t>
  </si>
  <si>
    <t>Termination APAR_IBAN_SET_VALIDITY_MAXDATE</t>
  </si>
  <si>
    <t>Account holder: Enhancing check for unpermitted characters</t>
  </si>
  <si>
    <t>Vendor &lt;-&gt; customer link</t>
  </si>
  <si>
    <t>Withholding tax data not transferred correctly to BTE</t>
  </si>
  <si>
    <t>Improved F4 help</t>
  </si>
  <si>
    <t>Key fields for table TIBAN incorrect</t>
  </si>
  <si>
    <t>Update termination on changing wtax code for split vendor</t>
  </si>
  <si>
    <t>Field j_1af_wt_repbs not getting updated during F110 run</t>
  </si>
  <si>
    <t>New parameter for badi FWTC_EXEMPTION_CHANGE</t>
  </si>
  <si>
    <t>Dummy Note</t>
  </si>
  <si>
    <t>Certificate Number not generating for WHT Code with 0%</t>
  </si>
  <si>
    <t>US Adobe forms-1099 Misc1 and 1099 MISC</t>
  </si>
  <si>
    <t>US Legal Change 2011- Forms and Files</t>
  </si>
  <si>
    <t>Multiple errors in 1099 electronic file</t>
  </si>
  <si>
    <t>RCT Legal Change - Returns</t>
  </si>
  <si>
    <t>Vendors randomly reported for 1099</t>
  </si>
  <si>
    <t>Bill of Exchange documents reporting wrongly</t>
  </si>
  <si>
    <t>Thailand Withholding Tax Reporting- Additional Submission</t>
  </si>
  <si>
    <t>RFIDYYWT: Incorrect base amount reported for cash discounts</t>
  </si>
  <si>
    <t>RFKQST00: VAT No. not getting reported for portugal</t>
  </si>
  <si>
    <t>IE Legal Change - PART II</t>
  </si>
  <si>
    <t>US WHT Reporting- Correction Indicator in Smartforms</t>
  </si>
  <si>
    <t>US legal change -1099K file format and changes to 1099K Form</t>
  </si>
  <si>
    <t>RFKQST00: Incorrect tax amount if there is partial payment</t>
  </si>
  <si>
    <t>Onetime vendors reporting wrongly if postal code is same</t>
  </si>
  <si>
    <t>IE: Documentation for 2012 legal Change</t>
  </si>
  <si>
    <t>RCT Legal Change-Payment Notification response not updated</t>
  </si>
  <si>
    <t>RFIDYYWT -length of FR_WT_DAS2 incorrect</t>
  </si>
  <si>
    <t>RCT Legal Change 2012 - Multiple contracts</t>
  </si>
  <si>
    <t>RF0KQST5: Withholding tax reported under wrong column</t>
  </si>
  <si>
    <t>FBV2: FDLEV and FDGRP deleted</t>
  </si>
  <si>
    <t>Start pages for Accounts Payable/Accounts Receivable</t>
  </si>
  <si>
    <t>FB70: "Long Text" button in complex posting</t>
  </si>
  <si>
    <t>FINTSHOW: FR 122 - only account types K and D are permitted</t>
  </si>
  <si>
    <t>SAPDBBRF: "Document Segment" in custom sel for archive sel</t>
  </si>
  <si>
    <t>RF*ABL00: CONVT_CODEPAGE runtime error during Excel download</t>
  </si>
  <si>
    <t>FBL1N/FBL5N: Documentation for customer/vendor items</t>
  </si>
  <si>
    <t>RFDOPR00 / RFDOPR10 / RFDOPR20: Internal adjustments</t>
  </si>
  <si>
    <t>SAPDBBRF: Authorization check (315271) for deleted accounts</t>
  </si>
  <si>
    <t>RFDSLD00/RFKSLD00: Internal adjustments</t>
  </si>
  <si>
    <t>RFDABL00/RFKABL00/RFSABL00/RFBABL00: Internal adjustments</t>
  </si>
  <si>
    <t>SAPDBBRF error message "Define a leading ledger"</t>
  </si>
  <si>
    <t>SAPF130D_PDF with subtotals / expiring currencies</t>
  </si>
  <si>
    <t>RFKORI90: Mail body text in unique language not found</t>
  </si>
  <si>
    <t>SAPF130D_PDF: Incomplete printout</t>
  </si>
  <si>
    <t>FI-AR-AR-I</t>
  </si>
  <si>
    <t>RFBIKR00/RFBIDE00 Old files cannot be transferred</t>
  </si>
  <si>
    <t>XBLNR not updated when creating an invoice list</t>
  </si>
  <si>
    <t>Output of payment data RFKKVZ00 and RFDKVZ00</t>
  </si>
  <si>
    <t>FD32: Mail auto forwarding does not work</t>
  </si>
  <si>
    <t>FDK43: Missing values in Due date analysis</t>
  </si>
  <si>
    <t>FI-AR-IS</t>
  </si>
  <si>
    <t>F.30: Incorrect evaluations by Credit control area</t>
  </si>
  <si>
    <t>F.30: Line items not displayed for key date</t>
  </si>
  <si>
    <t>FI12: Field REFZL not ready for input for China</t>
  </si>
  <si>
    <t>Setting FB 759 as an information message</t>
  </si>
  <si>
    <t>Acct statement: MT940: Incorr. doc. date for  change of year</t>
  </si>
  <si>
    <t>Elec. bank statement: Customer namespace for FEB_IMP_STRUCT</t>
  </si>
  <si>
    <t>XML bank statement, for example CAMT053.001.02</t>
  </si>
  <si>
    <t>FF68: No message in case of alternative account currency</t>
  </si>
  <si>
    <t>Print Bank Statement (FF.6): Balances not required</t>
  </si>
  <si>
    <t>Reuse component: Display Bank Statement</t>
  </si>
  <si>
    <t>FBCJ: Recalculation of tax in cash journal</t>
  </si>
  <si>
    <t>FBCJ: Sales order saved without item number</t>
  </si>
  <si>
    <t>FBCJ/down payments: Postings can be made to one-time account</t>
  </si>
  <si>
    <t>FBCJ: Message F5 353 is output incorrectly</t>
  </si>
  <si>
    <t>PMW: Termination with "Country key &amp; has no ISO code"</t>
  </si>
  <si>
    <t>FBZ5: Dump with NO_RATE_FOUND</t>
  </si>
  <si>
    <t>RFFOD__U: SWIFT code on bank transfer form/SEPA</t>
  </si>
  <si>
    <t>DTAUS0: Pymt advice in file even though no pymt advice sent</t>
  </si>
  <si>
    <t>DTAZV: Transit trade: Field V10 should be empty</t>
  </si>
  <si>
    <t>SAPF110R: Deletion of REGUT or FDTA data only</t>
  </si>
  <si>
    <t>Display of archived Adobe PDF payment advice notes</t>
  </si>
  <si>
    <t>Payment advice note by mail: total by mail</t>
  </si>
  <si>
    <t>Display in F110 after FBPM1: Number generated or posted</t>
  </si>
  <si>
    <t>REMADV IDOCs: Message EA 607</t>
  </si>
  <si>
    <t>FCH5: Incorrect error message rejected</t>
  </si>
  <si>
    <t>F111: No check on payments running in parallel</t>
  </si>
  <si>
    <t>F8BT Cross-country bank account transfers</t>
  </si>
  <si>
    <t>Selection Variant Change in F8BU</t>
  </si>
  <si>
    <t>F111: SEPA lead time after mandate change</t>
  </si>
  <si>
    <t>F111: SEPA one-time mandate</t>
  </si>
  <si>
    <t>FCHN: VBLNR not updated for Replacement checks in Check Reg.</t>
  </si>
  <si>
    <t>F-58: Garn history not updated with new check for pmt doc.</t>
  </si>
  <si>
    <t>Optimization of the table authorization check</t>
  </si>
  <si>
    <t>Incorrect segment derivation after "Simulate General Ledger"</t>
  </si>
  <si>
    <t>Incorr. segmt derivation after "Simulate General Ledger" (2)</t>
  </si>
  <si>
    <t>FAGL_ML_ADJUST: Posting is made without business area</t>
  </si>
  <si>
    <t>Reference Date FX Valuation: Wrong Data Element</t>
  </si>
  <si>
    <t>Error message when account with OI management has no MCA key</t>
  </si>
  <si>
    <t>Field overflow when clearing items in foreign currency</t>
  </si>
  <si>
    <t>Error in simulation of document splitting during migration</t>
  </si>
  <si>
    <t>NGLM: Some BAdIs are not displayed for enhancements</t>
  </si>
  <si>
    <t>Unnecessary call of FAGL_SPLINFO_UPDATE in update task</t>
  </si>
  <si>
    <t>Migration of GL Accounting (new) to JVA integration</t>
  </si>
  <si>
    <t>JV Report Writer</t>
  </si>
  <si>
    <t>Difference in entry view and GL view in GL currency</t>
  </si>
  <si>
    <t>MIRO/MIR7: Security retention without account assignment</t>
  </si>
  <si>
    <t>Missing value in general ledger curr. in general ledger view</t>
  </si>
  <si>
    <t>Posting key when clearing items in document currency</t>
  </si>
  <si>
    <t>Error message UO 086 in cash-basis accounting</t>
  </si>
  <si>
    <t>SAPF124: PSWBT in clearing items is incorrect</t>
  </si>
  <si>
    <t>FBR2: RECID not transferred from reference document</t>
  </si>
  <si>
    <t>FIN UI decoupling: SY-TABIX changed</t>
  </si>
  <si>
    <t>Customizing of automatic postings: Incorrect posting item</t>
  </si>
  <si>
    <t>FIN UI decoupling: Error message during simulation of rvrsal</t>
  </si>
  <si>
    <t>FIN UI decoupling: "Calculate Tax" indicator goes missing</t>
  </si>
  <si>
    <t>Performance of method CL_FIN_UI_DECO=&gt;GET_DYNPRO_HEADER_INFO</t>
  </si>
  <si>
    <t>FB03/reversal: Tax date</t>
  </si>
  <si>
    <t>Partner business area field is missing in BSEG_ADD</t>
  </si>
  <si>
    <t>FBRA: F5 538, although financial assets managemnt nt activtd</t>
  </si>
  <si>
    <t>Held document: Termination w/ KE 499 (profitability segment)</t>
  </si>
  <si>
    <t>FIN UI decoupling: Document number assignment with gaps</t>
  </si>
  <si>
    <t>ENJOY: Selection of long text may be incorrect</t>
  </si>
  <si>
    <t>FIN UI decoupling: Runtime error with MESSAGE_TYPE_X</t>
  </si>
  <si>
    <t>FB03/Balance sheet adjustment: Incorrect decimal places</t>
  </si>
  <si>
    <t>FB08: No reversal of FBB1 documents due to F5A 233</t>
  </si>
  <si>
    <t>FI: FIELDS_SPECIAL_BI does not take into account VORNR_AUF</t>
  </si>
  <si>
    <t>FB05L: Selection using HKONT and XBLNR does not work</t>
  </si>
  <si>
    <t>Error if reference fields are to be filled</t>
  </si>
  <si>
    <t>Correction for posting w/ reference for ledger-specific docs</t>
  </si>
  <si>
    <t>FIN UI Decoupling: Storno nicht möglich</t>
  </si>
  <si>
    <t>Monthly submitter only on company code level</t>
  </si>
  <si>
    <t>FAGLL03: 'Timestamp' is not filled</t>
  </si>
  <si>
    <t>FAGLL03: Call using RRI - year and period are incorrect</t>
  </si>
  <si>
    <t>FAGL_GET_ITEMS_BS*S: Fields from BSEG for 'Entry View' sel.</t>
  </si>
  <si>
    <t>Message MSITEM105 for during a migration project (2)</t>
  </si>
  <si>
    <t>FAGLL03: External call w/ selection criterion "Period/Year"</t>
  </si>
  <si>
    <t>FAGL_ACTIVATE_OP: Srch help G/L acct transfers value 'BUKRS'</t>
  </si>
  <si>
    <t>FAGLL03: Authorization check incorrect in case of worklist</t>
  </si>
  <si>
    <t>FI Archiving: Fiscal Year is truncated to single digit</t>
  </si>
  <si>
    <t>FI_ACCOUNT_WRI: Terminates with error GU 167</t>
  </si>
  <si>
    <t>MIRO/MR8M: FF7 11 in Argentinian company code</t>
  </si>
  <si>
    <t>Document with a gap in BSET-TXGRP because of 0 amount items</t>
  </si>
  <si>
    <t>Self-assessed tax: spread entered amount on detail screen</t>
  </si>
  <si>
    <t>Refresh External Tax Data before calculating tax again</t>
  </si>
  <si>
    <t>F5 580 in 2nd/3rd local currency if tax base was changed</t>
  </si>
  <si>
    <t>MIR4 parked document, "Taxes" tab - new SAP EHP upgrade</t>
  </si>
  <si>
    <t>RFUMSV10: Error during cross-company code posting</t>
  </si>
  <si>
    <t>TXGRP incorrect in cross-company code MVA, VVA rows</t>
  </si>
  <si>
    <t>PEO: Incorrect tax base</t>
  </si>
  <si>
    <t>Transaction key chart of accts not defined in table F5118</t>
  </si>
  <si>
    <t>PEO: Output tax is not supported</t>
  </si>
  <si>
    <t>RFASLD20: VAT no. is not always read from master record</t>
  </si>
  <si>
    <t>Tax item is lost if there are debit and credit tax items</t>
  </si>
  <si>
    <t>PEO: Incorrect transaction code is set</t>
  </si>
  <si>
    <t>RFASLDPC: Increasing file name to 60 characters</t>
  </si>
  <si>
    <t>PEO: Message list for tax adjustment program</t>
  </si>
  <si>
    <t>Tax amount is smaller than tax base (FF 747)</t>
  </si>
  <si>
    <t>VATDATE used again in CZ foreign crcy translation for taxes</t>
  </si>
  <si>
    <t>RFIDATAFS HGB_229_1 (outstanding captial) wrong amount</t>
  </si>
  <si>
    <t>RFUMSV50: Several payment requests</t>
  </si>
  <si>
    <t>RFUMSV00: Displays wrong fiscal year for Thailand.</t>
  </si>
  <si>
    <t>RFIDPTFO: Issue with Posting Date and Document Date</t>
  </si>
  <si>
    <t>RFUMSV50 : DPC splitting by original DP</t>
  </si>
  <si>
    <t>F03CMS category reported under RFIDITSR00</t>
  </si>
  <si>
    <t>RFUMSV50: No batch input data for screen SAPLKACB 0002</t>
  </si>
  <si>
    <t>RFIDPL06:Subledger address data not getting filled properly.</t>
  </si>
  <si>
    <t>RFIDESM340:Document Number for Subsibies,Linking of Renting</t>
  </si>
  <si>
    <t>Thailand: Legal change for Tax ID length</t>
  </si>
  <si>
    <t>RFIDITSR12 - Imports and Exports are not displayed on XML</t>
  </si>
  <si>
    <t>BE EVAT 2012: Additional corrections to DMEE-tree</t>
  </si>
  <si>
    <t>Model-347 new Corrections</t>
  </si>
  <si>
    <t>RFUMPT00:Issue with doc with multiple bussiness partner line</t>
  </si>
  <si>
    <t>RFIDITVCL: 3000 Euro Communication additional</t>
  </si>
  <si>
    <t>SAFT-PT: Corrections RSAFT_PT_XML for 2010 (43)</t>
  </si>
  <si>
    <t>SAFT-PT: Corrections RSAFT_PT_XML for 2010 (44)</t>
  </si>
  <si>
    <t>RFIDITBLIST: Italy Black List declaration Additional</t>
  </si>
  <si>
    <t>RFASLD02:Corrections to the note 1678649</t>
  </si>
  <si>
    <t>RFEULIST : Generic Corrections 2012 (1)</t>
  </si>
  <si>
    <t>RFASLD11B:Documents posted on 29th February are not displaye</t>
  </si>
  <si>
    <t>SAFT-PT: Corrections RSAFT_PT_XML for 2010 (45)</t>
  </si>
  <si>
    <t>RFIDLUEVAT: Syntax error after implementing Note 1545742</t>
  </si>
  <si>
    <t>RFASLD15:Documents posted on 29th February are not displayed</t>
  </si>
  <si>
    <t>RFIDITBLIST: Italy Black List 500 Euro limit</t>
  </si>
  <si>
    <t>RFUMSV50: Discount in reversed payment</t>
  </si>
  <si>
    <t>G/L Bank Account ID to be displayed to BOE list Turkey.</t>
  </si>
  <si>
    <t>RFIDTRIVAT: Quantity of a Material is doubled</t>
  </si>
  <si>
    <t>RFIDEUVP :Issues in taxes with multiple movement types</t>
  </si>
  <si>
    <t>RFUMPT00 :Issue with structure of the file.</t>
  </si>
  <si>
    <t>RFASLD12</t>
  </si>
  <si>
    <t>SAFT-PT:Corrections RSAFT_PT_XML for 2010(46)</t>
  </si>
  <si>
    <t>RFUMPT00: Issue with discount in case of credit memo.</t>
  </si>
  <si>
    <t>SAFT-PT:Corrections RSAFT_PT_XML for 2010(47)</t>
  </si>
  <si>
    <t>RFIDPL06:Subledger address data check not working properly.</t>
  </si>
  <si>
    <t>FAGL_FCV: Selection parameter 'Currency' not considered</t>
  </si>
  <si>
    <t>FAGL_DR_PROVISION incorrect D/C indicator if WRBTR EQ 0.</t>
  </si>
  <si>
    <t>RFSUMB00: Overflow in 2nd/3rd local currency amount</t>
  </si>
  <si>
    <t>Incorrect FI balances in the program FAGL_MM_RECON</t>
  </si>
  <si>
    <t>FAGL_FCV: Selection Parameters ignored in Reset Run</t>
  </si>
  <si>
    <t>Error message F5353 issued by FAGL_YEC_POSTINGS_EHP4</t>
  </si>
  <si>
    <t>FAGL_FC_VAL: Remeas. for third LC only if also for second LC</t>
  </si>
  <si>
    <t>newGL allocation: wrong auth. activity checked by test run</t>
  </si>
  <si>
    <t>FAGL_FCV: Reset G/L Balance Valuation - List Display</t>
  </si>
  <si>
    <t>FAGL_FCV: Free selections and Parallel Processing</t>
  </si>
  <si>
    <t>RFBILA00/RFBILA00N: Calling other reports</t>
  </si>
  <si>
    <t>RFSUMB00: Using of FSS0 instead of FS02 for automatic GL acc</t>
  </si>
  <si>
    <t>F.05/FAGL_FC_VAL: Handling residual items (BilMoG)</t>
  </si>
  <si>
    <t>FAGL_MM_RECON/FAGL_ML_ADJUST_INITIAL: ALV corrections</t>
  </si>
  <si>
    <t>newGL Allocation: RW022 error due to not balanced document</t>
  </si>
  <si>
    <t>FAGL_FCV: Negative posting in adjustment postings (XNEGP)</t>
  </si>
  <si>
    <t>RFSUMB00: Incorrect date format in batch input.</t>
  </si>
  <si>
    <t>FAGL_104: Provision includes tax in LC2 and LC3 unlike LC1</t>
  </si>
  <si>
    <t>JVA Integration Recovery Indicatr in the case of FAGL_FC_VAL</t>
  </si>
  <si>
    <t>newGL allocation: ledger group F4 search help missing</t>
  </si>
  <si>
    <t>FAGL_FC_VAL: Valuation run for non-assigned ledger groups</t>
  </si>
  <si>
    <t>FAGL_FC_VAL: Amount Split Gain/Loss in Adjustment Postings</t>
  </si>
  <si>
    <t>newGL allocation: Error message F5 808</t>
  </si>
  <si>
    <t>For. crcy valuation: Enhancing file structure F100FILE</t>
  </si>
  <si>
    <t>F107, Methode 3: Laufzeitproblem beim Bewertungslauf</t>
  </si>
  <si>
    <t>SAPF100: Exchange rate is not displayed correctly</t>
  </si>
  <si>
    <t>BI session contains incorrect initial screen for FB05L</t>
  </si>
  <si>
    <t>Direct input: Exchange rates filled for foreign crcy valuatn</t>
  </si>
  <si>
    <t>Syntax error in include LGL_ACCOUNT_MASTERFI&amp;</t>
  </si>
  <si>
    <t>Error RW 602 for intercompany postings occurs</t>
  </si>
  <si>
    <t>RRICB: Functional area is missing in cc clearing items</t>
  </si>
  <si>
    <t>FAGLCOFITRNSFRCODOCS: "Field AWTYP not filled in table COBK"</t>
  </si>
  <si>
    <t>FBD5: Parking of documents not allowed</t>
  </si>
  <si>
    <t>PRELIMINARY_POSTING_CHECK_ALL: Validation handling</t>
  </si>
  <si>
    <t>FAGL_ACTIVATE_OP: Activation in classic General Ledger Acctg</t>
  </si>
  <si>
    <t>SAPF190: Runtime error CX_SY_IMPORT_FORMAT_ERROR</t>
  </si>
  <si>
    <t>FAGL_ACTIVATE_OP:Changed despite ledger group-specific pstng</t>
  </si>
  <si>
    <t>RFSSLD00: Display Year-End Closing Postings</t>
  </si>
  <si>
    <t>RFBILA00N: Posting period (2)</t>
  </si>
  <si>
    <t>EFS: FSE0_XBRL - Termination if currency type is 00</t>
  </si>
  <si>
    <t>Electronic financial statement: Calc of graduated totals</t>
  </si>
  <si>
    <t>Elec. fin. stmnt: Composite SAP Note for various corrections</t>
  </si>
  <si>
    <t>Electronic F/S: Runtime error UNCAUGHT_EXCEPTION ..</t>
  </si>
  <si>
    <t>Electronic financial statement:Umlauts displayed incorrectly</t>
  </si>
  <si>
    <t>EFS: Of-which items are not displayed correctly</t>
  </si>
  <si>
    <t>NewGL-Drilldown reporting: No authorization check on account</t>
  </si>
  <si>
    <t>GLM_DS: Interference other mig. plans in the item's status</t>
  </si>
  <si>
    <t>Runtime error COMPUTE_BCD_OVERFLOW in new G/L migration</t>
  </si>
  <si>
    <t>FAGL_MIG 139 when assigning the source ledger</t>
  </si>
  <si>
    <t>Archiving in reorganization</t>
  </si>
  <si>
    <t>PRCTR/SEG: Short dump when generating object type AR</t>
  </si>
  <si>
    <t>FIN_GL_REORG_SEG Object type GL should be reassignable</t>
  </si>
  <si>
    <t>PRCTR/SEG: Error 505 for down payment requests</t>
  </si>
  <si>
    <t>Error AIST 009 for account assignments to investment measure</t>
  </si>
  <si>
    <t>FAGL_ASSET_MASTERDATA_UPD: Assets for investment measure</t>
  </si>
  <si>
    <t>BAdI for overwriting the transaction type</t>
  </si>
  <si>
    <t>PRCTR/SEG: Short dump when generating object types AP/AR</t>
  </si>
  <si>
    <t>PRCTR: Error FAGL_REORGANIZATION 533 during reassgmt of AR</t>
  </si>
  <si>
    <t>PRCTR/SEG: Reassignment AP/AP: Unjustified error messages</t>
  </si>
  <si>
    <t>PRCTR: Error - get_object_info in assgd PO for sales order</t>
  </si>
  <si>
    <t>PRCTR: Error 222 while reassigning POA purch.order</t>
  </si>
  <si>
    <t>PRCTR: Error SAPSQL_INVALID_TABLENAME in select_first_level</t>
  </si>
  <si>
    <t>Special Purpose Ledg</t>
  </si>
  <si>
    <t>Syntax error in SAPLGUMD due to T830A</t>
  </si>
  <si>
    <t>Period texts are not displayed</t>
  </si>
  <si>
    <t>Line text: No master record text with interval</t>
  </si>
  <si>
    <t>Decimal places for key figures in Office Integration</t>
  </si>
  <si>
    <t>Text variable: Variation report index</t>
  </si>
  <si>
    <t>FI/CO: Lead column text is not exported</t>
  </si>
  <si>
    <t>RW: Column formula using local cell wrong after upgrade</t>
  </si>
  <si>
    <t>RW: Exported HTML file incorrect</t>
  </si>
  <si>
    <t>RW:Delete prompt appears while report is sent for output.</t>
  </si>
  <si>
    <t>RW: Authorization Check during Report Creation</t>
  </si>
  <si>
    <t>Reportwriter: Data Incomplete in FI-SL reports</t>
  </si>
  <si>
    <t>RW report show high CPU usage in gen_variation_sums</t>
  </si>
  <si>
    <t>Msg GO 009 when EC-PCA report is migrated using FAGL_RMIGR</t>
  </si>
  <si>
    <t>RG102 when generating reports with many rows(RW_SELCTION)</t>
  </si>
  <si>
    <t>Msg GO009 when EC-PCA report is migrated using FAGL_RMIGR(2)</t>
  </si>
  <si>
    <t>OLC: Selection of orders in report painter report Dumps.</t>
  </si>
  <si>
    <t>Master data special txt for FUNC_AREA does not display text</t>
  </si>
  <si>
    <t>RW: Office integration does not work</t>
  </si>
  <si>
    <t>Authorization groups not maintained in TBRG are displayed.</t>
  </si>
  <si>
    <t>RW: Access to archived data III</t>
  </si>
  <si>
    <t>Export in .DAT Format / section layout settings</t>
  </si>
  <si>
    <t>RGUDEL00: Deletion statistics always display "test run"</t>
  </si>
  <si>
    <t>FI-SL-SL-D</t>
  </si>
  <si>
    <t>Reporting/Analysis</t>
  </si>
  <si>
    <t>RGUCOMP4 list: Problems with filter for additional fields</t>
  </si>
  <si>
    <t>GP52N or FAGLGP52N: dump is raised during reading of data.</t>
  </si>
  <si>
    <t>FAGLGP52N - incorrectly summarized reversal</t>
  </si>
  <si>
    <t>GP12N: auth. object K_PCA auth. proposal changed to 'YES'.</t>
  </si>
  <si>
    <t>BAPI: Error 'Field xy missing in structure FIELDLIST'</t>
  </si>
  <si>
    <t>FI-SL-SL-L</t>
  </si>
  <si>
    <t>Table def./Install.</t>
  </si>
  <si>
    <t>Syntax error in include LGLINF91 (program SAPLGLIN)</t>
  </si>
  <si>
    <t>Short dump when generating Report Painter report</t>
  </si>
  <si>
    <t>FI-SL-VSR</t>
  </si>
  <si>
    <t>Validation, Subst.</t>
  </si>
  <si>
    <t>Inconsistency due to validation 0FDM_MI</t>
  </si>
  <si>
    <t>RPR_AIRP_LRS_TO_FI: LARS File Version 2.0 - Minor adjustment</t>
  </si>
  <si>
    <t>RPR_AIRP_LRS_TO_FI: T001-TXKRS active but wrongly created</t>
  </si>
  <si>
    <t>Deadlocks for table PMCO when using transaction PRRW</t>
  </si>
  <si>
    <t>RPRAPA00: Server group SAP_DEFAULT_BTC ignored</t>
  </si>
  <si>
    <t>FB03: blank document is shown when opening the attachment</t>
  </si>
  <si>
    <t>EDX: Adding Sales Order viewing in EDX_LIST report</t>
  </si>
  <si>
    <t>EDX: Modify PDF exception</t>
  </si>
  <si>
    <t>EDX: EDX_LIST cannot park an invoice</t>
  </si>
  <si>
    <t>EDX: Cannot process messages with alphanumeric sender ID</t>
  </si>
  <si>
    <t>EDX: Wrong tax determination in Park/Create Invoice</t>
  </si>
  <si>
    <t>EDX: EDX_LINK is setting the wrong related message reference</t>
  </si>
  <si>
    <t>EDX: Add a Post document option in EDX_LIST context menu</t>
  </si>
  <si>
    <t>EDX: Error messages are not clear in EDX_LIST</t>
  </si>
  <si>
    <t>EDX: Park/Post invoice BAPIRET2 not visible</t>
  </si>
  <si>
    <t>EDX: Add header text info to BAPI call</t>
  </si>
  <si>
    <t>EDX: Better exception handling for TRANSFER call in DATASET</t>
  </si>
  <si>
    <t>FTE_BSM: Authorization checks are missing</t>
  </si>
  <si>
    <t>FTE_BSM: Brazilian bank statements are not selected</t>
  </si>
  <si>
    <t>BankAccountStatementNotification_In: Business partner '*'</t>
  </si>
  <si>
    <t>BNK_MONI: Error message FB603 is incomprehensible</t>
  </si>
  <si>
    <t>Message FZ 116 in case of HR payments in FBPM1</t>
  </si>
  <si>
    <t>FTE_BSM: Error FAGL_LEDGER_CUST023</t>
  </si>
  <si>
    <t>FTE_BSM: "Cash Management Account Name" is incorrect</t>
  </si>
  <si>
    <t>Incorrect values in liquidity forecast</t>
  </si>
  <si>
    <t>FF7A/FF7B: Termination with runtime error CONVT_OVERFLOW</t>
  </si>
  <si>
    <t>RFFVAL10 replaces RFFVAL00 due to poor performance</t>
  </si>
  <si>
    <t>Orders with billing plan are updated incorrectly</t>
  </si>
  <si>
    <t>FF7a/b: Supplmentary note to 613226: Trmntn during drilldown</t>
  </si>
  <si>
    <t>FFA1: Performance problems when comparing payment advices</t>
  </si>
  <si>
    <t>FDM_COLL_SEND_ITEMS: Company code as selection criterion</t>
  </si>
  <si>
    <t>Open item processing: Dump: Displaying resubmissions</t>
  </si>
  <si>
    <t>Dump in case of field changes in various BP roles</t>
  </si>
  <si>
    <t>FDM_COLL_GET_DOCUMENTS: Due date for net payment incorrect</t>
  </si>
  <si>
    <t>Create dispute case: ALV layout incorrect</t>
  </si>
  <si>
    <t>Doc. synchronization: Residual Item Posting in Invoice Curr</t>
  </si>
  <si>
    <t>FIN-FSCM-IHC</t>
  </si>
  <si>
    <t>FSCM In-House Cash</t>
  </si>
  <si>
    <t>FI bnk statement: B2DOC filled but still To be posted status</t>
  </si>
  <si>
    <t>Short dump RAISE EXCEPTION from TBB1 run as background job</t>
  </si>
  <si>
    <t>Upload Query: Incorrect alignment of name &amp; desc. in unicode</t>
  </si>
  <si>
    <t>Definition of moneyness</t>
  </si>
  <si>
    <t>Checkman FINSERV keep open</t>
  </si>
  <si>
    <t>FIN-FSCM-TRM-BF</t>
  </si>
  <si>
    <t>FIN-FSCM-TRM-BF-MD</t>
  </si>
  <si>
    <t>Market Data Manag.</t>
  </si>
  <si>
    <t>TBDM/TBEX: Negative interest rates can not be uploaded</t>
  </si>
  <si>
    <t>CONVT_NO_NUMBER dump after note 1673376</t>
  </si>
  <si>
    <t>JBYC: 360/360 curve Incorrect dates used for calculation</t>
  </si>
  <si>
    <t>TBDM: upload file from PC may not work</t>
  </si>
  <si>
    <t>COMS: IMG "Define User Data", input helps</t>
  </si>
  <si>
    <t>BP_CVI: IBAN goes missng in case of partner obj tool/mini BP</t>
  </si>
  <si>
    <t>BP_CVI: Error 00 058 when creating a vendor business partner</t>
  </si>
  <si>
    <t>Message 67 232 is incorrect</t>
  </si>
  <si>
    <t>No approval workflow if user ID is numeric with leading zero</t>
  </si>
  <si>
    <t>IM34/IM54: Unnecessarily high totaling of plan values</t>
  </si>
  <si>
    <t>KOCO/CJCO: Terminatn AP100 (REMAINING_BUDGET_WITHOUT_GEBER)</t>
  </si>
  <si>
    <t>IS-A-EMM</t>
  </si>
  <si>
    <t>Technische Voraussetzung für Hinweis 1719179</t>
  </si>
  <si>
    <t>BORGR/VL60: Status for packaging items is incorrect</t>
  </si>
  <si>
    <t>Handling units lost in automatic goods receipt</t>
  </si>
  <si>
    <t>BORGR/VL60 Daten des Transports werden nicht weggeschrieben</t>
  </si>
  <si>
    <t>IDoc: HUs are not posted as GR for automatic GR</t>
  </si>
  <si>
    <t>EKES automatic disaggregation: Missing "In Plant" indicator</t>
  </si>
  <si>
    <t>VL60 Gemerkte Anlieferung nicht löschbar</t>
  </si>
  <si>
    <t>VT02N Bruttogewicht wird nicht direkt angezeigt wegen Route</t>
  </si>
  <si>
    <t>EKES automatic disaggregation: "In Plant" indicator missing</t>
  </si>
  <si>
    <t>PAB_DETERMINE_CALLTYPE: call type determination fails</t>
  </si>
  <si>
    <t>PKMC: Unexpected error message PK 231 in mass processing</t>
  </si>
  <si>
    <t>Technical Note for creating enhancements for note 1719330</t>
  </si>
  <si>
    <t>Technical prerequisite for Note 1706349</t>
  </si>
  <si>
    <t>Technical prerequisite for Note 1726856</t>
  </si>
  <si>
    <t>Core enhancement points for note 198285</t>
  </si>
  <si>
    <t>GPD600+: GRM3 generates duplicate records in table GRPGA</t>
  </si>
  <si>
    <t>Core enhancement points for note 1695677</t>
  </si>
  <si>
    <t>BAPI_ALM_ORDER_MAINTAIN: Special stock refurbishment order</t>
  </si>
  <si>
    <t>Technical prerequisite for note 1718539</t>
  </si>
  <si>
    <t>Technical prerequisites in SAP_APPL for note 1694223</t>
  </si>
  <si>
    <t>IS-CWM-MM</t>
  </si>
  <si>
    <t>CWM MM</t>
  </si>
  <si>
    <t>MM02: Error M3 783 when changing valuation unit of measure</t>
  </si>
  <si>
    <t>IS-DFS-LM</t>
  </si>
  <si>
    <t>Line Maintenance</t>
  </si>
  <si>
    <t>EAM notification: Runtime error LOAD_PROGRAM_NOT_FOUND</t>
  </si>
  <si>
    <t>Serial. equipments in logistic processes and distribution</t>
  </si>
  <si>
    <t>Technical prerequisite for SAP Note 1722911</t>
  </si>
  <si>
    <t>IS-OIL-DS-MCO</t>
  </si>
  <si>
    <t>Marketing, Contract</t>
  </si>
  <si>
    <t>SAP_APPL : Technical prerequisite for Note 1719493</t>
  </si>
  <si>
    <t>IS - Retail</t>
  </si>
  <si>
    <t>WSS1: Daten werden immer gespeichert</t>
  </si>
  <si>
    <t>Unit of measure for commodity code not filled</t>
  </si>
  <si>
    <t>Deleting a unit of measure deletes additionals</t>
  </si>
  <si>
    <t>Descriptions for characteristic values missing</t>
  </si>
  <si>
    <t>RWBE: Not all stocks are correct after you choose "Update"</t>
  </si>
  <si>
    <t>MM41: Error M3 407 for val.class that cannot be maintained</t>
  </si>
  <si>
    <t>Missing data for purchasing tax when maint. generic article</t>
  </si>
  <si>
    <t>Incorrect template handling of sales data</t>
  </si>
  <si>
    <t>BAPI/ALE:Incorrect tax data when creating new variants</t>
  </si>
  <si>
    <t>Rack jobber article start date incorrect check</t>
  </si>
  <si>
    <t>WRF_DIS_SEL article with existing stock discontinued</t>
  </si>
  <si>
    <t>Distribution of material groups II</t>
  </si>
  <si>
    <t>Transaction WSS1, message DB655 - Place your cursor on a s</t>
  </si>
  <si>
    <t>Internal error in class CL_WER_ELEMENT</t>
  </si>
  <si>
    <t>WB07: Local assortment, no status change</t>
  </si>
  <si>
    <t>Maintenance planning plant not from reference site</t>
  </si>
  <si>
    <t>IS-R-IFC-AL</t>
  </si>
  <si>
    <t>Assortment List</t>
  </si>
  <si>
    <t>E1WBB01-AENTP has the value 'MULT' instead of 'C+0'</t>
  </si>
  <si>
    <t>IS-R-IFC-MON</t>
  </si>
  <si>
    <t>POS Monitor</t>
  </si>
  <si>
    <t>POS Monitor (WPER) : leading zeros issue</t>
  </si>
  <si>
    <t>WAP1 allows the creation of appointment for incomplete PO.</t>
  </si>
  <si>
    <t>Shipping instruction evaluate button greyed out in MIGO</t>
  </si>
  <si>
    <t>MB01:Deselect the correct tied empty while adopting from PO</t>
  </si>
  <si>
    <t>IS-R-LG-SPV</t>
  </si>
  <si>
    <t>Sales Price Valuat.</t>
  </si>
  <si>
    <t>Memory overflow during automatic revaluation at retail</t>
  </si>
  <si>
    <t>Incorr values in history records for sales price revaluation</t>
  </si>
  <si>
    <t>IS-R-PUR-ADA</t>
  </si>
  <si>
    <t>Automatic DocAdjust.</t>
  </si>
  <si>
    <t>Worklist is not created</t>
  </si>
  <si>
    <t>Missing authorization check when updating in MEI1</t>
  </si>
  <si>
    <t>IS-R-PUR-AHD</t>
  </si>
  <si>
    <t>Alt. Hist. Dat. For.</t>
  </si>
  <si>
    <t>MAHD1: Dump when using BADI to extrat data</t>
  </si>
  <si>
    <t>IS-R-PUR-AL</t>
  </si>
  <si>
    <t>Allocation</t>
  </si>
  <si>
    <t>AT status changes to '4' on delete of last PO item of submi</t>
  </si>
  <si>
    <t>Suppressing MW 493 popup issued on AT Strategy execution</t>
  </si>
  <si>
    <t>WWP1:Incorrect display in ALV print when price in 3 decimals</t>
  </si>
  <si>
    <t>IS-R-PUR-PO</t>
  </si>
  <si>
    <t>Purchase Order</t>
  </si>
  <si>
    <t>ME22n:Final Delivery Indicator not copied to Subitems</t>
  </si>
  <si>
    <t>IS-R-PUR-POF</t>
  </si>
  <si>
    <t>Orders and Contracts</t>
  </si>
  <si>
    <t>WRFAPC02: Releasing purchasing list generates error WU842</t>
  </si>
  <si>
    <t>WVM2: Issue creating IDOC for multiple vendor and plant</t>
  </si>
  <si>
    <t>IS-U</t>
  </si>
  <si>
    <t>Industry-Specific Component Utilities</t>
  </si>
  <si>
    <t>IS-U-MD</t>
  </si>
  <si>
    <t>IS-U-MD-BP</t>
  </si>
  <si>
    <t>Default communication type not replicated for SD customers</t>
  </si>
  <si>
    <t>VL32: Deletion of distributed inbound deliveries</t>
  </si>
  <si>
    <t>Delivery with packaging position not distributed to dec. WMS</t>
  </si>
  <si>
    <t>Delivery dates not updated on ERP</t>
  </si>
  <si>
    <t>No invoice before goods issue for billing relevancy M and N</t>
  </si>
  <si>
    <t>Deliveries created using ME2ON cannot be processed in EWM</t>
  </si>
  <si>
    <t>LE-IEW-RET</t>
  </si>
  <si>
    <t>Returns Process</t>
  </si>
  <si>
    <t>Preliminary document data are not passed to EWM (2)</t>
  </si>
  <si>
    <t>Packing by HU feature proposes DELETED HUs to be used</t>
  </si>
  <si>
    <t>LM02: message LF253 when F3 Back without confirmation</t>
  </si>
  <si>
    <t>LM71: vendor code field not fully displayed in the screen</t>
  </si>
  <si>
    <t>Can't Confirm HU Differences in LM02 destination screen</t>
  </si>
  <si>
    <t>LM12: Clear key still display material stock</t>
  </si>
  <si>
    <t>LM61 and LM71: delivery number and vendor name are truncated</t>
  </si>
  <si>
    <t>LM12: Material number is truncated</t>
  </si>
  <si>
    <t>LM61 : Packing operation not performed after error message</t>
  </si>
  <si>
    <t>Checkman - Various - EhP6 Sp 04</t>
  </si>
  <si>
    <t>VL046: Missing delivery number for cross-delivery TO</t>
  </si>
  <si>
    <t>Warehouse Number on delivery header not filled</t>
  </si>
  <si>
    <t>Short dump while entering pick qty in delivery</t>
  </si>
  <si>
    <t>VL10: Error message VL 595 during delivery creation</t>
  </si>
  <si>
    <t>VLSP: Missing updates in extractor 2LIS_11_V_SSL</t>
  </si>
  <si>
    <t>$ entries in table INOB after batch check in delivery</t>
  </si>
  <si>
    <t>Runtime error DYNPRO_FIELD_CONVERSION w/batch determination</t>
  </si>
  <si>
    <t>Batch search criteria lost for manual batch change</t>
  </si>
  <si>
    <t>Batch search criteria for manual batch change 2</t>
  </si>
  <si>
    <t>VL10: DG checks inactive in collective processing</t>
  </si>
  <si>
    <t>Update termination while creation IBD with subcontr. comp</t>
  </si>
  <si>
    <t>Returns not selected for SIT posting using VLPODL/VLPODQ</t>
  </si>
  <si>
    <t>Incorrect qty conversion for SPED and proportion quantities</t>
  </si>
  <si>
    <t>ME21N: Shipping tabstrip not visible when copying item</t>
  </si>
  <si>
    <t>Error message VL 413 when creating returns delivery from QM</t>
  </si>
  <si>
    <t>SARI / SARE: Error 00064 when displaying from Archive</t>
  </si>
  <si>
    <t>Goods issue date on non working days</t>
  </si>
  <si>
    <t>WHSCON/SHPCON : Multiple post goods receipts for return dly</t>
  </si>
  <si>
    <t>SHPCON/WHSCON: Wrong error message for inbound deliveries</t>
  </si>
  <si>
    <t>SHPCON/WHSCON: Net weight verification deletes net weight</t>
  </si>
  <si>
    <t>Picking output with RVADEK01 are not archived for PDF form</t>
  </si>
  <si>
    <t>VL75: Delivery number not automatically filled</t>
  </si>
  <si>
    <t>OutboundDeliveryCreateRequest_In: Short dump</t>
  </si>
  <si>
    <t>SIT relevancy indicator "3" changeable in transaction VLPOD</t>
  </si>
  <si>
    <t>Error M7096 for SiT posting using IDoc, VLPODQ, or VLPODL</t>
  </si>
  <si>
    <t>LIKP-WADAT_IST overwritten when posting SiT using VLPODL</t>
  </si>
  <si>
    <t>Idoc : HU creation fails because of Aux Packaging Material</t>
  </si>
  <si>
    <t>Lock issue when change mode is switched to display in VT02N</t>
  </si>
  <si>
    <t>Sequencing of EWM notifications and shipment IDoc</t>
  </si>
  <si>
    <t>LE-TRA-FC-DC</t>
  </si>
  <si>
    <t>Delivery Costs</t>
  </si>
  <si>
    <t>Delivery costs incorrect after currency conversion</t>
  </si>
  <si>
    <t>LE-TRA-FC-MD</t>
  </si>
  <si>
    <t>Masta Data</t>
  </si>
  <si>
    <t>Update termination when deleting a scale</t>
  </si>
  <si>
    <t>BAPI_SHIPMENT_CREATE does not fill the Transaction type</t>
  </si>
  <si>
    <t>Email not filled in segment e1adrm1 under E1EDL20</t>
  </si>
  <si>
    <t>Runtime error DYNPRO_SEND_IN_BACKGROUND - SAPLDG60</t>
  </si>
  <si>
    <t>Tranport. plan/proc</t>
  </si>
  <si>
    <t>Error during processing the transportation chain in VT04</t>
  </si>
  <si>
    <t>Wrong Email filled in segment e1adrm1 under E1EDL20</t>
  </si>
  <si>
    <t>Cannot access Picking screen via VT03N</t>
  </si>
  <si>
    <t>No Tracking Detail at Cross HU/Deliveriy</t>
  </si>
  <si>
    <t>VTRKH: Records not removed after changing Forwarding Agent</t>
  </si>
  <si>
    <t>Parcel tracking browser not working at HU level</t>
  </si>
  <si>
    <t>Clearing of differences via LI21 even with no clearing setup</t>
  </si>
  <si>
    <t>Identical selects on delivery tables</t>
  </si>
  <si>
    <t>Transfer order creation fails</t>
  </si>
  <si>
    <t>AB: Account determination error in sett. request list</t>
  </si>
  <si>
    <t>AB: Enhancements for Brazil</t>
  </si>
  <si>
    <t>AB: Wrong address type generate wrong vendor address</t>
  </si>
  <si>
    <t>AB: Mass processing, reversal does not create item data.</t>
  </si>
  <si>
    <t>AB: Selection on Item Data in RWLF2059 not possible</t>
  </si>
  <si>
    <t>AB: Posting w/out tax even though not permitted by G/L acct</t>
  </si>
  <si>
    <t>AB: Syntax of bar code not checked when BAPI is used</t>
  </si>
  <si>
    <t>AB: Classes not displayed in transfer manager search help</t>
  </si>
  <si>
    <t>Country of one-time customer in pricing</t>
  </si>
  <si>
    <t>AB: Missing BAdI method</t>
  </si>
  <si>
    <t>AB: Item number assignment when copying items</t>
  </si>
  <si>
    <t>Agency Business: Missing parameter</t>
  </si>
  <si>
    <t>AB: Duplicate LIS update with cancellation with status H</t>
  </si>
  <si>
    <t>AB: Reference document is not displayed</t>
  </si>
  <si>
    <t>AB: ERDAT missing in OLIABW / RMCENEUB</t>
  </si>
  <si>
    <t>AB: Tax amount must not be larger than tax basis</t>
  </si>
  <si>
    <t>AB: CHIP integration</t>
  </si>
  <si>
    <t>AB: Wrong KOMK parameter in remuneration list pricing</t>
  </si>
  <si>
    <t>AB: Error WS 024, Enter quantity to be billed</t>
  </si>
  <si>
    <t>AB: RWLF9039 with SCMA: Next step in process not called.</t>
  </si>
  <si>
    <t>AB: Performance Creation Remuneration List</t>
  </si>
  <si>
    <t>AB: Zero amount is being posted in FI-CA documents</t>
  </si>
  <si>
    <t>AB: Message WS001 when doing partial reversal of SSR</t>
  </si>
  <si>
    <t>BAPI_CUSTOMEREXPINV_CREATEMUL can not set cond_base value</t>
  </si>
  <si>
    <t>AB: Canceling agency documents</t>
  </si>
  <si>
    <t>AB: Set. status when changing post. part. Rel note 1650150</t>
  </si>
  <si>
    <t>Currency change on manual document input fails</t>
  </si>
  <si>
    <t>AB: CO-PA partner object number is redetermined</t>
  </si>
  <si>
    <t>AB: Contract settlement: Error for documents w/o items</t>
  </si>
  <si>
    <t>AB: Update material ledger and vendor billing documents</t>
  </si>
  <si>
    <t>AB: Rebate with non-deductible input tax</t>
  </si>
  <si>
    <t>AB: F5702 Balance in transaction currency Settl Art. Adj.</t>
  </si>
  <si>
    <t>AB: Update of vendor billing documents in material ledger</t>
  </si>
  <si>
    <t>Missing follow-up activity: Cross-company code returns</t>
  </si>
  <si>
    <t>Dump when you create a credit memo request using MSR_CRD</t>
  </si>
  <si>
    <t>Returns purchase order has incorrect LFU</t>
  </si>
  <si>
    <t>MSR_INSPWH: Incorrect WM message handling</t>
  </si>
  <si>
    <t>Error occurs when saving the inspection results</t>
  </si>
  <si>
    <t>Incompleteness: Navigation to returns screen not possible</t>
  </si>
  <si>
    <t>Using an IDoc to create a billing doc.: Account assignment</t>
  </si>
  <si>
    <t>Returns order is relevant for billing despite CMR</t>
  </si>
  <si>
    <t>Enh. returns: Scrolling causes error in next screen (V0102)</t>
  </si>
  <si>
    <t>ARM: Error when creating CRM complaint</t>
  </si>
  <si>
    <t>LO-ARM-WM</t>
  </si>
  <si>
    <t>MSR_INSPWH: Additional WM transfer orders items created</t>
  </si>
  <si>
    <t>TO creation in background does not work</t>
  </si>
  <si>
    <t>Report RVBDEACT requires additional selection criterion</t>
  </si>
  <si>
    <t>LOBM*NOK: Too many batches selected</t>
  </si>
  <si>
    <t>Order number in the interface of the batch determination</t>
  </si>
  <si>
    <t>? is not shown for characteristic that has blank value</t>
  </si>
  <si>
    <t>Inactive object types are updated</t>
  </si>
  <si>
    <t>Batch history not executable due to authorization problem</t>
  </si>
  <si>
    <t>Documentary batch: Maintain additional fields</t>
  </si>
  <si>
    <t>VL33N: Incorrect documentary batch quantities</t>
  </si>
  <si>
    <t>Documentary batch - delivery - project reference/reservation</t>
  </si>
  <si>
    <t>BAdI VBDOCUBATCH~PROCESS_CHANGE APPLICATION_ID is missing</t>
  </si>
  <si>
    <t>Documentary batches: MIGO entry for inbound deliveries</t>
  </si>
  <si>
    <t>MIGO: Batch master is not created for documentary batch</t>
  </si>
  <si>
    <t>Documentary batches: Customizing not determined correctly</t>
  </si>
  <si>
    <t>Incorrect check of Multibatch functionality after EhP5</t>
  </si>
  <si>
    <t>Error message BA235 if archiving write program is executed</t>
  </si>
  <si>
    <t>Incorrect display of description for revision level</t>
  </si>
  <si>
    <t>EWB: Program termination after deletion from browser</t>
  </si>
  <si>
    <t>WBS BOM for Web UI I</t>
  </si>
  <si>
    <t>EWB: Error during component assignment in phantom assemblies</t>
  </si>
  <si>
    <t>EWB: Change number in protected period</t>
  </si>
  <si>
    <t>CPCC_S_TASK_LIST_MAINTAIN: No component assignment</t>
  </si>
  <si>
    <t>WBS BOM for Web UI II</t>
  </si>
  <si>
    <t>WBS BOM for Web UI III</t>
  </si>
  <si>
    <t>WBS BOM for Web UI IV</t>
  </si>
  <si>
    <t>EWB: Characteristic cannot be deleted</t>
  </si>
  <si>
    <t>LO-GEN</t>
  </si>
  <si>
    <t>Generic Cross Application Components</t>
  </si>
  <si>
    <t>LO-GEN-EMF</t>
  </si>
  <si>
    <t>Incorrect Sales Net Price in Material View</t>
  </si>
  <si>
    <t>Incorrect Vendor Info Record shown in Sales Material View</t>
  </si>
  <si>
    <t>Material View, no price shown in Vendor Data</t>
  </si>
  <si>
    <t>Blank Screen for material create - Enhanced Material Search</t>
  </si>
  <si>
    <t>EMS: Create Material takes back to start screen</t>
  </si>
  <si>
    <t>LO-GT-CHB</t>
  </si>
  <si>
    <t>Charge Back</t>
  </si>
  <si>
    <t>CHB: Short dump when posting goods receipt w/o PO reference</t>
  </si>
  <si>
    <t>New BADI for Integration of IS-OIL Logic in GTM</t>
  </si>
  <si>
    <t>ABAP Dump during delete decentral HUs</t>
  </si>
  <si>
    <t>HUDIALOG 304 while HUCANC of HU goods issued for PO</t>
  </si>
  <si>
    <t>HUINV03 : Negative entry count allowed</t>
  </si>
  <si>
    <t>LO-HU-AP</t>
  </si>
  <si>
    <t>Automatic Packing</t>
  </si>
  <si>
    <t>Dump at automatic packing in delivery creation</t>
  </si>
  <si>
    <t>HU supplements fields not set on ERP side</t>
  </si>
  <si>
    <t>BAPI_HU_REPACK issues unnecessary error message</t>
  </si>
  <si>
    <t>PI mapping errors when returing ERP number to SAP Sourcing</t>
  </si>
  <si>
    <t>ExtensionIn information not adopted when adjusting contract</t>
  </si>
  <si>
    <t>TMS connection of synchronous document scheduling</t>
  </si>
  <si>
    <t>Business Function ERP - TM Integration 2</t>
  </si>
  <si>
    <t>TM inb. error 'Location xxx (type 1050) does not exist'</t>
  </si>
  <si>
    <t>Output type TRS0: No shipping for free orders</t>
  </si>
  <si>
    <t>TMS connection of synchronous document scheduling - Exit</t>
  </si>
  <si>
    <t>Documentation: Corrections in System Longtexts</t>
  </si>
  <si>
    <t>Status object missing on inspection lot</t>
  </si>
  <si>
    <t>Commodity Management: Info Popup for Buss.Funct. Activation</t>
  </si>
  <si>
    <t>Problems when calculating raw exposure for goods receipt</t>
  </si>
  <si>
    <t>LITRMS doesn't take adjustment conditions into account</t>
  </si>
  <si>
    <t>Date for note not determined completely</t>
  </si>
  <si>
    <t>Default macro executed twice in Sales &amp; Operations Planning</t>
  </si>
  <si>
    <t>LO-LIS-REP</t>
  </si>
  <si>
    <t>A dialog box in the LIS is not scrollable</t>
  </si>
  <si>
    <t>Internal project number for BOM changes</t>
  </si>
  <si>
    <t>Unicode conversion in tables LFA1, KNA1 and KNVK</t>
  </si>
  <si>
    <t>Field EXRT of segment E1KNATM is too small</t>
  </si>
  <si>
    <t>ALE - Fields from E1KNATM are not integrated properly</t>
  </si>
  <si>
    <t>OV51: No changes returned if only General data is checked</t>
  </si>
  <si>
    <t>Replication from CRM aborts with FB 013 error</t>
  </si>
  <si>
    <t>Create with ref.customer does not fill KNVV-BOIDT</t>
  </si>
  <si>
    <t>'Other Mobile Telephone Numbers' inactive for contact</t>
  </si>
  <si>
    <t>Enable sequencing for Customer IDOC's for usage with ByD</t>
  </si>
  <si>
    <t>Data loss during synchronisation of a new contact person</t>
  </si>
  <si>
    <t>Foreign key checks done on Type of Business and Industry - 2</t>
  </si>
  <si>
    <t>Address international versions not read</t>
  </si>
  <si>
    <t>GET_DATA method does not return all data correctly</t>
  </si>
  <si>
    <t>Synchronisation of one deleted bank might delete all banks</t>
  </si>
  <si>
    <t>Business address for contact person not created - 2</t>
  </si>
  <si>
    <t>ALE - Error raised while deleting a bank account</t>
  </si>
  <si>
    <t>MM_SPSTOCK: Unnecessary locks during archiving of batches</t>
  </si>
  <si>
    <t>Missing change information when calling BTE 1250</t>
  </si>
  <si>
    <t>General item category group is not proposed</t>
  </si>
  <si>
    <t>MM01: Incorrect entries generated in table MOFF</t>
  </si>
  <si>
    <t>Indicator assignment for GR processing time field</t>
  </si>
  <si>
    <t>MMBE: Jump to stock/requirements list is incorrect</t>
  </si>
  <si>
    <t>BAPI/ALE: Error MG 045 when updating table MBEW</t>
  </si>
  <si>
    <t>Incorrect output of message MM 326 for profit center change</t>
  </si>
  <si>
    <t>MBEW_XKLAS: Incorrect check of valuation class</t>
  </si>
  <si>
    <t>General packaging subscreen is not hidden</t>
  </si>
  <si>
    <t>BD10: Send more than 999,999 materials</t>
  </si>
  <si>
    <t>Dump in function module EAN_VERIFY_CHECKDIGIT for 1 digit</t>
  </si>
  <si>
    <t>MM01: Not enough entries generated in table MOFF</t>
  </si>
  <si>
    <t>MM_SPSTOCK: Unnecessary locks when archiving stocks</t>
  </si>
  <si>
    <t>Incorr. qty conversion for char. value = 0 for product UoM</t>
  </si>
  <si>
    <t>Recursion for special procurement type not found</t>
  </si>
  <si>
    <t>Incorrect project stock check when switching division</t>
  </si>
  <si>
    <t>LO-MD-PC</t>
  </si>
  <si>
    <t>Product Catalog</t>
  </si>
  <si>
    <t>Message W+ 401 displayed when deleting catalog variants.</t>
  </si>
  <si>
    <t>Variant article linked to incorrect higher level article</t>
  </si>
  <si>
    <t>Internal error: SAPLWLYM LWLYMF08 685 Inform SAP hotline</t>
  </si>
  <si>
    <t>WAK5: Termination when updating the price activation</t>
  </si>
  <si>
    <t>Adding field in db table wale to mark the deletion of entry</t>
  </si>
  <si>
    <t>Reason for blocking displayed in WAK1</t>
  </si>
  <si>
    <t>Bonus Buy synced line items have zero default sales price</t>
  </si>
  <si>
    <t>Generated promotion numbers are not utilized</t>
  </si>
  <si>
    <t>WSP4 : Error message WM 234</t>
  </si>
  <si>
    <t>Global Trade contract: Calculation procedure is lost</t>
  </si>
  <si>
    <t>No pricing worklist in case of "New with reference"</t>
  </si>
  <si>
    <t>Checks in the BAdI CALC_ITEM_POST_CHECK are not considered</t>
  </si>
  <si>
    <t>Promotion sales prc. deactivation:'Hole' in validity periods</t>
  </si>
  <si>
    <t>BAPI_RPC_CALCULATE_PRICES saves final price as 0.00</t>
  </si>
  <si>
    <t>Condition types not found for reference distribution channel</t>
  </si>
  <si>
    <t>Content of list field PVGRD disappears in WRF_PPW03</t>
  </si>
  <si>
    <t>Retail promotion: Incorrect purchasing currency</t>
  </si>
  <si>
    <t>SAPLWVK4: Runtime error OBJECTS_OBJREF_NOT_ASSIGNED</t>
  </si>
  <si>
    <t>Obsolete LOOP in LIPW1F18</t>
  </si>
  <si>
    <t>Incorrect description for special stock in RIMMSF00</t>
  </si>
  <si>
    <t>UII missing in IDoc SHP_IBDLV_SAVE_REPLICA04</t>
  </si>
  <si>
    <t>Restricted Functionality in Multiple Selection for UII</t>
  </si>
  <si>
    <t>LO-MDS-AL</t>
  </si>
  <si>
    <t>Sell from date updated when changed in header of Allocation</t>
  </si>
  <si>
    <t>WF10: Message W#508 not consistent when vendor entered first</t>
  </si>
  <si>
    <t>WF40: Incorrect authorization check on distribution center</t>
  </si>
  <si>
    <t>Product Data Management</t>
  </si>
  <si>
    <t>BOM browser: Long runtime for workbench display</t>
  </si>
  <si>
    <t>CC04: Valid task list objects are not displayed</t>
  </si>
  <si>
    <t>BOM browser: BOM is not found</t>
  </si>
  <si>
    <t>POI upload: Incorrect scheduled dates for planned orders</t>
  </si>
  <si>
    <t>Service Parts Management</t>
  </si>
  <si>
    <t>Reset In Yard: no ASN update in SNC</t>
  </si>
  <si>
    <t>Error message /SPE/INBVAL019 while PGR for inbound delivery</t>
  </si>
  <si>
    <t>Performance improvement in the environment of VL60/BORGR</t>
  </si>
  <si>
    <t>Dump Division by 0 (type P) for outbound deliv. chg. frm EWM</t>
  </si>
  <si>
    <t>Inbound delivery items not relevant for EWM, but GM relevant</t>
  </si>
  <si>
    <t>Error message /SPE/VL108 for delivery creation in VL60/BORGR</t>
  </si>
  <si>
    <t>Error msg.VL216 for inbound dely GR with aux. packaging matl</t>
  </si>
  <si>
    <t>Packing transaction called when deliv. completed ind. set</t>
  </si>
  <si>
    <t>Error VL602 occurs while processing messages from EWM</t>
  </si>
  <si>
    <t>PO with multiple inbound dlv. : EGR not created</t>
  </si>
  <si>
    <t>Missing return posting w/ 642 in the case of qty differences</t>
  </si>
  <si>
    <t>VL60: Fields for foreign trade data cannot be initialized</t>
  </si>
  <si>
    <t>Delivery with packag. items not distributed (SPE_INB_VL_MM)</t>
  </si>
  <si>
    <t>Rounding problems for confirmation from EWM</t>
  </si>
  <si>
    <t>Batch split items (SPED) cannot be packed for HU stor. loc.</t>
  </si>
  <si>
    <t>VL602 when replacing an inb.dely with zero quantity from EWM</t>
  </si>
  <si>
    <t>Additional confirmation prompt for correction note 1614770</t>
  </si>
  <si>
    <t>SPED does not create inbound delivery: Message VL562</t>
  </si>
  <si>
    <t>Inbound delivery with missing preceding doc. can be created</t>
  </si>
  <si>
    <t>HUs received in ERP without batch numbers</t>
  </si>
  <si>
    <t>BAPI_OUTB_DELIVERY_CHANGE sequence of items</t>
  </si>
  <si>
    <t>Route not determined correctly</t>
  </si>
  <si>
    <t>No handling unit output in posting change delivery</t>
  </si>
  <si>
    <t>Reversal of replenishment delivery not possible</t>
  </si>
  <si>
    <t>Cross delivery HUs status prevents goods movement posting</t>
  </si>
  <si>
    <t>Incorrect delivery type determination during CDOD</t>
  </si>
  <si>
    <t>INTERNAL ERROR in purchasing document for MILL configuration</t>
  </si>
  <si>
    <t>Item incorrectly displayed as changed</t>
  </si>
  <si>
    <t>BAPI/IDoc: CU 013 NOT_ALL_INPUT_DATA_PROCESSED</t>
  </si>
  <si>
    <t>Replacing class node with EXIT_SAPLCUD0_002</t>
  </si>
  <si>
    <t>Long runtime when reading configurations</t>
  </si>
  <si>
    <t>Valuation of numeric characteristics using BAPI or IDoc</t>
  </si>
  <si>
    <t>Performance in IDOC/BAPI with multilevel configuration</t>
  </si>
  <si>
    <t>Changes recognized despite display mode</t>
  </si>
  <si>
    <t>Incompleteness log configuration</t>
  </si>
  <si>
    <t>Error message C1821 for characteristics w/ specifed interval</t>
  </si>
  <si>
    <t>Characteristic value assignment with language settings</t>
  </si>
  <si>
    <t>No inconsistency message for characteristics</t>
  </si>
  <si>
    <t>C1801 when changing condition value</t>
  </si>
  <si>
    <t>Comparing using the report RCU_COMPARE_CONFIGURATIONS</t>
  </si>
  <si>
    <t>Inpt help char. list jumps to beginning after valuation</t>
  </si>
  <si>
    <t>Numeric value cannot be selected using F4</t>
  </si>
  <si>
    <t>Scrolling with setting "With Values, One Cha. per Page"</t>
  </si>
  <si>
    <t>LO-VC-CLN</t>
  </si>
  <si>
    <t>Class Nodes</t>
  </si>
  <si>
    <t>Buffering low level class search</t>
  </si>
  <si>
    <t>LO-VC-CPR</t>
  </si>
  <si>
    <t>Configuration Profil</t>
  </si>
  <si>
    <t>Dump when processign a CNPMAS IDoc</t>
  </si>
  <si>
    <t>Termination with "No profile with name ... was found"</t>
  </si>
  <si>
    <t>Runtime error ASSERTION_FAILED in CUDB_TMS_CONTINUE</t>
  </si>
  <si>
    <t>Withdrawing an instantiation</t>
  </si>
  <si>
    <t>Change indicators of individual instances</t>
  </si>
  <si>
    <t>Dump MESSAGE_TYPE_X with C1 061 on the result screen</t>
  </si>
  <si>
    <t>Dump ASSERTION_FAILED in method UPDATE_BASIC_DATA_BUFFER</t>
  </si>
  <si>
    <t>MDM_CLNT_EXTR: Extended Withholding Tax for Customers</t>
  </si>
  <si>
    <t>Different currencies for company codes in same country</t>
  </si>
  <si>
    <t>ERP accelerator for materials management</t>
  </si>
  <si>
    <t>RM07MARCS correction to the enhancement spots</t>
  </si>
  <si>
    <t>BAPI_GOODSMVT_GETITEMS: additional selection parameter</t>
  </si>
  <si>
    <t>GR with movement type 103 triggers error M7 018</t>
  </si>
  <si>
    <t>MSC2N: Stock inconsistency after status change</t>
  </si>
  <si>
    <t>Deletion flag for batch set incorrectly at plant level</t>
  </si>
  <si>
    <t>MIGO/MB21: Plant is missing for derivation of prof.segmt</t>
  </si>
  <si>
    <t>MB1B/MIGO: KE396 for goods issue for stock transport order</t>
  </si>
  <si>
    <t>MB01/MIGO: Error message AAPO 169 for reversal movement type</t>
  </si>
  <si>
    <t>MAA2: MB01/MIGO Err message AAPO169 for reversal movmt type</t>
  </si>
  <si>
    <t>OMC1: Number range - Goods receipt/issue slip - F4 problems</t>
  </si>
  <si>
    <t>MM-IM-GF-MB</t>
  </si>
  <si>
    <t>MB_CREATE_GOODS_MOVE</t>
  </si>
  <si>
    <t>IO 304 for return delivery via delivery</t>
  </si>
  <si>
    <t>SLED&amp;WM active non-batch material req SLED entry during GI</t>
  </si>
  <si>
    <t>Supplying vendor not filled consistently in MM document</t>
  </si>
  <si>
    <t>BAPI_GOODSMVT_CREATE: No error M7264 for quantity 0</t>
  </si>
  <si>
    <t>MAA2 error M7 599 during return delivery GR with BAPI</t>
  </si>
  <si>
    <t>MAA2: Error AAPO 169 when cancelling goods receipt for asset</t>
  </si>
  <si>
    <t>MAA2: MIGO : Error F5808, business area is missing</t>
  </si>
  <si>
    <t>MAA2: Delivery costs: Missing exchange rate differences</t>
  </si>
  <si>
    <t>WE03: PDF goods receipt/issue slip for consumable material</t>
  </si>
  <si>
    <t>MM-IM-GF-QTYC</t>
  </si>
  <si>
    <t>Static Quantity Chec</t>
  </si>
  <si>
    <t>M7022 when releasing GR blocked stock to special stock</t>
  </si>
  <si>
    <t>M7022 for release and return delivery of GR blocked stock</t>
  </si>
  <si>
    <t>MB5K: Incorrect check for authorization for material type</t>
  </si>
  <si>
    <t>MB5T: Displaying incorrect F1 documentation for blocked POs</t>
  </si>
  <si>
    <t>Message M7483 for movement type 417 and 418</t>
  </si>
  <si>
    <t>MIGO:Exchange rate differences not generated for cancell.</t>
  </si>
  <si>
    <t>MM-IM-GI-RS</t>
  </si>
  <si>
    <t>Goods Issue f. Reser</t>
  </si>
  <si>
    <t>MB1A: Incorrect default quantity in unit of entry</t>
  </si>
  <si>
    <t>MIGO: Export or import data is not posted</t>
  </si>
  <si>
    <t>MIGO: Batch for valuated goods receipt blocked stock</t>
  </si>
  <si>
    <t>MB0A for outbound del. w/reference to HU: M7 064 - No items</t>
  </si>
  <si>
    <t>MIGO: CHARG and UMCHA incorrect for stock transfer in SiT</t>
  </si>
  <si>
    <t>MRN9: Long runtime due to access to table MBEWH</t>
  </si>
  <si>
    <t>Balance sheet valuation: Long runtime due to access to MBEWH</t>
  </si>
  <si>
    <t>MRN3: Price 0 is not updated</t>
  </si>
  <si>
    <t>Error M8019 while sending PDF form through External send-FAX</t>
  </si>
  <si>
    <t>MR11: Error log: Purchase order number missing for M8147</t>
  </si>
  <si>
    <t>MR11SHOW: ABAP runtime error 'GETWA_NOT_ASSIGNED'</t>
  </si>
  <si>
    <t>BAPI_GRIRDOC_CANCEL: Document is not cancelled</t>
  </si>
  <si>
    <t>BAPI_GRIRDOC_CANCEL: Incorrect values in ML currency</t>
  </si>
  <si>
    <t>SOA: SLIN error package OPS_SE_IV</t>
  </si>
  <si>
    <t>MM-IV-GF-PERF</t>
  </si>
  <si>
    <t>MIRO/MIR7: Performance beim Erfassen eines RE-Belegs</t>
  </si>
  <si>
    <t>MM-IV-INT-AC</t>
  </si>
  <si>
    <t>MIRO: Qty conversion in base unit of measure (ACCTIT-MENGE)</t>
  </si>
  <si>
    <t>MM-IV-INT-CO</t>
  </si>
  <si>
    <t>MIRO: Missing CO update for sales order</t>
  </si>
  <si>
    <t>MIRO: tax tab with redundant wrong entry with 0 tax</t>
  </si>
  <si>
    <t>MIRO: Error message FF747 when entering tax manually</t>
  </si>
  <si>
    <t>Indicator: Goods Items/Delivery Costs/Both</t>
  </si>
  <si>
    <t>Scrolling w/multiple allocation (ref. to purchase orders)</t>
  </si>
  <si>
    <t>CheckMan error of the class LCL_MRM_TM_SERVICES</t>
  </si>
  <si>
    <t>Dump when trying to do a GR/IR clearing using OAA</t>
  </si>
  <si>
    <t>MIRO: Error message F5701 for security retention</t>
  </si>
  <si>
    <t>MIRO: Error message M8_2031 during down payment clearing</t>
  </si>
  <si>
    <t>MIRO: Error message FF711 with multiple account assignment</t>
  </si>
  <si>
    <t>MIRO: Error message M8 504 without quantity check</t>
  </si>
  <si>
    <t>MIRO: You cannot complete condition changes</t>
  </si>
  <si>
    <t>MIRO: ESR data is deleted</t>
  </si>
  <si>
    <t>MIRO: Correction indicator for differential invoice</t>
  </si>
  <si>
    <t>Planned delivery costs - multiple account assignment button</t>
  </si>
  <si>
    <t>MIRO: Error messages for credit memo and MAA</t>
  </si>
  <si>
    <t>MIRO: Balance error F5702 for "Tax Calculation"</t>
  </si>
  <si>
    <t>MIR7: Program term. SAPSQL_ARRAY_INSERT for subsequent debit</t>
  </si>
  <si>
    <t>MIRO: Debit/credit indicator for security retention</t>
  </si>
  <si>
    <t>MIRO: "Service Type" field too long</t>
  </si>
  <si>
    <t>MIR4: Error message M8_2 205</t>
  </si>
  <si>
    <t>MIR4: Error messwage M8_2205 for purchase order for service</t>
  </si>
  <si>
    <t>Text 'position is fully delivered' is outputed incorrectly</t>
  </si>
  <si>
    <t>Print option disabled for Adobe output in Webdynpro appl.</t>
  </si>
  <si>
    <t>Delivered quantity incorrectly displayed in Adobe output</t>
  </si>
  <si>
    <t>Reading the price information</t>
  </si>
  <si>
    <t>FIP: No user-defined order types in distribution list</t>
  </si>
  <si>
    <t>Runtime error GETWA_NOT_ASSIGNED in article status monitor</t>
  </si>
  <si>
    <t>Maintenance of the regular vendor in the article settings</t>
  </si>
  <si>
    <t>PL: Forecast quantity consumed incorrect</t>
  </si>
  <si>
    <t>DL: Not all stock transport orders display</t>
  </si>
  <si>
    <t>ME22N: Functional Area cleared although active in FM</t>
  </si>
  <si>
    <t>MAA: Wrong calculation of share of account line vs item</t>
  </si>
  <si>
    <t>ME22N - AM 250 Address error when creating new items</t>
  </si>
  <si>
    <t>Unexpected integration SA lines after GR</t>
  </si>
  <si>
    <t>BAPI_PO_CHANGE: SC components not adjusted in SAP APO</t>
  </si>
  <si>
    <t>ARCHIVE: MMPUR_ARCHIVE_EBAN_PMORDER no file written</t>
  </si>
  <si>
    <t>Release Documentation Cleared in MM_EKKO Preprocessing</t>
  </si>
  <si>
    <t>Displaying archived purchase order data: Confirmations</t>
  </si>
  <si>
    <t>ME44: Attachments are not available in RFQ</t>
  </si>
  <si>
    <t>MECCM: Upload of free text items without description</t>
  </si>
  <si>
    <t>PR screen closes abruptly while adding services from catalog</t>
  </si>
  <si>
    <t>MECCM: Missing items and messages when uploading data</t>
  </si>
  <si>
    <t>Wrong Funded Program used when creating PO from Requisition</t>
  </si>
  <si>
    <t>CPE term reference condition, problem when posting invoice</t>
  </si>
  <si>
    <t>Purchase Order: currency fields not updated before archiving</t>
  </si>
  <si>
    <t>ME2DP displays purchase orders that are not released</t>
  </si>
  <si>
    <t>ME2DP: Cancelling down payment request is ignored</t>
  </si>
  <si>
    <t>ME2DP: Quick info text is truncated</t>
  </si>
  <si>
    <t>ME2DP: Total of down payment displays twice the value</t>
  </si>
  <si>
    <t>ME2DP: Quick info for red traffic light is too short</t>
  </si>
  <si>
    <t>Down payment at header level incorrect</t>
  </si>
  <si>
    <t>MIRO: Down payment clearing not possible</t>
  </si>
  <si>
    <t>Workflow not triggered for parked order acknowledgements</t>
  </si>
  <si>
    <t>Cancel item with ORDRSP results in status 52 rather than 53</t>
  </si>
  <si>
    <t>CCM: Error in conditions when closing central contract</t>
  </si>
  <si>
    <t>ME 062 error when replicating contract from SRM to ERP</t>
  </si>
  <si>
    <t>PurchaseOrderERPRequest_Out_V1: Delivery priority not mapped</t>
  </si>
  <si>
    <t>DA300 error while replicating contract in ERP</t>
  </si>
  <si>
    <t>Conditions in central contract can only be displayed once</t>
  </si>
  <si>
    <t>Syntax Error in CL_SE_PUR_PRERPREQUEST MAP_ITEM_XI_TO_ERP</t>
  </si>
  <si>
    <t>Sourcing SOA failes on SRM side</t>
  </si>
  <si>
    <t>POERPRON: PO Confirmation triggers PO XML output</t>
  </si>
  <si>
    <t>PurchaseRequestERPSourcingRequest: Account Assignment Cat.</t>
  </si>
  <si>
    <t>Central Contract Mgmt: New distr. not transferred to ERP</t>
  </si>
  <si>
    <t>PurchaseOrderERPRequest_V1: Not able to create PO on hold</t>
  </si>
  <si>
    <t>SRM Sourcing information not updated in ERP PReq item</t>
  </si>
  <si>
    <t>CCM: MEOUT 006 Conversion factor could not be determined</t>
  </si>
  <si>
    <t>APPL_COMMON 000 The content of the field Item-ID is too long</t>
  </si>
  <si>
    <t>Enterprise search: Search in long texts in purchasing docs</t>
  </si>
  <si>
    <t>Enterprise search: Search for vendor addresses</t>
  </si>
  <si>
    <t>MIGO: Incorrect posting</t>
  </si>
  <si>
    <t>MIRO: Incorrect data posted for delivery costs</t>
  </si>
  <si>
    <t>MIR4: Update Termination in ME_UPDATE_AGREEMENT_LIV</t>
  </si>
  <si>
    <t>MIRO: No access to conditions</t>
  </si>
  <si>
    <t>STO Delivery quantity decreased when processing overage</t>
  </si>
  <si>
    <t>Sorting of PO history incorrect with STO</t>
  </si>
  <si>
    <t>MEDRUCK: Incorrect sorting for scale conditions for contract</t>
  </si>
  <si>
    <t>Partner change is not allowed in purchasing document</t>
  </si>
  <si>
    <t>ME364 when using CPD vendor in purchasing documents</t>
  </si>
  <si>
    <t>ME2J: TXJCD not populated in Accounting subview (ALV)</t>
  </si>
  <si>
    <t>CONVT_OVERFLOW dump in list display ME2L and ME3M</t>
  </si>
  <si>
    <t>Short dump BCD_FIELD_OVERFLOW while changing PR in ME52N</t>
  </si>
  <si>
    <t>ME2ON: Mvt type 542 creates dely w incorr. dely type</t>
  </si>
  <si>
    <t>GETWA_NOT_ASSIGNED when posting GR via VL32N for SC PO</t>
  </si>
  <si>
    <t>Abortion when creating a APO Subcontracting PReq</t>
  </si>
  <si>
    <t>ME2SCRAP: Different Results when providing a Plant ID or not</t>
  </si>
  <si>
    <t>Field selection control not sufficient for purchasing docs</t>
  </si>
  <si>
    <t>ME 083 'Enter Order Unit' for Material Group item</t>
  </si>
  <si>
    <t>BAPI: BAPI_CONTRACT_CREATE UOM not taken from interface.</t>
  </si>
  <si>
    <t>OBJECTS_OBJREF_NOT_ASSIGNED for Sched. Agreement BAPI</t>
  </si>
  <si>
    <t>BAPI_CONTRACT_CHANGE: GETWA_NOT_ASSIGNED is raised</t>
  </si>
  <si>
    <t>Service/Material item price not filled in Central Contract</t>
  </si>
  <si>
    <t>ME85/ME86: Performance</t>
  </si>
  <si>
    <t>ME59N aborts with RAISE_EXCEPTION in CL_HANDLE_MANAGER_MM</t>
  </si>
  <si>
    <t>Error message when entering a reference afterwards</t>
  </si>
  <si>
    <t>Vendor not validated while converting hold PO to normal PO</t>
  </si>
  <si>
    <t>ME22N: wrong EBELP linked to PR item</t>
  </si>
  <si>
    <t>ME21N: Purchase Order relevance for Differential Invoicing</t>
  </si>
  <si>
    <t>Messages created with BAPI context not cleared</t>
  </si>
  <si>
    <t>Held PO cannot be saved after deleting item with error</t>
  </si>
  <si>
    <t>Error when changing from single to multi accounting lines</t>
  </si>
  <si>
    <t>ME 006 in RETURN with different inconsistent assignment</t>
  </si>
  <si>
    <t>Derivation check when PO is sent from SAP SRM to SAP ERP</t>
  </si>
  <si>
    <t>RAISE_EXCEPTION when PO change is sent from SRM to ERP</t>
  </si>
  <si>
    <t>ME21N:Func Area deleted if entered manually on AA table view</t>
  </si>
  <si>
    <t>ARM: Returns Item is open for changes</t>
  </si>
  <si>
    <t>ME21N: TRTYP is not being transferred to GTS</t>
  </si>
  <si>
    <t>CPPR: PO generation only with document type NB possible</t>
  </si>
  <si>
    <t>BBP_ES_ERP_INT 013: Saving of PO possible</t>
  </si>
  <si>
    <t>Wrong down payment amount calculated with deleting item</t>
  </si>
  <si>
    <t>header texts not copied from template into PO</t>
  </si>
  <si>
    <t>CJ20N: SRM Contract not assigned to PReq</t>
  </si>
  <si>
    <t>CO01: Wrong Revision Level in Purchase Requisition</t>
  </si>
  <si>
    <t>RM06BZ00: Inappropriate selection of Framework Requisitions</t>
  </si>
  <si>
    <t>Agreement document category not cleared after source reset</t>
  </si>
  <si>
    <t>No update happened when executing BAPI_PR_CHANGE</t>
  </si>
  <si>
    <t>BAPI_PR_CREATE: Release date is not transferred</t>
  </si>
  <si>
    <t>Inconsistent multiple accounting data in Purch. Requisition</t>
  </si>
  <si>
    <t>MM_CCM 019 when Source of Supply is assigned to a PReq item</t>
  </si>
  <si>
    <t>MM-PUR-SQ-SLI</t>
  </si>
  <si>
    <t>Source List</t>
  </si>
  <si>
    <t>ME32K allows to maintain duplicate source list entires</t>
  </si>
  <si>
    <t>Corrections to Customizing in Business Process Workflow</t>
  </si>
  <si>
    <t>No error message appears when item with zero quantity added</t>
  </si>
  <si>
    <t>Catalog page remains open after transfer of items</t>
  </si>
  <si>
    <t>The Price per unit field is not getting populated correctly.</t>
  </si>
  <si>
    <t>GL AC field ask for entry everytime clicked</t>
  </si>
  <si>
    <t>ME11: check on external number range missing</t>
  </si>
  <si>
    <t>MEB7: BTE is not called</t>
  </si>
  <si>
    <t>Park &amp; Hold: Error messages issued repeatedly in SRV doc's.</t>
  </si>
  <si>
    <t>ML81N: Not able to accpet the Entry Sheet from SUS</t>
  </si>
  <si>
    <t>LOG_EAM_OLC enabled disables Operation and Order fields</t>
  </si>
  <si>
    <t>Error Messages pops up on adding services from the catalog.</t>
  </si>
  <si>
    <t>Park &amp; Hold: Error messages issued repeatedly in SRV docs</t>
  </si>
  <si>
    <t>OAA is not working for service entry sheet</t>
  </si>
  <si>
    <t>ML81N: 'ServiceAcknowledgementERPNotification_Out' message</t>
  </si>
  <si>
    <t>PCERPRequest_In_V1: Missing End Date within Condition record</t>
  </si>
  <si>
    <t>CCM: Performance during central contract replication</t>
  </si>
  <si>
    <t>ML81N: 'ServiceAcknowledgementERPNotification_Out'</t>
  </si>
  <si>
    <t>MM-SRV: Err.mess. M7226 during acceptance posting</t>
  </si>
  <si>
    <t>MAA2: New struct for GR pstng with MAA for PO for ext srvcs</t>
  </si>
  <si>
    <t>PLM-WUI-RCP</t>
  </si>
  <si>
    <t>Recipe Development</t>
  </si>
  <si>
    <t>PLM-WUI-RCP-RCP</t>
  </si>
  <si>
    <t>Recipe</t>
  </si>
  <si>
    <t>Web UI program termination in CS_ITM_CHECK in recipe</t>
  </si>
  <si>
    <t>Displayed characteristics do not match layout</t>
  </si>
  <si>
    <t>Call horizon in days - Correction interface</t>
  </si>
  <si>
    <t>Call horizon in days - correction for 1675417</t>
  </si>
  <si>
    <t>0PM_ORDER_STATUS - Parameter check - FULL update</t>
  </si>
  <si>
    <t>0PM_OBJ_STATUS - FULL upload - Delta FIELD UTMS</t>
  </si>
  <si>
    <t>New switch concept for improvements in PM/EAM</t>
  </si>
  <si>
    <t>Dist. of maintenance plan orders generates too many IDocs</t>
  </si>
  <si>
    <t>CL_EAM_MAINTPLNSCHEDRC - log error code handling</t>
  </si>
  <si>
    <t>Distribution of equipments generates too many IDocs</t>
  </si>
  <si>
    <t>Equipment and Technical Objects</t>
  </si>
  <si>
    <t>Permit is not assigned when creating equipment via copy</t>
  </si>
  <si>
    <t>Division in equipment is lost during FL inheritance</t>
  </si>
  <si>
    <t>Permit is not assigned when copying functional location</t>
  </si>
  <si>
    <t>Link object is displayed in internal format</t>
  </si>
  <si>
    <t>PM-IS</t>
  </si>
  <si>
    <t>Incorr. or missing costs of orders w/ operation acct assgmt</t>
  </si>
  <si>
    <t>MPLAN_BADI_HEADER_SAVE delivered with SAP-internal use flag</t>
  </si>
  <si>
    <t>CustConn EAM: Dialog box despite changes to strategy header</t>
  </si>
  <si>
    <t>IA05: Fields are hidden in user data screen of opr. detail</t>
  </si>
  <si>
    <t>IA09 : Different TL_EXTID shown for same tasklist</t>
  </si>
  <si>
    <t>WCM: Fehler bei der Suchhilfe zum Systemstatus</t>
  </si>
  <si>
    <t>WCM: Freischaltabwicklung wird nicht aktiviert</t>
  </si>
  <si>
    <t>EAM CC 2: Fehlerhafte Darstellung im Belegfluss</t>
  </si>
  <si>
    <t>Corrections in document flow of plant maintenance order</t>
  </si>
  <si>
    <t>Transaktion CM25 - Kapazitätsableich: Fehlermeldung BS 001</t>
  </si>
  <si>
    <t>IW38: Assembly is not updated during mass change of order</t>
  </si>
  <si>
    <t>IW21: User data fields are overlapping after note 1370099</t>
  </si>
  <si>
    <t>Message POP-UP when BAPI_ALM_NOTIF_TASK_COMPLETE is called</t>
  </si>
  <si>
    <t>BUS2007: Implementation for the method ExistenceCheck</t>
  </si>
  <si>
    <t>IW22: Unable to assign a PM/CS order to a PM/CS notification</t>
  </si>
  <si>
    <t>Warning when PM-Notification is assigned to Order in batch</t>
  </si>
  <si>
    <t>Partner eingabebereit bei abgeschlossener Meldung</t>
  </si>
  <si>
    <t>Notification gets an incorrect ORAS even without link</t>
  </si>
  <si>
    <t>F4 help button for person responsible field is not viewable</t>
  </si>
  <si>
    <t>IW32: Short dump when displaying Account Assignment tab</t>
  </si>
  <si>
    <t>IW32: Required quantity is incorrect for Var. size item</t>
  </si>
  <si>
    <t>IW32: Operation Calculation key is incorrect</t>
  </si>
  <si>
    <t>IW31 : Short dump when the Service order is created</t>
  </si>
  <si>
    <t>IW32: Unable to accept service qoutation in order</t>
  </si>
  <si>
    <t>EAM CC 2: Vorbereitungen für Webdynpro-Anpassungen</t>
  </si>
  <si>
    <t>Correction: "Document assignments for maintenance order"</t>
  </si>
  <si>
    <t>Fehler bei Pflege von OAA-Aufträgen</t>
  </si>
  <si>
    <t>IW31: Runtime error RAISE_EXCEPTION, NO_LIST</t>
  </si>
  <si>
    <t>BAPI_ALM_ORDER_MAINTAIN: IW 477 is not issued I</t>
  </si>
  <si>
    <t>Verweise im Langtext der Meldung IW 216 nicht korrekt</t>
  </si>
  <si>
    <t>EAM Auftrag : Reiter "Plandaten" wird nicht angezeigt</t>
  </si>
  <si>
    <t>/mrss/plbosrv: Message IW 006 despite filled planning plant</t>
  </si>
  <si>
    <t>Displaying originals in IW3* does not always work</t>
  </si>
  <si>
    <t>IW32: Unnecessary prompt message when changing operation</t>
  </si>
  <si>
    <t>Baintenance estimated cost in OAA orders using BAPI</t>
  </si>
  <si>
    <t>BAPI berücksichtigt Meldung 06 041 aus dem MM nicht</t>
  </si>
  <si>
    <t>IW32: You get abort error C2327 when you open a PM order</t>
  </si>
  <si>
    <t>EAM order: Requirement prioritization not carried out</t>
  </si>
  <si>
    <t>BAPI: Part to be discontinued cannot be changed</t>
  </si>
  <si>
    <t>IWBK: GR status indicator is set incorrectly</t>
  </si>
  <si>
    <t>Operation Field Mandatory when limits are used in purchasing</t>
  </si>
  <si>
    <t>KD 205: Maintain the settlement rule of the sender</t>
  </si>
  <si>
    <t>Runtime error 'MESSAGE_TYPE_X' when deleting operations</t>
  </si>
  <si>
    <t>OAA-Auftrag: Dumps MESSAGE_TYPE_X, DYNPRO_FIELD_CONVERSION</t>
  </si>
  <si>
    <t>BADI_OLC_SETTL_RULE_DET_OPR Abrechnungsprofil nicht änderbar</t>
  </si>
  <si>
    <t>Infomeldung 'ERP_CO_OLC_E047' bei Freigabe OAA-Auftrag</t>
  </si>
  <si>
    <t>Operation account assignment: Settlement performance</t>
  </si>
  <si>
    <t>Dump when printing shop papers</t>
  </si>
  <si>
    <t>IW33 : Not all the characteristic values are printed</t>
  </si>
  <si>
    <t>Unable to print jobcard</t>
  </si>
  <si>
    <t>PM-WOC-MO-PUR</t>
  </si>
  <si>
    <t>No purchase requisition is created from EAM order</t>
  </si>
  <si>
    <t>Temporäre Bestellanforderungsnummer '#'</t>
  </si>
  <si>
    <t>Dispositionsrelevanz von Aufarbeitungsaufträgen änderbar</t>
  </si>
  <si>
    <t>Duplicate assembly order for sales order</t>
  </si>
  <si>
    <t>CN02: Object dependency will be saved with change number</t>
  </si>
  <si>
    <t>PKBC: Kanban corresponding Inbound Deliveries not reduced</t>
  </si>
  <si>
    <t>Status change of blocked kanban triggers replenishment</t>
  </si>
  <si>
    <t>PK13N: Number of blocked kanbans is always shown as zero</t>
  </si>
  <si>
    <t>PK11: User specific parameter selection setting not saved</t>
  </si>
  <si>
    <t>PP-KAB-KPB</t>
  </si>
  <si>
    <t>KANBAN Board</t>
  </si>
  <si>
    <t>After cancellation correction, message contains a zero line</t>
  </si>
  <si>
    <t>PK13N: Supply area description missing in tabular display</t>
  </si>
  <si>
    <t>CO11N: kanban status not updated on performing Goods receipt</t>
  </si>
  <si>
    <t>POP2: incorrect control cycle displayed on scrolling</t>
  </si>
  <si>
    <t>Confirmation from MES: No update on batch reservation</t>
  </si>
  <si>
    <t>Production order distribution generates too many IDocs</t>
  </si>
  <si>
    <t>Unnecessary database accesses in material doc. distribution</t>
  </si>
  <si>
    <t>Unnecessary database accesses in planned order distribution</t>
  </si>
  <si>
    <t>MD67 deletes the PBIM-OPLKZ indicator</t>
  </si>
  <si>
    <t>Performance in VA01/VA01 - ATP against planning material (2)</t>
  </si>
  <si>
    <t>Performance in VA01/VA01 - ATP against planning material 3</t>
  </si>
  <si>
    <t>MD61/MD62: incorrect requirement type gets saved</t>
  </si>
  <si>
    <t>Char. values displayed incorrectly in planning profile</t>
  </si>
  <si>
    <t>Exception 62: Planned Order Start Date beyond Sched. Horizon</t>
  </si>
  <si>
    <t>Release order from blocked stock is MRP-relevant</t>
  </si>
  <si>
    <t>PP-MRP-BD</t>
  </si>
  <si>
    <t>MD25: Unable to create planning calendar due to error 61060</t>
  </si>
  <si>
    <t>Incorrect field labels for data element NAFKZ and NOMAT</t>
  </si>
  <si>
    <t>Poor performance during BOM creation</t>
  </si>
  <si>
    <t>MD04/MD05: Consumption values are not displayed</t>
  </si>
  <si>
    <t>MD04: Wrong planning calendar used for period totals</t>
  </si>
  <si>
    <t>Error 61062 not generated - Planned order wrongly saved</t>
  </si>
  <si>
    <t>MD04: System dumps when Cross Plant View selected.</t>
  </si>
  <si>
    <t>MD4C: Incomplete order report for a sales order</t>
  </si>
  <si>
    <t>Error CC852 when converting planned into production order</t>
  </si>
  <si>
    <t>Incorrect configuration for material varaints</t>
  </si>
  <si>
    <t>MRP deletes SA schedule in not MRP-relevant storage location</t>
  </si>
  <si>
    <t>Same planned delivery time despite different vendors</t>
  </si>
  <si>
    <t>Options not taken into account/Web UI locking product. vers.</t>
  </si>
  <si>
    <t>PP-PI-MD-PRV</t>
  </si>
  <si>
    <t>Production Version</t>
  </si>
  <si>
    <t>C223: Runtime Error CONV_OVERFLOW</t>
  </si>
  <si>
    <t>COPAWA HUSELECT009 'No handling units for required objects'</t>
  </si>
  <si>
    <t>Screen size conflict in transaction COPI</t>
  </si>
  <si>
    <t>Orders remain locked after printing</t>
  </si>
  <si>
    <t>CFB: Manufacture date is not displayed correctly</t>
  </si>
  <si>
    <t>Downport of new functionalities in OPM</t>
  </si>
  <si>
    <t>Authority check for allocation</t>
  </si>
  <si>
    <t>Wrong measurement status in the Allocation Pre processing</t>
  </si>
  <si>
    <t>downport from ebs to ee6</t>
  </si>
  <si>
    <t>Planning table does not pick the actual allocation results</t>
  </si>
  <si>
    <t>Repetitive Manufacturing</t>
  </si>
  <si>
    <t>MFBF: Delivered quantity in planned order is wrongly updated</t>
  </si>
  <si>
    <t>Dump with runtime error TABLE_INVALID_INDEX in MF42N</t>
  </si>
  <si>
    <t>MFBF: Performance problem during BOM explosion</t>
  </si>
  <si>
    <t>MF50: Date conv. not possible during planned order conv.</t>
  </si>
  <si>
    <t>No batch created in the production plant in collective order</t>
  </si>
  <si>
    <t>Deletion flag/Completion: Performance problems</t>
  </si>
  <si>
    <t>PPARCHP1: Less orders are processed than specified</t>
  </si>
  <si>
    <t>Incorrect display of operations in graphic after deletion</t>
  </si>
  <si>
    <t>Error in creating a purchase requisition during order copy</t>
  </si>
  <si>
    <t>EWM: Dump when displaying or canceling confirmation</t>
  </si>
  <si>
    <t>Runtime error RAISE_EXCEPTION "DUPREC"</t>
  </si>
  <si>
    <t>Dump SAPSQL_ARRAY_INSERT_DUPREC for confirmation</t>
  </si>
  <si>
    <t>COGI permits mass deletion of storage locations</t>
  </si>
  <si>
    <t>Pick list: Dump DBIF_RSQL_INVALID_RSQL</t>
  </si>
  <si>
    <t>Pick list: Selection using the WBS element</t>
  </si>
  <si>
    <t>BAPI_PRODORDCONF_GET_TT_PROP proposes wrong Goods Mov.data</t>
  </si>
  <si>
    <t>Backflushing of variable-size items: Rounding</t>
  </si>
  <si>
    <t>CORU_PHANT_REDUCT: Dump TSV_TNEW_BLOCKS_NO_ROLL_MEMORY</t>
  </si>
  <si>
    <t>CO21: No message for missing authorization</t>
  </si>
  <si>
    <t>COOIS: No display of planning ID for planned orders</t>
  </si>
  <si>
    <t>COIS_SELECT_ORDER_DATA_READ - Incomplete data</t>
  </si>
  <si>
    <t>F4 help for output device: Unexpected result</t>
  </si>
  <si>
    <t>Runtime error COMPUTE_FLOAT_ZERODIVIDE in SAPLCOMK</t>
  </si>
  <si>
    <t>Wrong WBS element when booking consumption in TC CO27.</t>
  </si>
  <si>
    <t>Sorting for missing parts overview incorrect</t>
  </si>
  <si>
    <t>PCNF/CNF PP order: No message for component with RGEKZ</t>
  </si>
  <si>
    <t>Order split: No automatic batch creation in child order</t>
  </si>
  <si>
    <t>Revision level in the purchase requisition</t>
  </si>
  <si>
    <t>PPM-PRO</t>
  </si>
  <si>
    <t>Project Management</t>
  </si>
  <si>
    <t>PPM-PRO-EXT</t>
  </si>
  <si>
    <t>Connection to External Systems</t>
  </si>
  <si>
    <t>PPM-PRO-EXT-FIN</t>
  </si>
  <si>
    <t>Accounting Integrati</t>
  </si>
  <si>
    <t>Error when transferring cPro to Easy Cost Planning (ECP)</t>
  </si>
  <si>
    <t>(MM)ME38: Inconsistent entries in tables COFP &lt;-&gt; EKET</t>
  </si>
  <si>
    <t>(FI)FB08: Stornobuchungsbeleg hat einen anderen Werttyp</t>
  </si>
  <si>
    <t>Actual Dates and Forecast work removed during cancel confirm</t>
  </si>
  <si>
    <t>Dump in authority check of overall planning</t>
  </si>
  <si>
    <t>PS-CRP-WFP</t>
  </si>
  <si>
    <t>Workforce Planning</t>
  </si>
  <si>
    <t>CMPC:Converting date into user-dependent format</t>
  </si>
  <si>
    <t>CJ29:Incorrect longtext displayed for the project in CJ20N</t>
  </si>
  <si>
    <t>Confluence note</t>
  </si>
  <si>
    <t>CJI3N: Enhancement for line item reporting with SAP HANA</t>
  </si>
  <si>
    <t>CJBN: incorrectly calculatied Assigned value</t>
  </si>
  <si>
    <t>ADPMPS: Maintenance orders at the incorrect place</t>
  </si>
  <si>
    <t>Wrong hierarchy selecting by network if OAA is switched on</t>
  </si>
  <si>
    <t>CN47: Kundenauftrags-Informationen falsch/nicht vorhanden</t>
  </si>
  <si>
    <t>PSIS: Saving a selection version in PS-overviews dumps</t>
  </si>
  <si>
    <t>CN41N: wrong hierarchy if there are deletion-flagged objects</t>
  </si>
  <si>
    <t>Collective Assignment of WBS to Grouping WBS is not saved</t>
  </si>
  <si>
    <t>Parameter effectivity:Cannot maintain individual values</t>
  </si>
  <si>
    <t>Message 'No Errors' appears on saving the changed material</t>
  </si>
  <si>
    <t>OCI: Incorrect Item number when a new component is added</t>
  </si>
  <si>
    <t>Message CN714 occurs for configurable materials in CJ20N</t>
  </si>
  <si>
    <t>Cannot add Outline agreement in BAPI_NETWORK_COMP_ADD</t>
  </si>
  <si>
    <t>DP93: Period can be changed</t>
  </si>
  <si>
    <t>IW32: Not able to accept the quote from a CU order</t>
  </si>
  <si>
    <t>DP80: "Quotation Created" status is not set in service order</t>
  </si>
  <si>
    <t>Ergebnisermittlung (Meth. 14, 15): Parallele Herstellkosten</t>
  </si>
  <si>
    <t>CJ02: Missing button for F4 help for user field USR02</t>
  </si>
  <si>
    <t>WBS element not displayed correctly after archiving</t>
  </si>
  <si>
    <t>PS-Text not shown correctly</t>
  </si>
  <si>
    <t>Status comb code update runtime performance improvement</t>
  </si>
  <si>
    <t>Interface to External Project Software</t>
  </si>
  <si>
    <t>BAPI_PROJECT_MAINTAIN triggers information message</t>
  </si>
  <si>
    <t>Dump in BAPI_NETWORK_MAINTAIN</t>
  </si>
  <si>
    <t>Milestone:Short text Tab name displayed in EN for DE logon</t>
  </si>
  <si>
    <t>Short dump on external network creation</t>
  </si>
  <si>
    <t>Automatic Substitution:Message JA037 appears many times</t>
  </si>
  <si>
    <t>Flexible Screen: Shorttext screen is not displayed</t>
  </si>
  <si>
    <t>CN22:Short text Tab name displayed in EN for DE logon</t>
  </si>
  <si>
    <t>CJ20N:Activity elements are not copied after maximum limit</t>
  </si>
  <si>
    <t>Status I0029 allows change of dates on activity elements</t>
  </si>
  <si>
    <t>PS-ST-NET-TMP</t>
  </si>
  <si>
    <t>Standard Network</t>
  </si>
  <si>
    <t>CN02:Message CN133 when same PS-Text assigned to activity</t>
  </si>
  <si>
    <t>CJ20N: Material is not displayed after toggle from PPB</t>
  </si>
  <si>
    <t>Error-message CNACL_MSG_CL028 displayed but status is set</t>
  </si>
  <si>
    <t>Flexible Screen:Activity creation shows blank tabs</t>
  </si>
  <si>
    <t>Copying forecast to basic dates wrong for subnet activity</t>
  </si>
  <si>
    <t>Planning Board:Incorrect value in the Description column</t>
  </si>
  <si>
    <t>Incorrect error message text during project stock check</t>
  </si>
  <si>
    <t>After archiving wbs element does not appear correctly</t>
  </si>
  <si>
    <t>FBRA: error F5 360 in obligatory reversal for US ferderal</t>
  </si>
  <si>
    <t>FM Drilldown Reporting: Technical enhancement</t>
  </si>
  <si>
    <t>No Change Documents in the Application of Funds (4 fields)</t>
  </si>
  <si>
    <t>Interface note for Commitment item extension</t>
  </si>
  <si>
    <t>Interface note for Commitment item extension - TAXITABS</t>
  </si>
  <si>
    <t>FM_SETS_FUND2: Fund texts are not displayed</t>
  </si>
  <si>
    <t>BAdI FM_AUTHORITY_CHECK not called</t>
  </si>
  <si>
    <t>FMRE: Unnecessary revaluation when changing funds reserv.</t>
  </si>
  <si>
    <t>FMRE: More exact error msg for docs that cannot be displayed</t>
  </si>
  <si>
    <t>Interface note for Earmarked Funds Documents</t>
  </si>
  <si>
    <t>Interface note for Earmarked Funds Documents - Field Status</t>
  </si>
  <si>
    <t>Interface note for Earmarked Funds Documents - Referenced</t>
  </si>
  <si>
    <t>FMRE: Name des Kreditors/Debitors/Zempf. geht verloren</t>
  </si>
  <si>
    <t>Funded Program incorrect when Posting invoice for PO w. MAA</t>
  </si>
  <si>
    <t>Short DUMP when saving SD Order</t>
  </si>
  <si>
    <t>FMFG_CORE_E contains data elements in wrong language</t>
  </si>
  <si>
    <t>Tax update FM/FI</t>
  </si>
  <si>
    <t>change to INV-only upate for Return Purchase Orders</t>
  </si>
  <si>
    <t>Hinweis für Transporte ohne Korrekturanleitung</t>
  </si>
  <si>
    <t>Government Procurem.</t>
  </si>
  <si>
    <t>MIR7:Vendor details not refreshed after changing PO number</t>
  </si>
  <si>
    <t>Info of downpayments is missing in extended PO history tab</t>
  </si>
  <si>
    <t>PSM-GPR-SN</t>
  </si>
  <si>
    <t>Smart Numbering</t>
  </si>
  <si>
    <t>Cannot release invoices in MRBR when Smart Number active</t>
  </si>
  <si>
    <t>Keine Nachricht bei Fehler i.d. externen Prüfloserzeugung</t>
  </si>
  <si>
    <t>Dynamic modif rule not taken from reference characteristic</t>
  </si>
  <si>
    <t>QA01 : New batch not created</t>
  </si>
  <si>
    <t>EWM-Lagerort : Storno nicht möglich</t>
  </si>
  <si>
    <t>QA03: Sample fields missing in sample-drawing item</t>
  </si>
  <si>
    <t>BAPI_INSPOPER_RECORDRESULTS: Incorrect revaluation</t>
  </si>
  <si>
    <t>Duplicate serial numbers for calculated characteristics</t>
  </si>
  <si>
    <t>Ergebniserfassung : Generische Objektdienste fehlen</t>
  </si>
  <si>
    <t>QIRF_GET_SAMPLE_VALUES2 : Error QI 111</t>
  </si>
  <si>
    <t>Incorrect characteristic valuation for multiple specs</t>
  </si>
  <si>
    <t>BAPI_INSPOPER_RECORDRESULTS: Incorrect char. valuation</t>
  </si>
  <si>
    <t>QA16 : VE mit unzulässiger Auswahlmenge getroffen</t>
  </si>
  <si>
    <t>Termination M3 749 for usage decision</t>
  </si>
  <si>
    <t>QS26: Incorrect material specification displayed</t>
  </si>
  <si>
    <t>QM-PT-BD-IMT</t>
  </si>
  <si>
    <t>Inspection Method</t>
  </si>
  <si>
    <t>BD87 : Dump when posting inspection methods</t>
  </si>
  <si>
    <t>QP02: Not possible to deactivate function code</t>
  </si>
  <si>
    <t>RQBAAM20: Performance</t>
  </si>
  <si>
    <t>QP02: Message Q0 121 incorrect</t>
  </si>
  <si>
    <t>Dump CONVT_OVERFLOW in results history</t>
  </si>
  <si>
    <t>QM14, QM15: Description of assembly cannot be displayed</t>
  </si>
  <si>
    <t>QMSM: Implementierung für Methode ExistenceCheck</t>
  </si>
  <si>
    <t>Digital signature for tasks is not requested</t>
  </si>
  <si>
    <t>QM06_SEND_PAPER_STEP2_PDF does not send e-mails</t>
  </si>
  <si>
    <t>Incorrect docs displayed in document flow for detail view</t>
  </si>
  <si>
    <t>Vendor batch number is not transferred</t>
  </si>
  <si>
    <t>QM02: Abbruch CALL_FUNCTION_REMOTE_ERROR bei Workflowstart</t>
  </si>
  <si>
    <t>CO11N/quality notification: No unit of measure</t>
  </si>
  <si>
    <t>Incorrect inspection specifications for multiple specs</t>
  </si>
  <si>
    <t>Object address: Changed address is deleted</t>
  </si>
  <si>
    <t>RE-FX-IT</t>
  </si>
  <si>
    <t>Displaying correction object in purchase order</t>
  </si>
  <si>
    <t>Account assignment dialog box: Correction data is lost</t>
  </si>
  <si>
    <t>FBV0: RECAAP 012: Real estate object cannot be determined</t>
  </si>
  <si>
    <t>RERAOP/RERAOPSUTP: Activities missing</t>
  </si>
  <si>
    <t>FOJG: BVTYP abweichender Zahler</t>
  </si>
  <si>
    <t>FOZD: Incorrect contracts when customer is entered</t>
  </si>
  <si>
    <t>RE-RT-SC</t>
  </si>
  <si>
    <t>Service Charge Settl</t>
  </si>
  <si>
    <t>Ext heating exp: Settlement participatn change: Error 62333</t>
  </si>
  <si>
    <t>Error for confirmations in transaction /SAPAPO/CCR</t>
  </si>
  <si>
    <t>DELTAREPORT: After Iteration more Confirmations in Total</t>
  </si>
  <si>
    <t>Subcontracting purchase requisition not transferred</t>
  </si>
  <si>
    <t>CFP1, CFM2: TSV_TNEW_PAGE_ALLOC_FAILED or TIME_OUT dump</t>
  </si>
  <si>
    <t>Performance of function module CIF_CHR_OUTBOUND, CIF_PO_SEND</t>
  </si>
  <si>
    <t>CFM2: Performance improvement for material master data</t>
  </si>
  <si>
    <t>RCIFIMDL dialog result list: no total number per object</t>
  </si>
  <si>
    <t>SCM-APO-INT-MD-CDP</t>
  </si>
  <si>
    <t>Classes and Characte</t>
  </si>
  <si>
    <t>Performance improvement: class/characteristic integration</t>
  </si>
  <si>
    <t>PDS_MAINT: Time out if no production version exists</t>
  </si>
  <si>
    <t>INT-PDS: PDS_MAINT mode priority for alternative sequences</t>
  </si>
  <si>
    <t>INT-PDS: Improvement in perform. for stor. loc. determin.</t>
  </si>
  <si>
    <t>INT-PDS: Error during deletion, log displays success message</t>
  </si>
  <si>
    <t>INT-PDS: slow alternative UoM determination for components</t>
  </si>
  <si>
    <t>INT-PDS: Sequences do not arrive in APO</t>
  </si>
  <si>
    <t>INT-PDS: Duplicate components</t>
  </si>
  <si>
    <t>INT-PDS: Lazy read during storage location determination</t>
  </si>
  <si>
    <t>No deletion flag for BOMs if production version created</t>
  </si>
  <si>
    <t>INT-PDS: Stor. loc. missing after implementing Note 1703125</t>
  </si>
  <si>
    <t>INT-PDS: Parallel processing in APO does not work</t>
  </si>
  <si>
    <t>CURTO_CREATE: Runtime error ITAB_ILLEGAL_SORT_ORDER</t>
  </si>
  <si>
    <t>INT-PDS: Only one server used though parallel selection</t>
  </si>
  <si>
    <t>INT-PDS: Parallel selection: dump CALL_FUNCTION_PARM_MISSING</t>
  </si>
  <si>
    <t>CIF-PPM:Conversion with alternative UoM of the material</t>
  </si>
  <si>
    <t>CALL_FUNCTION_NOT_REMOTE dump, function CIF_MATREL_SEND</t>
  </si>
  <si>
    <t>material or article changes are not transferred to SCM</t>
  </si>
  <si>
    <t>Uncorrect lot size procedure for customer-material</t>
  </si>
  <si>
    <t>SCM-APO-INT-MD-RE</t>
  </si>
  <si>
    <t>Resource</t>
  </si>
  <si>
    <t>Short descriptions of resources are not transferred</t>
  </si>
  <si>
    <t>Parts of corrections from notes 1365615 and 1384219 missing.</t>
  </si>
  <si>
    <t>MRPDS: Firming a planned order results into dump.</t>
  </si>
  <si>
    <t>Planned order qty is zero in process order</t>
  </si>
  <si>
    <t>APO inbound error - Shelf life is negative</t>
  </si>
  <si>
    <t>CL_MMPUR_SCHED_STO=&gt;ASSIGN_DABMG_REST Message A816(me)</t>
  </si>
  <si>
    <t>Missing requirements of sto in APO</t>
  </si>
  <si>
    <t>GR processing time is ignored by CIF rescheduling</t>
  </si>
  <si>
    <t>Subco PO in ECC created with unwanted component</t>
  </si>
  <si>
    <t>/SAPAPO/SDRQCR21: large LUWs created in smq2</t>
  </si>
  <si>
    <t>ERP stock in transit is blocked stock at APO</t>
  </si>
  <si>
    <t>Change blocked stock ATP category with EDQA does not work</t>
  </si>
  <si>
    <t>SCM-APO-SPP</t>
  </si>
  <si>
    <t>Service Parts Planning</t>
  </si>
  <si>
    <t>SCM-APO-SPP-SFA</t>
  </si>
  <si>
    <t>Service Fill Analysi</t>
  </si>
  <si>
    <t>Service loss: wrong time bucket at stock service history</t>
  </si>
  <si>
    <t>SCM-APO-VS-MAP-DL</t>
  </si>
  <si>
    <t>Deliveries R/3</t>
  </si>
  <si>
    <t>ERP allows delivery creation for already completed STOs</t>
  </si>
  <si>
    <t>MVER TS booking: Cons.Period Indicator (techn.Impl.)</t>
  </si>
  <si>
    <t>MVER TS booking: Cons.Period Indicator (Customizing)</t>
  </si>
  <si>
    <t>Vendor block not transferred from ERP to F&amp;R</t>
  </si>
  <si>
    <t>Consumption and Stock change pointers as set in customizing</t>
  </si>
  <si>
    <t>order deletions are not send to F&amp;R</t>
  </si>
  <si>
    <t>Sending of layout modules returns with system_failure</t>
  </si>
  <si>
    <t>Retransmission of lane backup files deletes and recre. lanes</t>
  </si>
  <si>
    <t>No consumption init if RP rel is not changed</t>
  </si>
  <si>
    <t>FRE01, FRE04 - 'Days in the Past' ignored</t>
  </si>
  <si>
    <t>Contract that are not site specific are ignored by interface</t>
  </si>
  <si>
    <t>transfer of internal orders with RELIND = '2' or '3'</t>
  </si>
  <si>
    <t>Handling of deleted consumption references</t>
  </si>
  <si>
    <t>FRE06 fails with Error 112 in FRE_UI</t>
  </si>
  <si>
    <t>Mass Maintenance tool for ERP - missing data</t>
  </si>
  <si>
    <t>Runtime error in FRE_C1</t>
  </si>
  <si>
    <t>ERP connection: Changes to sales order are ignored</t>
  </si>
  <si>
    <t>FRE_C6: Usability</t>
  </si>
  <si>
    <t>Order Inbound: Message W142 wrongly issued</t>
  </si>
  <si>
    <t>Time dependant currency has not been correctly processed</t>
  </si>
  <si>
    <t>Switch back information fails processing on F&amp;R</t>
  </si>
  <si>
    <t>RSMIPROACT2 abends if date selection is not specified</t>
  </si>
  <si>
    <t>ROEMPROACT2: Fixing data extraction with quota arrangement</t>
  </si>
  <si>
    <t>RSMIPROACT: Consignment stock not converted</t>
  </si>
  <si>
    <t>RSMIPROACT2 : Wrong source of supply determined</t>
  </si>
  <si>
    <t>RSMIPROACT2 : Wrong source of supply determined - 2</t>
  </si>
  <si>
    <t>RSMIPROACT: Transfer Zero Quantites in Dynamic Replenishment</t>
  </si>
  <si>
    <t>RSMIPROACT: Selection dumps on large amount of materials</t>
  </si>
  <si>
    <t>RSMIPROACT: Confusing error message for Goods Receipt Date</t>
  </si>
  <si>
    <t>CO06: Changes to BOM subitems</t>
  </si>
  <si>
    <t>Long response time deleting CBATP relevant delivery items</t>
  </si>
  <si>
    <t>VA02: Overallocation when adding new item with same data</t>
  </si>
  <si>
    <t>RVKRED77: "Item &amp; does not exist" in the job log</t>
  </si>
  <si>
    <t>Correction analysis tool modification effects credit values</t>
  </si>
  <si>
    <t>Credit release: Incomplete error message in log</t>
  </si>
  <si>
    <t>BAPI: Credit checks not executed in order</t>
  </si>
  <si>
    <t>SD-BF-MD</t>
  </si>
  <si>
    <t>Material Determin.</t>
  </si>
  <si>
    <t>Item data filled incorrectly after product selection</t>
  </si>
  <si>
    <t>Print preview at item level does not display output</t>
  </si>
  <si>
    <t>SARI/SARE: Error 00064 when displaying from archive</t>
  </si>
  <si>
    <t>Correction note for SAP Note 1300103</t>
  </si>
  <si>
    <t>PDF printing: Document title of e-mail send request (SOST)</t>
  </si>
  <si>
    <t>PDF print: Originals and copies of invoices</t>
  </si>
  <si>
    <t>SAPscript: Original and copies when sending e-mails</t>
  </si>
  <si>
    <t>Smart Forms: Original and copies when sending e-mails</t>
  </si>
  <si>
    <t>PDF print: Original and copies when sending e-mails</t>
  </si>
  <si>
    <t>VPRS: Incorrect currency conversion after invoice receipt(2)</t>
  </si>
  <si>
    <t>VF04: Incorrect status display after billing 3</t>
  </si>
  <si>
    <t>Transfer prices for confirmation of service (2)</t>
  </si>
  <si>
    <t>Negative down payment cleared with incorrect plus/minus sign</t>
  </si>
  <si>
    <t>Incorrect down payment clearing line for negative values</t>
  </si>
  <si>
    <t>Authorization in order with archived delivery</t>
  </si>
  <si>
    <t>BRE: Incorrect object ID on billing screen</t>
  </si>
  <si>
    <t>Billing Request Editor: Missing UoMs on the billing screen</t>
  </si>
  <si>
    <t>CBAD: Modification dialog box called with incorrect data</t>
  </si>
  <si>
    <t>CBAD: Short dump with runtime error TABLE_INVALID_INDEX</t>
  </si>
  <si>
    <t>Error in claim settlement with items without sales volume</t>
  </si>
  <si>
    <t>Inconsistencies due to currency change</t>
  </si>
  <si>
    <t>Short dump because control lines are read twice</t>
  </si>
  <si>
    <t>VF47: Missing E27 error for deleted items</t>
  </si>
  <si>
    <t>VF44: REVREC status incorrect for contract w/ WBS element</t>
  </si>
  <si>
    <t>VF47: Wrong E11/E12/25 combination in FI check</t>
  </si>
  <si>
    <t>Connection of customer fact sheet to CRM: Incorr date format</t>
  </si>
  <si>
    <t>EDI: No item texts for text ID 007</t>
  </si>
  <si>
    <t>ORDCHG: IVBEP does not exist in customer function '007'</t>
  </si>
  <si>
    <t>Italy - SEZIONE 4: Cumulation of credit and debit memos</t>
  </si>
  <si>
    <t>Extrastat Netherlands: Additional customs procedure for FT</t>
  </si>
  <si>
    <t>INTRASTAT Ireland 2012: new attributes in XML</t>
  </si>
  <si>
    <t>VXA1: Runtime error BCD_FIELD_OVERFLOW</t>
  </si>
  <si>
    <t>SD-FT-PRE</t>
  </si>
  <si>
    <t>Preference Handling</t>
  </si>
  <si>
    <t>Vendor declaration for customers' purposes:Incorr.pref.stmnt</t>
  </si>
  <si>
    <t>CBAD: Versions for header funding disappear</t>
  </si>
  <si>
    <t>CBAD: CX_SY_CONVERSION_OVERFLOW - dump for item limit</t>
  </si>
  <si>
    <t>CBAD: Update termination for item funding</t>
  </si>
  <si>
    <t>CFOB code is not changed during a mass change</t>
  </si>
  <si>
    <t>CBAD: Posting terminates for item funding</t>
  </si>
  <si>
    <t>CBAD: Incorrect name of person responsible (AENAM)</t>
  </si>
  <si>
    <t>Exit note: Downport side panel for SD in NWBC shell</t>
  </si>
  <si>
    <t>Incorr customer fact sheet POWL when navigation via customer</t>
  </si>
  <si>
    <t>CheckMan correction: Default value for authorization objects</t>
  </si>
  <si>
    <t>International Article Number (EAN/UPC) is incorrect</t>
  </si>
  <si>
    <t>Document number is truncated by two characters in doc flow</t>
  </si>
  <si>
    <t>Error SLS_LORD 080 is returned after changing UOM</t>
  </si>
  <si>
    <t>LORD: No error message from PReq in third-party processing</t>
  </si>
  <si>
    <t>No quotations are returned</t>
  </si>
  <si>
    <t>LORD: Action in case of an error</t>
  </si>
  <si>
    <t>LORD: Enhancements of payment card interface</t>
  </si>
  <si>
    <t>Requested delivery date is not returned within lean order</t>
  </si>
  <si>
    <t>LORD: Item selection restricted when copying</t>
  </si>
  <si>
    <t>LORD: Item selection restricted when copying (II)</t>
  </si>
  <si>
    <t>LORD: Incorrect amounts for manual authorizations</t>
  </si>
  <si>
    <t>LORD: Missing messages during credit card validation</t>
  </si>
  <si>
    <t>LORD: Actions when there is incomplete data</t>
  </si>
  <si>
    <t>LORD: Termination message when reading payment cards</t>
  </si>
  <si>
    <t>LORD: Error when reading header data of payment cards</t>
  </si>
  <si>
    <t>Incorrect information in structure COMR for object CAUTH</t>
  </si>
  <si>
    <t>Cross company excise duty screen in sales order</t>
  </si>
  <si>
    <t>Side panel downport after EHP6: SD srce code in FND,SAP_APPL</t>
  </si>
  <si>
    <t>SD-SLS-GF-BA</t>
  </si>
  <si>
    <t>SD Batch Processing</t>
  </si>
  <si>
    <t>Incorrect batch cannot be changed in order</t>
  </si>
  <si>
    <t>Returns item with batch that does not exist</t>
  </si>
  <si>
    <t>SD-SLS-GF-CO</t>
  </si>
  <si>
    <t>SD CO interface</t>
  </si>
  <si>
    <t>Intercompany billing: Status ENFA set incorrectly</t>
  </si>
  <si>
    <t>RBA item categories for material replacement</t>
  </si>
  <si>
    <t>Performance for BAPISDORDER_GETDETAILEDLIST II</t>
  </si>
  <si>
    <t>Document is missing in document flow for repair order</t>
  </si>
  <si>
    <t>Incorrect qty correlation when creating with ref to contract</t>
  </si>
  <si>
    <t>Incorrect transfer of subitems when creating with reference</t>
  </si>
  <si>
    <t>Configuration in display mode instead of change mode</t>
  </si>
  <si>
    <t>Error 00 011 when document currency changed in contract</t>
  </si>
  <si>
    <t>Planned cumulative quantity (Odette): Incorr. quantity calc.</t>
  </si>
  <si>
    <t>BADI_SD_REF_DOC_CUST: Ref. to billing item copies all items</t>
  </si>
  <si>
    <t>Sales order: Place cursor on item - position lost</t>
  </si>
  <si>
    <t>Search help incorrect for "Create with Reference" II</t>
  </si>
  <si>
    <t>Sales search help with WBS element displays too many docs</t>
  </si>
  <si>
    <t>SD-SLS-SO-MO</t>
  </si>
  <si>
    <t>SD Make-to-order</t>
  </si>
  <si>
    <t>Assembly and third-party: Incorrect message class</t>
  </si>
  <si>
    <t>Commitment of partially delivered items calculated incorr.</t>
  </si>
  <si>
    <t>Third-party: Assigned value in PReq commitment not adjusted</t>
  </si>
  <si>
    <t>Third-Party: Read purchase orders from archive not working</t>
  </si>
  <si>
    <t>Individual purchase order: Cannot reject item</t>
  </si>
  <si>
    <t>BADI_SLS_LO_OIF_ITEM_LINE: Implementation is not called</t>
  </si>
  <si>
    <t>SRM-EBP-ADM</t>
  </si>
  <si>
    <t>Organization/Business Partner Administration</t>
  </si>
  <si>
    <t>SRM-EBP-ADM-XBP</t>
  </si>
  <si>
    <t>Ext.Business Partner</t>
  </si>
  <si>
    <t>Performance in function module BBP_SCAN_VD</t>
  </si>
  <si>
    <t>Accounting issues due to reference date for settlement</t>
  </si>
  <si>
    <t>Controlling the no of Queue creation during ExtReq transfer</t>
  </si>
  <si>
    <t>Follow-on note for note 1614099</t>
  </si>
  <si>
    <t>Update termination for EPRTRANS during PR transfer</t>
  </si>
  <si>
    <t>SRM-EBP-INT</t>
  </si>
  <si>
    <t>Plug-In Interfaces</t>
  </si>
  <si>
    <t>Wrong pricing for contract service item</t>
  </si>
  <si>
    <t>Partner deletion indicator is missing</t>
  </si>
  <si>
    <t>Deleted PO items are proposed for invoicing</t>
  </si>
  <si>
    <t>Invoice cannot be assigned when PO is in different currency</t>
  </si>
  <si>
    <t>SRM-EBP-SHP</t>
  </si>
  <si>
    <t>Shopping Cart</t>
  </si>
  <si>
    <t>Wrong value on VAL_PO_E</t>
  </si>
  <si>
    <t>MRP file not updated if Reservation Item deleted from SRM</t>
  </si>
  <si>
    <t>SOCO : Price cannot be zero for purchase order item</t>
  </si>
  <si>
    <t>Master Agreement created with language key of RFC user</t>
  </si>
  <si>
    <t>Wrong status when PO created by SAP Sourcing in Backend</t>
  </si>
  <si>
    <t>TM-ERP</t>
  </si>
  <si>
    <t>ERP Logistics Integration</t>
  </si>
  <si>
    <t>TM-ERP-TR</t>
  </si>
  <si>
    <t>Transportation Requirement</t>
  </si>
  <si>
    <t>TM-ERP-TR-OTR</t>
  </si>
  <si>
    <t>Order-Based Transp.</t>
  </si>
  <si>
    <t>Report TMTRQINITIALSENDING wrong selection of TM Control Key</t>
  </si>
  <si>
    <t>Tax code changes for PO Create</t>
  </si>
  <si>
    <t>PO creation against FSD errors out in SAP ERP.</t>
  </si>
  <si>
    <t>Service Entry Sheet not updated in document flow of FSD</t>
  </si>
  <si>
    <t>Mapping Invoice date in FSD to Document date of Service PO</t>
  </si>
  <si>
    <t>Cancel the message via Post Processing Desktop</t>
  </si>
  <si>
    <t>Populate Delivery Address in PO Item from SAP TM System</t>
  </si>
  <si>
    <t>TM-ERP Invoice Integration for Service Based IV.</t>
  </si>
  <si>
    <t>Resource Id Information for Intra Settlement from SAP TM</t>
  </si>
  <si>
    <t>Documentation for Account Assignment Views</t>
  </si>
  <si>
    <t>FSD transfer with Due agent Others and Commission</t>
  </si>
  <si>
    <t>Aggregate costs in Agency Billing Document items.</t>
  </si>
  <si>
    <t>Intra Company Settlement</t>
  </si>
  <si>
    <t>Billing Document in SAP ERP contains wrong amounts.</t>
  </si>
  <si>
    <t>Application Log for Forwarding Settlement Document</t>
  </si>
  <si>
    <t>Usability issue in Org mapping</t>
  </si>
  <si>
    <t>Account Assignment for Billing Document Interface</t>
  </si>
  <si>
    <t>TR</t>
  </si>
  <si>
    <t>Treasury</t>
  </si>
  <si>
    <t>TR-TM</t>
  </si>
  <si>
    <t>Treasury Management</t>
  </si>
  <si>
    <t>TR-TM-TM</t>
  </si>
  <si>
    <t>Enhancements of Market Data Upload - use note: 1704773</t>
  </si>
  <si>
    <t>Web Channel Exp. Mgt</t>
  </si>
  <si>
    <t>WCEM 3.0: Authorization Data (Auth. Proposals, Roles)</t>
  </si>
  <si>
    <t>Web Channel: Applica</t>
  </si>
  <si>
    <t>External Services WEC 3.0 ERP</t>
  </si>
  <si>
    <t>Search help for order type does not work</t>
  </si>
  <si>
    <t>WEC Wrapper for LO-API doesn't return messages</t>
  </si>
  <si>
    <t>Configuration Data is Read for Each Item</t>
  </si>
  <si>
    <t>External services for WEC2 ERP Contact Scenario with TREX</t>
  </si>
  <si>
    <t>Value Help: Consideration of default values</t>
  </si>
  <si>
    <t>Value for forgot password are check against business address</t>
  </si>
  <si>
    <t>Unneeded zeros on personal data page</t>
  </si>
  <si>
    <t>Activate Web Channel back end functionality in ABAP system</t>
  </si>
  <si>
    <t>Missing Authorizations in WCB User Roles</t>
  </si>
  <si>
    <t>General Resolution 3164/2011 for Argentina</t>
  </si>
  <si>
    <t>J_1AF205:Columns 'Non-Taxed', 'IVA' are not filled or wrong.</t>
  </si>
  <si>
    <t>J_1AF016: Argentina Report Changes with new field</t>
  </si>
  <si>
    <t>RFWTCT10: Argentina Certificate Changes with new field</t>
  </si>
  <si>
    <t>Interface note for IS-OIL Retrofit for Argentina</t>
  </si>
  <si>
    <t>AEI WS Domestic: Enhanced check for branch determination</t>
  </si>
  <si>
    <t>ODN AR:Error while posting two documents with same reference</t>
  </si>
  <si>
    <t>ODN AR:Format check for reference field is incorrect</t>
  </si>
  <si>
    <t>ODN AR:Format check for reference field is incorrect II</t>
  </si>
  <si>
    <t>RFASLD02:Additional corrections to the note 1678649</t>
  </si>
  <si>
    <t>BE: 2012 XML-format for Annual Sales List</t>
  </si>
  <si>
    <t>RFUSVB10:Issue with the Street length in the xml</t>
  </si>
  <si>
    <t>A dump occurs when cancel too many items (transaction MBST)</t>
  </si>
  <si>
    <t>Taxes not withheld in F110 and F-53</t>
  </si>
  <si>
    <t>Skipping Tax Recalculation for Cash Journal in Brazil</t>
  </si>
  <si>
    <t>Errors in Condition Migration</t>
  </si>
  <si>
    <t>PIS/COF Rates w/ 4 Dec. Places in MM/SD: Prerequisites</t>
  </si>
  <si>
    <t>STO: OT partner address from delivery not transferred to NF</t>
  </si>
  <si>
    <t>NF Writer: One Time Acc. Tax No. Wrongly Disp. in Export. NF</t>
  </si>
  <si>
    <t>Material usage not considered for Tax Free Region calc.</t>
  </si>
  <si>
    <t>CT-e Legal Change: EHP6 #3</t>
  </si>
  <si>
    <t>PIS/COF Rates w/ 4 Dec. Places in MM/SD: Classical Tax Calc.</t>
  </si>
  <si>
    <t>PIS/COF Rates w/ 4 Dec. Places in MM/SD: Customizing Views</t>
  </si>
  <si>
    <t>BR: Wrong UoM when uploading data from MS Excel</t>
  </si>
  <si>
    <t>Dump occurs while creating Goods Issue via VT02N</t>
  </si>
  <si>
    <t>CT-e Legal Change: Total Values and Ship To Jur. Code</t>
  </si>
  <si>
    <t>PIS/COF Rates w/ 4 Dec. Places in MM/SD: NF Writer &amp; XML Map</t>
  </si>
  <si>
    <t>PIS/COF Rates w/ 4 Dec. Places in MM/SD: Cond. Based Taxes</t>
  </si>
  <si>
    <t>PIS/COF Rates w/ 4 Dec. Places in MM/SD: 4DEC Reports</t>
  </si>
  <si>
    <t>CBT Consistency reports</t>
  </si>
  <si>
    <t>Package J1BA does not have use access to package FCML_COGM</t>
  </si>
  <si>
    <t>PIS pauta rate not taken for TAXBRJ when not 4DEC</t>
  </si>
  <si>
    <t>BR: Upload from MS Excel not possible without material no.</t>
  </si>
  <si>
    <t>Enhancement section created for IS-U enhancements</t>
  </si>
  <si>
    <t>BR: extension of validity period for PIS/ Cofins tax rates</t>
  </si>
  <si>
    <t>Errors in Report J_1B_NFE_CREATE_TXT_FILE</t>
  </si>
  <si>
    <t>RFFOBR_A:Region code of Customer was not passed in DME file</t>
  </si>
  <si>
    <t>DDA: Bazil DDA Itau file with no account details</t>
  </si>
  <si>
    <t>DDA: RFEBKA00: DDA document year different from file year</t>
  </si>
  <si>
    <t>Error in MB1C RW008 "Interface RW: inconsistent currency"</t>
  </si>
  <si>
    <t>OT partner: Missing NF-e region for OT account partners</t>
  </si>
  <si>
    <t>MIR4: Tax amount is zero after "Nota Fiscal" is displayed</t>
  </si>
  <si>
    <t>Delivery does not transfer net prices to NF (STO GI)</t>
  </si>
  <si>
    <t>CFOP code is copied from first item to the second item</t>
  </si>
  <si>
    <t>ISS as additional rate when vendor's retention flag is off</t>
  </si>
  <si>
    <t>Wrong tax determination by NCM in MIRO using G/L account</t>
  </si>
  <si>
    <t>MM Pricing: No Transfer of Tax Rate Conditions</t>
  </si>
  <si>
    <t>MIRO: Wrong determination of NF-e data of main partner</t>
  </si>
  <si>
    <t>NF-e: Reversal of SAP Note 1670368</t>
  </si>
  <si>
    <t>Series is not filled in fiscal document with doc.type '7'</t>
  </si>
  <si>
    <t>CT-e: follow up changes provided by the note 1661137</t>
  </si>
  <si>
    <t>NFe Dump CALL_FUNCTION_NOT_FOUND when posting goods movement</t>
  </si>
  <si>
    <t>CTe: Taxsituation 60 not considered; Tax.sit. 90 not correct</t>
  </si>
  <si>
    <t>NF-e: Cancel of Stock Transport with ext. delivery no. fails</t>
  </si>
  <si>
    <t>CT-e: Changes to mapping CT-e Partner to NF partner function</t>
  </si>
  <si>
    <t>CT-e: Number Range Skipping</t>
  </si>
  <si>
    <t>NF-e: Purchase Order Number and Item not filled in XML</t>
  </si>
  <si>
    <t>NF-e: Check Digit is calculated and overwrites manual input</t>
  </si>
  <si>
    <t>NF-e: Read address data depending on partner type</t>
  </si>
  <si>
    <t>NF-e: Update SD/FI with NF-e number in J_1B_NFE_SET_NUMBER</t>
  </si>
  <si>
    <t>CC-e: New error messages during validation in GRC NFE</t>
  </si>
  <si>
    <t>NF-e: No. Range Gaps rejected because of spaces in NF number</t>
  </si>
  <si>
    <t>CT-e: Service Taker is incorrectly determined</t>
  </si>
  <si>
    <t>CC-e: Status update for non-GRC systems</t>
  </si>
  <si>
    <t>NF-e IN: GR Quantity differs from XML Quantity</t>
  </si>
  <si>
    <t>Posting PIS and COFINS with incoming automation</t>
  </si>
  <si>
    <t>Rounding difference in ICMS tax baseamount</t>
  </si>
  <si>
    <t>Parallel Stock Valuation (Material Ledger): Generic Objects</t>
  </si>
  <si>
    <t>SPED-EFD: Parallel Stock Valuation (Material Ledger)</t>
  </si>
  <si>
    <t>Modelo 03 - Parallel Stock Valuation (Material Ledger)</t>
  </si>
  <si>
    <t>IN86: Complement for note 1661140</t>
  </si>
  <si>
    <t>IN86: 4 decimal places reporting for PIS and COFINS</t>
  </si>
  <si>
    <t>SPED-EFD: 0200 - Plant parameter included in BAdI</t>
  </si>
  <si>
    <t>SPED-EFD: Guia Prático 2.0.7- Changes valid as of April/2012</t>
  </si>
  <si>
    <t>Vendor missing from output when limit reached, but no WHT</t>
  </si>
  <si>
    <t>IN86: Potential Directory Traversal</t>
  </si>
  <si>
    <t>Modelo 9: Reversed documents wrongly reported</t>
  </si>
  <si>
    <t>DIRF: Reversal documents are wrongly displayed in the output</t>
  </si>
  <si>
    <t>Sintegra report not populating record 53, fields 11 and 12</t>
  </si>
  <si>
    <t>SPED-EFD: Guia Prático 2.0.7 - Changes valid as of July/2012</t>
  </si>
  <si>
    <t>SPED-EFD: Registers D160 D161 D162 wrongly reported</t>
  </si>
  <si>
    <t>Material usage not exported to pricing structure</t>
  </si>
  <si>
    <t>Extension of note 950553</t>
  </si>
  <si>
    <t>Material usage not considered for dynamic exceptions table</t>
  </si>
  <si>
    <t>CL: Incorrect materials displayed in material ledger report</t>
  </si>
  <si>
    <t>EPIC: Bank Account Statement Processing and new functions</t>
  </si>
  <si>
    <t>Form Layout Enhancement for Financial Statement</t>
  </si>
  <si>
    <t>Layout Adjustment for Financial Statment Report (IDCNBSAIS)</t>
  </si>
  <si>
    <t>Perfomance Improvment for FI Document Displaying</t>
  </si>
  <si>
    <t>PDF Form Adjustment for Cash Flow Statment Report</t>
  </si>
  <si>
    <t>CN:Adding option for enable Balance Carry Forward in BS &amp; IS</t>
  </si>
  <si>
    <t>New Selection Criteria 'User Name' Added In Account Document</t>
  </si>
  <si>
    <t>Fix Check Man error</t>
  </si>
  <si>
    <t>First level hierarchy overflow in Account document form</t>
  </si>
  <si>
    <t>Adjust Currency Display of IDCNDOC PDF Printing</t>
  </si>
  <si>
    <t>Currency Display in AR&amp;AP Aging Report</t>
  </si>
  <si>
    <t>Create BADIs for customer to change address and name in GTI</t>
  </si>
  <si>
    <t>Fix 'Collector' field initial in 'GTI Invoice List' report</t>
  </si>
  <si>
    <t>Downloading and Uploading in Excel format</t>
  </si>
  <si>
    <t>Legal Change: Fix discount rate error in new GTS version</t>
  </si>
  <si>
    <t>Downport GTI enhancement to EhP6</t>
  </si>
  <si>
    <t>Outbound program timeout sometimes when checking authority</t>
  </si>
  <si>
    <t>Emergency Correction of GTI Project (EC of EHP6 SP04)</t>
  </si>
  <si>
    <t>XX-CSC-CO</t>
  </si>
  <si>
    <t>Colombia</t>
  </si>
  <si>
    <t>Columbia Legal Change 2011 for Withholding Tax adjustment</t>
  </si>
  <si>
    <t>LC: Property tax declaration - 2012</t>
  </si>
  <si>
    <t>J3RALFPTAXDECL:Merge exempted and non exempted values sec 2.</t>
  </si>
  <si>
    <t>J3RALFTTAXCALC:Error in Tax12 calculation and excel download</t>
  </si>
  <si>
    <t>IT depreciation- OABL does not delete Asset Block Data</t>
  </si>
  <si>
    <t>RU: J3RALFPTAXDECL - Corrections for new PDF layout</t>
  </si>
  <si>
    <t>RU: J3RALFTTAXCALC - Cancelled assets are getting reported</t>
  </si>
  <si>
    <t>Billing Document Output HU: performance after note 1397292</t>
  </si>
  <si>
    <t>HU : PHPF Declaration report</t>
  </si>
  <si>
    <t>Balances disaplayed in ER1 independent of fiscal periods</t>
  </si>
  <si>
    <t>J_1IEWT_MIS : Vendor Mismatch in Excel Generated</t>
  </si>
  <si>
    <t>Business Area appears blank while clearing doc using F-54</t>
  </si>
  <si>
    <t>J1INQEFILE generates incomplete excel files.</t>
  </si>
  <si>
    <t>J1INEMIS: Report does not display any data</t>
  </si>
  <si>
    <t>Quaterly returns file (2012) not validating through FVU 3.4</t>
  </si>
  <si>
    <t>Provision and Utilization Enhancement</t>
  </si>
  <si>
    <t>Error 8A-327 while partial challan item qty reconciliation</t>
  </si>
  <si>
    <t>100% ADC credit for dealer purchase of imported material</t>
  </si>
  <si>
    <t>Duplicate entries while displaying Annexure IV in J1IFR</t>
  </si>
  <si>
    <t>Wrong closing balance for RG23C SED/NCCD extraction- J2I6</t>
  </si>
  <si>
    <t>Material valuation wrong when GR based pricing not activated</t>
  </si>
  <si>
    <t>Incorrect Excise year for previous fiscal year posting-MIGO</t>
  </si>
  <si>
    <t>Wrong calculation of Excise duty in invoice - MIRO</t>
  </si>
  <si>
    <t>Incorrect excise values are displayed in J2I8 transaction</t>
  </si>
  <si>
    <t>Ed calculated incorrectly when BAPI used for create excise</t>
  </si>
  <si>
    <t>Wrong excise duty calculation for depot vendor invoice- MIRO</t>
  </si>
  <si>
    <t>Error 8A-652 displayed when prefix is not maintained for VAT</t>
  </si>
  <si>
    <t>KE396 error while cancelling outgoing excise invoice in J1IH</t>
  </si>
  <si>
    <t>Wrong profit center in project stock for goods returns-J1IS</t>
  </si>
  <si>
    <t>IT:User Exit-Change ref_number from Alt_ref_No ODN ERS</t>
  </si>
  <si>
    <t>ISJP_CR: Dump after change of role assignment</t>
  </si>
  <si>
    <t>Invoice summary due date with bapi "Accounting Document"</t>
  </si>
  <si>
    <t>XX-CSC-JP-FIAA</t>
  </si>
  <si>
    <t>Japan: Corporate Tax Law 2011 Revision (FIAA)</t>
  </si>
  <si>
    <t>JP : Parallel Valuation for Impairment</t>
  </si>
  <si>
    <t>Business place not getting updated  in FI Document</t>
  </si>
  <si>
    <t>RFUMSV45R Count vendor with ETI is wrong</t>
  </si>
  <si>
    <t>XX-CSC-KZ</t>
  </si>
  <si>
    <t>Kazakhstan</t>
  </si>
  <si>
    <t>XX-CSC-KZ-FI</t>
  </si>
  <si>
    <t>Customs Union: Goods Import Declaration (Kazakhstan)</t>
  </si>
  <si>
    <t>Digital Invoice Mexico: Company Codes &lt; 4 digits in FI</t>
  </si>
  <si>
    <t>Complemento header text is not empty</t>
  </si>
  <si>
    <t>Mexico FI digital Invoice - IDOC segments not populated</t>
  </si>
  <si>
    <t>RFCLLIB01_PE -'Total Credits' missing in final summary.</t>
  </si>
  <si>
    <t>RFCLLIB03_PE :Header text "PERIOD" is wrong with ES language</t>
  </si>
  <si>
    <t>Portugal: Archiving digital signature for FI, SD</t>
  </si>
  <si>
    <t>Transaction code to maintain numbering gaps</t>
  </si>
  <si>
    <t>Internal code (leading document type) and series</t>
  </si>
  <si>
    <t>Posting block set for the first billing document</t>
  </si>
  <si>
    <t>Changing the number range number based on tax code &amp; prefix</t>
  </si>
  <si>
    <t>Digital signature for outbound delivery documents - Portugal</t>
  </si>
  <si>
    <t>Error message SIPT216 when executing MRIS transaction code</t>
  </si>
  <si>
    <t>Digital signature for OBD documents correction note - PT</t>
  </si>
  <si>
    <t>Assign same number range number to multiple doc types: OBD</t>
  </si>
  <si>
    <t>PT:Correction to Legal change digital signature</t>
  </si>
  <si>
    <t>DUmmy Note</t>
  </si>
  <si>
    <t>MAPA 32 and XML Validator Corrections, MAPA 3304 Column 5.</t>
  </si>
  <si>
    <t>MAPA 32 column 10 and XML issue.</t>
  </si>
  <si>
    <t>MAPA 32 various column issues</t>
  </si>
  <si>
    <t>XX-CSC-QA</t>
  </si>
  <si>
    <t>Qatar</t>
  </si>
  <si>
    <t>Post dated check functionality for country version Qatar</t>
  </si>
  <si>
    <t>J3RSEXPORT Error with Tax Posting</t>
  </si>
  <si>
    <t>Corrective invoice (SD): form is not output</t>
  </si>
  <si>
    <t>Short dump COLLECT_OVERFLOW_TYPE_P in J3RFDSLD/J3RFKSLD</t>
  </si>
  <si>
    <t>Depreciation bonus restore due to asset retirement</t>
  </si>
  <si>
    <t>INV-3,INV-19:Valuation by batches,Incorr.Price,Inv.ord.numb.</t>
  </si>
  <si>
    <t>OS-1,OS-1A,OS-1B not printed,OS-6,OS-6A,OS-6B:doc.num.empty</t>
  </si>
  <si>
    <t>Invoice Journal (Russia)</t>
  </si>
  <si>
    <t>Sales/Purchase Ledger: statement 1137</t>
  </si>
  <si>
    <t>J_3RF_RATE_CALC: Exchange Rate for payments in local curr.</t>
  </si>
  <si>
    <t>Automatic filling of Outgoing Invoice Journal when printing</t>
  </si>
  <si>
    <t>J_3RF_FIND_PAYMENTS: reset document processing</t>
  </si>
  <si>
    <t>Technical improvement</t>
  </si>
  <si>
    <t>J_3RFBS_ALL - Non-leading ledgers are not supported</t>
  </si>
  <si>
    <t>J_3RFUM26: incorrect exchange rate for"Secondary Doc. Opt"</t>
  </si>
  <si>
    <t>Forms OS14, INV18 layout changes</t>
  </si>
  <si>
    <t>Error message 00 126 when trying to post from j_1uncreate</t>
  </si>
  <si>
    <t>Sales/Purchase Ledger: G/R date, non digit document numbers</t>
  </si>
  <si>
    <t>J_3RFUM26: incorrect debit/credit in tax transf. documents</t>
  </si>
  <si>
    <t>VAT invoice form: revision, archive, BKTXT</t>
  </si>
  <si>
    <t>Corrective VAT invoice form: doc. header not found</t>
  </si>
  <si>
    <t>Invoice Journal: automatic filling, print form errors</t>
  </si>
  <si>
    <t>Braces in RU_CITI_RUR format</t>
  </si>
  <si>
    <t>J_3RF_REGINV: Issues in Invoice Journal Report</t>
  </si>
  <si>
    <t>J3RFWORKWEAR: Vertical scrolling bar doesn't appear</t>
  </si>
  <si>
    <t>Sales/Purchase Ledger: statement 1137 - Invoice Journal</t>
  </si>
  <si>
    <t>Repair order number (NUMBASQ) is truncated in the form OS-6</t>
  </si>
  <si>
    <t>Invoice Journal: revision printing, text objects</t>
  </si>
  <si>
    <t>Field "Payer Status" value range extension</t>
  </si>
  <si>
    <t>KPP field in MT103 format</t>
  </si>
  <si>
    <t>VAT Invoice form: DownPayments, doc.number, revision</t>
  </si>
  <si>
    <t>Fixed Assets Revaluaton: additional ALV-fields</t>
  </si>
  <si>
    <t>Sales Ledger: extract is not saved after note 1695097</t>
  </si>
  <si>
    <t>Sales/Purchase Ledger: statement 1137 - deferred taxes</t>
  </si>
  <si>
    <t>Balance sheet and P&amp;L in XML</t>
  </si>
  <si>
    <t>J_3RK_ARCH_DELETE and J_3RK_ARCH_WRITE don't work correctly</t>
  </si>
  <si>
    <t>Sales/Purchase Ledger: statement 1137 - revisions</t>
  </si>
  <si>
    <t>Cash flow option 'change +/- sign for out' doesn't work</t>
  </si>
  <si>
    <t>User-exit e98 doesn't change sign of OSL and WSL fields</t>
  </si>
  <si>
    <t>J_3rfum26:GETWA_NOT_ASSIGNED</t>
  </si>
  <si>
    <t>OS-1, OS-1A, OS-1B: Wrong cost of acquisition value</t>
  </si>
  <si>
    <t>Invoice Journal: automatic registration issues</t>
  </si>
  <si>
    <t>Goods in transit: VAT invoice registration in Journal</t>
  </si>
  <si>
    <t>Goods in transit: Corr VAT invoice registration in Journal</t>
  </si>
  <si>
    <t>Document reversal: Run time error CONVT_NO_NUMBER</t>
  </si>
  <si>
    <t>Balance Notification: print form for empty periods</t>
  </si>
  <si>
    <t>Corrections for XML Reports</t>
  </si>
  <si>
    <t>J3RKOBS shows the wrong amounts for postings period 13-16</t>
  </si>
  <si>
    <t>RFHABU10 Wrong turnovers/balances per business area</t>
  </si>
  <si>
    <t>J_3RFUM26: Invoice with exchange rate differences</t>
  </si>
  <si>
    <t>J_3RF_REGINV: Mandatory KPP in Incoming Invoice Journal</t>
  </si>
  <si>
    <t>Sales/Purchase Ledger: statement 1137 - cancellations</t>
  </si>
  <si>
    <t>RFUMSV50:Down payment clear.reversal for FBA8 w/many DP</t>
  </si>
  <si>
    <t>Sales/Purchase Ledger: split architecture</t>
  </si>
  <si>
    <t>Short dump RELATIVE_NODE_NOT_FOUND in transaction J3RTAXREP</t>
  </si>
  <si>
    <t>Incorrect XSD parsing</t>
  </si>
  <si>
    <t>Sales/Purchase Ledger: statement 1137 - sorting, revisions</t>
  </si>
  <si>
    <t>VAT invoice form: fields in Journal, page numbers</t>
  </si>
  <si>
    <t>Corrective invoice: revision, page numbers, Journal record</t>
  </si>
  <si>
    <t>Sales Ledger: downpayment request</t>
  </si>
  <si>
    <t>Cash Flow: copy function does not work in SPRO</t>
  </si>
  <si>
    <t>Miscellaneous fixes and Selection Screen generation</t>
  </si>
  <si>
    <t>GUI data provider parameters editor tool</t>
  </si>
  <si>
    <t>Sales Ledger: Summarize tax transfers: VAT in transit</t>
  </si>
  <si>
    <t>Invoice Journal Part 2 Header</t>
  </si>
  <si>
    <t>tr. J3RTAXLA, J_3RF_TAX_OBJECT, Truncating 21 by 20 char-s</t>
  </si>
  <si>
    <t>Sales/Purchase Ledger: statement 1137 - fixes</t>
  </si>
  <si>
    <t>Error in D56_USER_EXIT when executing GL25</t>
  </si>
  <si>
    <t>J_3rfum26: Clearing more than 18 tax transfer documents</t>
  </si>
  <si>
    <t>J_3rfum26: Wrong tax base for secondary event in %</t>
  </si>
  <si>
    <t>Error in J3RKKKL</t>
  </si>
  <si>
    <t>Changes in long text for Customs Union</t>
  </si>
  <si>
    <t>Tree visualization</t>
  </si>
  <si>
    <t>Sales/Purchase Ledger: statement 1137 - add sheets - fixes</t>
  </si>
  <si>
    <t>Corrections for XML Report data provider screen.</t>
  </si>
  <si>
    <t>Data provider editor tool corrections</t>
  </si>
  <si>
    <t>J_3RFVATMM (Goods Import Declaration): wrong payment amount</t>
  </si>
  <si>
    <t>Selection screen generation</t>
  </si>
  <si>
    <t>Sales/Purchase Ledger: original MM invoice not found</t>
  </si>
  <si>
    <t>J3RFF4: conversion of currency at reporting date rate</t>
  </si>
  <si>
    <t>RFUMSV50:down payment clearing with many tax codes</t>
  </si>
  <si>
    <t>VAT registers</t>
  </si>
  <si>
    <t>Minor stability improvements</t>
  </si>
  <si>
    <t>Cumulative XML report update</t>
  </si>
  <si>
    <t>J_3RSINVOICE does not show documents with line numbers &gt; 999</t>
  </si>
  <si>
    <t>WayBill form (RU): Legal Change 1208</t>
  </si>
  <si>
    <t>1-T form: OKPO, billing documents</t>
  </si>
  <si>
    <t>Corrective VAT invoice: BAdI, performance, doc.number</t>
  </si>
  <si>
    <t>1-T form (RU): address data</t>
  </si>
  <si>
    <t>1-T form (RU): bank data</t>
  </si>
  <si>
    <t>XX-CSC-SA</t>
  </si>
  <si>
    <t>Saudi Arabia</t>
  </si>
  <si>
    <t>Interface note for utility class for Arabic (package)</t>
  </si>
  <si>
    <t>XX-CSC-SK</t>
  </si>
  <si>
    <t>Slovakia</t>
  </si>
  <si>
    <t>XX-CSC-SK-FI</t>
  </si>
  <si>
    <t>Incorrect error log entries of RFIMPNBS</t>
  </si>
  <si>
    <t>Thailand: Legal change for Tax ID length - Stock Card Report</t>
  </si>
  <si>
    <t>ODN TH: Incorrect ODN during collective billing</t>
  </si>
  <si>
    <t>Changes in profit tax declaration</t>
  </si>
  <si>
    <t>XX-CSC-VE</t>
  </si>
  <si>
    <t>Venezuela</t>
  </si>
  <si>
    <t>ODN VE: Short dump while running the IDCP report.</t>
  </si>
  <si>
    <t>External tax calculation: Additional logging for buffering</t>
  </si>
  <si>
    <t>SCASE: Case status incorrectly allowed to be changed.</t>
  </si>
  <si>
    <t>FPRL_LIST: Performance improvements.</t>
  </si>
  <si>
    <t>FPRL_LIST: Further performance improvements</t>
  </si>
  <si>
    <t>FSTST_ACCESS_CHECK: Table without validity period-short dump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</si>
</sst>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434"/>
  <sheetViews>
    <sheetView tabSelected="1" workbookViewId="0">
      <pane ySplit="1" topLeftCell="A2" activePane="bottomLeft" state="frozen"/>
      <selection pane="bottomLeft"/>
    </sheetView>
  </sheetViews>
  <sheetFormatPr defaultRowHeight="15" x14ac:dyDescent="0.25"/>
  <cols>
    <col min="1" max="1" width="15" customWidth="1"/>
    <col min="2" max="2" width="14.42578125" customWidth="1"/>
    <col min="3" max="3" width="35.85546875" bestFit="1" customWidth="1"/>
    <col min="4" max="4" width="15.85546875" customWidth="1"/>
    <col min="5" max="5" width="15.28515625" customWidth="1"/>
    <col min="6" max="6" width="57.85546875" bestFit="1" customWidth="1"/>
  </cols>
  <sheetData>
    <row r="1" spans="1:6" x14ac:dyDescent="0.25">
      <c r="A1" t="s">
        <v>23</v>
      </c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41</v>
      </c>
      <c r="B2" t="s">
        <v>5</v>
      </c>
      <c r="C2" t="s">
        <v>6</v>
      </c>
    </row>
    <row r="3" spans="1:6" x14ac:dyDescent="0.25">
      <c r="A3" t="s">
        <v>41</v>
      </c>
      <c r="B3" t="s">
        <v>17</v>
      </c>
      <c r="C3" t="s">
        <v>18</v>
      </c>
    </row>
    <row r="4" spans="1:6" x14ac:dyDescent="0.25">
      <c r="A4" t="s">
        <v>41</v>
      </c>
      <c r="B4" t="s">
        <v>19</v>
      </c>
      <c r="C4" t="s">
        <v>20</v>
      </c>
      <c r="D4" t="str">
        <f>HYPERLINK("http://service.sap.com/sap/support/notes/1611771","1611771")</f>
        <v>1611771</v>
      </c>
      <c r="E4">
        <v>2</v>
      </c>
      <c r="F4" t="s">
        <v>42</v>
      </c>
    </row>
    <row r="5" spans="1:6" x14ac:dyDescent="0.25">
      <c r="A5" t="s">
        <v>41</v>
      </c>
      <c r="B5" t="s">
        <v>19</v>
      </c>
      <c r="C5" t="s">
        <v>20</v>
      </c>
      <c r="D5" t="str">
        <f>HYPERLINK("http://service.sap.com/sap/support/notes/1622959","1622959")</f>
        <v>1622959</v>
      </c>
      <c r="F5" t="s">
        <v>43</v>
      </c>
    </row>
    <row r="6" spans="1:6" x14ac:dyDescent="0.25">
      <c r="A6" t="s">
        <v>41</v>
      </c>
      <c r="B6" t="s">
        <v>21</v>
      </c>
      <c r="C6" t="s">
        <v>22</v>
      </c>
      <c r="D6" t="str">
        <f>HYPERLINK("http://service.sap.com/sap/support/notes/1620722","1620722")</f>
        <v>1620722</v>
      </c>
      <c r="E6">
        <v>1</v>
      </c>
      <c r="F6" t="s">
        <v>44</v>
      </c>
    </row>
    <row r="7" spans="1:6" x14ac:dyDescent="0.25">
      <c r="A7" t="s">
        <v>41</v>
      </c>
      <c r="B7" t="s">
        <v>39</v>
      </c>
      <c r="C7" t="s">
        <v>40</v>
      </c>
    </row>
    <row r="8" spans="1:6" x14ac:dyDescent="0.25">
      <c r="A8" t="s">
        <v>41</v>
      </c>
      <c r="B8" t="s">
        <v>45</v>
      </c>
      <c r="C8" t="s">
        <v>46</v>
      </c>
    </row>
    <row r="9" spans="1:6" x14ac:dyDescent="0.25">
      <c r="A9" t="s">
        <v>41</v>
      </c>
      <c r="B9" t="s">
        <v>47</v>
      </c>
      <c r="C9" t="s">
        <v>48</v>
      </c>
    </row>
    <row r="10" spans="1:6" x14ac:dyDescent="0.25">
      <c r="A10" t="s">
        <v>41</v>
      </c>
      <c r="B10" t="s">
        <v>49</v>
      </c>
      <c r="C10" t="s">
        <v>50</v>
      </c>
      <c r="D10" t="str">
        <f>HYPERLINK("http://service.sap.com/sap/support/notes/1600090","1600090")</f>
        <v>1600090</v>
      </c>
      <c r="E10">
        <v>1</v>
      </c>
      <c r="F10" t="s">
        <v>51</v>
      </c>
    </row>
    <row r="11" spans="1:6" x14ac:dyDescent="0.25">
      <c r="A11" t="s">
        <v>41</v>
      </c>
      <c r="B11" t="s">
        <v>49</v>
      </c>
      <c r="C11" t="s">
        <v>50</v>
      </c>
      <c r="D11" t="str">
        <f>HYPERLINK("http://service.sap.com/sap/support/notes/1600091","1600091")</f>
        <v>1600091</v>
      </c>
      <c r="E11">
        <v>1</v>
      </c>
      <c r="F11" t="s">
        <v>52</v>
      </c>
    </row>
    <row r="12" spans="1:6" x14ac:dyDescent="0.25">
      <c r="A12" t="s">
        <v>53</v>
      </c>
      <c r="B12" t="s">
        <v>5</v>
      </c>
      <c r="C12" t="s">
        <v>6</v>
      </c>
    </row>
    <row r="13" spans="1:6" x14ac:dyDescent="0.25">
      <c r="A13" t="s">
        <v>53</v>
      </c>
      <c r="B13" t="s">
        <v>7</v>
      </c>
      <c r="C13" t="s">
        <v>8</v>
      </c>
      <c r="D13" t="str">
        <f>HYPERLINK("http://service.sap.com/sap/support/notes/1572420","1572420")</f>
        <v>1572420</v>
      </c>
      <c r="E13">
        <v>1</v>
      </c>
      <c r="F13" t="s">
        <v>54</v>
      </c>
    </row>
    <row r="14" spans="1:6" x14ac:dyDescent="0.25">
      <c r="A14" t="s">
        <v>53</v>
      </c>
      <c r="B14" t="s">
        <v>7</v>
      </c>
      <c r="C14" t="s">
        <v>8</v>
      </c>
      <c r="D14" t="str">
        <f>HYPERLINK("http://service.sap.com/sap/support/notes/1623933","1623933")</f>
        <v>1623933</v>
      </c>
      <c r="E14">
        <v>1</v>
      </c>
      <c r="F14" t="s">
        <v>55</v>
      </c>
    </row>
    <row r="15" spans="1:6" x14ac:dyDescent="0.25">
      <c r="A15" t="s">
        <v>53</v>
      </c>
      <c r="B15" t="s">
        <v>7</v>
      </c>
      <c r="C15" t="s">
        <v>8</v>
      </c>
      <c r="D15" t="str">
        <f>HYPERLINK("http://service.sap.com/sap/support/notes/1625184","1625184")</f>
        <v>1625184</v>
      </c>
      <c r="E15">
        <v>2</v>
      </c>
      <c r="F15" t="s">
        <v>56</v>
      </c>
    </row>
    <row r="16" spans="1:6" x14ac:dyDescent="0.25">
      <c r="A16" t="s">
        <v>53</v>
      </c>
      <c r="B16" t="s">
        <v>7</v>
      </c>
      <c r="C16" t="s">
        <v>8</v>
      </c>
      <c r="D16" t="str">
        <f>HYPERLINK("http://service.sap.com/sap/support/notes/1626380","1626380")</f>
        <v>1626380</v>
      </c>
      <c r="E16">
        <v>1</v>
      </c>
      <c r="F16" t="s">
        <v>57</v>
      </c>
    </row>
    <row r="17" spans="1:6" x14ac:dyDescent="0.25">
      <c r="A17" t="s">
        <v>53</v>
      </c>
      <c r="B17" t="s">
        <v>7</v>
      </c>
      <c r="C17" t="s">
        <v>8</v>
      </c>
      <c r="D17" t="str">
        <f>HYPERLINK("http://service.sap.com/sap/support/notes/1634836","1634836")</f>
        <v>1634836</v>
      </c>
      <c r="E17">
        <v>1</v>
      </c>
      <c r="F17" t="s">
        <v>58</v>
      </c>
    </row>
    <row r="18" spans="1:6" x14ac:dyDescent="0.25">
      <c r="A18" t="s">
        <v>53</v>
      </c>
      <c r="B18" t="s">
        <v>7</v>
      </c>
      <c r="C18" t="s">
        <v>8</v>
      </c>
      <c r="D18" t="str">
        <f>HYPERLINK("http://service.sap.com/sap/support/notes/1663773","1663773")</f>
        <v>1663773</v>
      </c>
      <c r="E18">
        <v>1</v>
      </c>
      <c r="F18" t="s">
        <v>59</v>
      </c>
    </row>
    <row r="19" spans="1:6" x14ac:dyDescent="0.25">
      <c r="A19" t="s">
        <v>53</v>
      </c>
      <c r="B19" t="s">
        <v>9</v>
      </c>
      <c r="C19" t="s">
        <v>10</v>
      </c>
      <c r="D19" t="str">
        <f>HYPERLINK("http://service.sap.com/sap/support/notes/1606690","1606690")</f>
        <v>1606690</v>
      </c>
      <c r="E19">
        <v>3</v>
      </c>
      <c r="F19" t="s">
        <v>60</v>
      </c>
    </row>
    <row r="20" spans="1:6" x14ac:dyDescent="0.25">
      <c r="A20" t="s">
        <v>53</v>
      </c>
      <c r="B20" t="s">
        <v>37</v>
      </c>
      <c r="C20" t="s">
        <v>38</v>
      </c>
      <c r="D20" t="str">
        <f>HYPERLINK("http://service.sap.com/sap/support/notes/1636622","1636622")</f>
        <v>1636622</v>
      </c>
      <c r="E20">
        <v>2</v>
      </c>
      <c r="F20" t="s">
        <v>61</v>
      </c>
    </row>
    <row r="21" spans="1:6" x14ac:dyDescent="0.25">
      <c r="A21" t="s">
        <v>53</v>
      </c>
      <c r="B21" t="s">
        <v>11</v>
      </c>
      <c r="C21" t="s">
        <v>12</v>
      </c>
      <c r="D21" t="str">
        <f>HYPERLINK("http://service.sap.com/sap/support/notes/1611935","1611935")</f>
        <v>1611935</v>
      </c>
      <c r="E21">
        <v>2</v>
      </c>
      <c r="F21" t="s">
        <v>62</v>
      </c>
    </row>
    <row r="22" spans="1:6" x14ac:dyDescent="0.25">
      <c r="A22" t="s">
        <v>53</v>
      </c>
      <c r="B22" t="s">
        <v>11</v>
      </c>
      <c r="C22" t="s">
        <v>12</v>
      </c>
      <c r="D22" t="str">
        <f>HYPERLINK("http://service.sap.com/sap/support/notes/1617648","1617648")</f>
        <v>1617648</v>
      </c>
      <c r="E22">
        <v>2</v>
      </c>
      <c r="F22" t="s">
        <v>63</v>
      </c>
    </row>
    <row r="23" spans="1:6" x14ac:dyDescent="0.25">
      <c r="A23" t="s">
        <v>53</v>
      </c>
      <c r="B23" t="s">
        <v>11</v>
      </c>
      <c r="C23" t="s">
        <v>12</v>
      </c>
      <c r="D23" t="str">
        <f>HYPERLINK("http://service.sap.com/sap/support/notes/1630999","1630999")</f>
        <v>1630999</v>
      </c>
      <c r="E23">
        <v>5</v>
      </c>
      <c r="F23" t="s">
        <v>64</v>
      </c>
    </row>
    <row r="24" spans="1:6" x14ac:dyDescent="0.25">
      <c r="A24" t="s">
        <v>53</v>
      </c>
      <c r="B24" t="s">
        <v>11</v>
      </c>
      <c r="C24" t="s">
        <v>12</v>
      </c>
      <c r="D24" t="str">
        <f>HYPERLINK("http://service.sap.com/sap/support/notes/1634483","1634483")</f>
        <v>1634483</v>
      </c>
      <c r="E24">
        <v>1</v>
      </c>
      <c r="F24" t="s">
        <v>65</v>
      </c>
    </row>
    <row r="25" spans="1:6" x14ac:dyDescent="0.25">
      <c r="A25" t="s">
        <v>53</v>
      </c>
      <c r="B25" t="s">
        <v>11</v>
      </c>
      <c r="C25" t="s">
        <v>12</v>
      </c>
      <c r="D25" t="str">
        <f>HYPERLINK("http://service.sap.com/sap/support/notes/1636263","1636263")</f>
        <v>1636263</v>
      </c>
      <c r="E25">
        <v>2</v>
      </c>
      <c r="F25" t="s">
        <v>66</v>
      </c>
    </row>
    <row r="26" spans="1:6" x14ac:dyDescent="0.25">
      <c r="A26" t="s">
        <v>53</v>
      </c>
      <c r="B26" t="s">
        <v>11</v>
      </c>
      <c r="C26" t="s">
        <v>12</v>
      </c>
      <c r="D26" t="str">
        <f>HYPERLINK("http://service.sap.com/sap/support/notes/1638711","1638711")</f>
        <v>1638711</v>
      </c>
      <c r="E26">
        <v>2</v>
      </c>
      <c r="F26" t="s">
        <v>67</v>
      </c>
    </row>
    <row r="27" spans="1:6" x14ac:dyDescent="0.25">
      <c r="A27" t="s">
        <v>53</v>
      </c>
      <c r="B27" t="s">
        <v>11</v>
      </c>
      <c r="C27" t="s">
        <v>12</v>
      </c>
      <c r="D27" t="str">
        <f>HYPERLINK("http://service.sap.com/sap/support/notes/1654018","1654018")</f>
        <v>1654018</v>
      </c>
      <c r="E27">
        <v>1</v>
      </c>
      <c r="F27" t="s">
        <v>68</v>
      </c>
    </row>
    <row r="28" spans="1:6" x14ac:dyDescent="0.25">
      <c r="A28" t="s">
        <v>53</v>
      </c>
      <c r="B28" t="s">
        <v>11</v>
      </c>
      <c r="C28" t="s">
        <v>12</v>
      </c>
      <c r="D28" t="str">
        <f>HYPERLINK("http://service.sap.com/sap/support/notes/1667268","1667268")</f>
        <v>1667268</v>
      </c>
      <c r="E28">
        <v>1</v>
      </c>
      <c r="F28" t="s">
        <v>69</v>
      </c>
    </row>
    <row r="29" spans="1:6" x14ac:dyDescent="0.25">
      <c r="A29" t="s">
        <v>53</v>
      </c>
      <c r="B29" t="s">
        <v>13</v>
      </c>
      <c r="C29" t="s">
        <v>14</v>
      </c>
    </row>
    <row r="30" spans="1:6" x14ac:dyDescent="0.25">
      <c r="A30" t="s">
        <v>53</v>
      </c>
      <c r="B30" t="s">
        <v>15</v>
      </c>
      <c r="C30" t="s">
        <v>16</v>
      </c>
      <c r="D30" t="str">
        <f>HYPERLINK("http://service.sap.com/sap/support/notes/1596459","1596459")</f>
        <v>1596459</v>
      </c>
      <c r="E30">
        <v>5</v>
      </c>
      <c r="F30" t="s">
        <v>70</v>
      </c>
    </row>
    <row r="31" spans="1:6" x14ac:dyDescent="0.25">
      <c r="A31" t="s">
        <v>53</v>
      </c>
      <c r="B31" t="s">
        <v>15</v>
      </c>
      <c r="C31" t="s">
        <v>16</v>
      </c>
      <c r="D31" t="str">
        <f>HYPERLINK("http://service.sap.com/sap/support/notes/1613773","1613773")</f>
        <v>1613773</v>
      </c>
      <c r="E31">
        <v>1</v>
      </c>
      <c r="F31" t="s">
        <v>71</v>
      </c>
    </row>
    <row r="32" spans="1:6" x14ac:dyDescent="0.25">
      <c r="A32" t="s">
        <v>53</v>
      </c>
      <c r="B32" t="s">
        <v>15</v>
      </c>
      <c r="C32" t="s">
        <v>16</v>
      </c>
      <c r="D32" t="str">
        <f>HYPERLINK("http://service.sap.com/sap/support/notes/1614071","1614071")</f>
        <v>1614071</v>
      </c>
      <c r="E32">
        <v>2</v>
      </c>
      <c r="F32" t="s">
        <v>72</v>
      </c>
    </row>
    <row r="33" spans="1:6" x14ac:dyDescent="0.25">
      <c r="A33" t="s">
        <v>53</v>
      </c>
      <c r="B33" t="s">
        <v>15</v>
      </c>
      <c r="C33" t="s">
        <v>16</v>
      </c>
      <c r="D33" t="str">
        <f>HYPERLINK("http://service.sap.com/sap/support/notes/1614680","1614680")</f>
        <v>1614680</v>
      </c>
      <c r="E33">
        <v>2</v>
      </c>
      <c r="F33" t="s">
        <v>73</v>
      </c>
    </row>
    <row r="34" spans="1:6" x14ac:dyDescent="0.25">
      <c r="A34" t="s">
        <v>53</v>
      </c>
      <c r="B34" t="s">
        <v>15</v>
      </c>
      <c r="C34" t="s">
        <v>16</v>
      </c>
      <c r="D34" t="str">
        <f>HYPERLINK("http://service.sap.com/sap/support/notes/1623170","1623170")</f>
        <v>1623170</v>
      </c>
      <c r="E34">
        <v>3</v>
      </c>
      <c r="F34" t="s">
        <v>74</v>
      </c>
    </row>
    <row r="35" spans="1:6" x14ac:dyDescent="0.25">
      <c r="A35" t="s">
        <v>53</v>
      </c>
      <c r="B35" t="s">
        <v>15</v>
      </c>
      <c r="C35" t="s">
        <v>16</v>
      </c>
      <c r="D35" t="str">
        <f>HYPERLINK("http://service.sap.com/sap/support/notes/1635720","1635720")</f>
        <v>1635720</v>
      </c>
      <c r="E35">
        <v>1</v>
      </c>
      <c r="F35" t="s">
        <v>75</v>
      </c>
    </row>
    <row r="36" spans="1:6" x14ac:dyDescent="0.25">
      <c r="A36" t="s">
        <v>53</v>
      </c>
      <c r="B36" t="s">
        <v>15</v>
      </c>
      <c r="C36" t="s">
        <v>16</v>
      </c>
      <c r="D36" t="str">
        <f>HYPERLINK("http://service.sap.com/sap/support/notes/1644232","1644232")</f>
        <v>1644232</v>
      </c>
      <c r="E36">
        <v>2</v>
      </c>
      <c r="F36" t="s">
        <v>76</v>
      </c>
    </row>
    <row r="37" spans="1:6" x14ac:dyDescent="0.25">
      <c r="A37" t="s">
        <v>53</v>
      </c>
      <c r="B37" t="s">
        <v>17</v>
      </c>
      <c r="C37" t="s">
        <v>18</v>
      </c>
    </row>
    <row r="38" spans="1:6" x14ac:dyDescent="0.25">
      <c r="A38" t="s">
        <v>53</v>
      </c>
      <c r="B38" t="s">
        <v>19</v>
      </c>
      <c r="C38" t="s">
        <v>20</v>
      </c>
      <c r="D38" t="str">
        <f>HYPERLINK("http://service.sap.com/sap/support/notes/1589108","1589108")</f>
        <v>1589108</v>
      </c>
      <c r="E38">
        <v>2</v>
      </c>
      <c r="F38" t="s">
        <v>77</v>
      </c>
    </row>
    <row r="39" spans="1:6" x14ac:dyDescent="0.25">
      <c r="A39" t="s">
        <v>53</v>
      </c>
      <c r="B39" t="s">
        <v>19</v>
      </c>
      <c r="C39" t="s">
        <v>20</v>
      </c>
      <c r="D39" t="str">
        <f>HYPERLINK("http://service.sap.com/sap/support/notes/1607272","1607272")</f>
        <v>1607272</v>
      </c>
      <c r="E39">
        <v>2</v>
      </c>
      <c r="F39" t="s">
        <v>78</v>
      </c>
    </row>
    <row r="40" spans="1:6" x14ac:dyDescent="0.25">
      <c r="A40" t="s">
        <v>53</v>
      </c>
      <c r="B40" t="s">
        <v>19</v>
      </c>
      <c r="C40" t="s">
        <v>20</v>
      </c>
      <c r="D40" t="str">
        <f>HYPERLINK("http://service.sap.com/sap/support/notes/1622959","1622959")</f>
        <v>1622959</v>
      </c>
      <c r="E40">
        <v>1</v>
      </c>
      <c r="F40" t="s">
        <v>43</v>
      </c>
    </row>
    <row r="41" spans="1:6" x14ac:dyDescent="0.25">
      <c r="A41" t="s">
        <v>53</v>
      </c>
      <c r="B41" t="s">
        <v>19</v>
      </c>
      <c r="C41" t="s">
        <v>20</v>
      </c>
      <c r="D41" t="str">
        <f>HYPERLINK("http://service.sap.com/sap/support/notes/1630270","1630270")</f>
        <v>1630270</v>
      </c>
      <c r="E41">
        <v>2</v>
      </c>
      <c r="F41" t="s">
        <v>79</v>
      </c>
    </row>
    <row r="42" spans="1:6" x14ac:dyDescent="0.25">
      <c r="A42" t="s">
        <v>53</v>
      </c>
      <c r="B42" t="s">
        <v>21</v>
      </c>
      <c r="C42" t="s">
        <v>22</v>
      </c>
      <c r="D42" t="str">
        <f>HYPERLINK("http://service.sap.com/sap/support/notes/1623468","1623468")</f>
        <v>1623468</v>
      </c>
      <c r="E42">
        <v>1</v>
      </c>
      <c r="F42" t="s">
        <v>80</v>
      </c>
    </row>
    <row r="43" spans="1:6" x14ac:dyDescent="0.25">
      <c r="A43" t="s">
        <v>53</v>
      </c>
      <c r="B43" t="s">
        <v>21</v>
      </c>
      <c r="C43" t="s">
        <v>22</v>
      </c>
      <c r="D43" t="str">
        <f>HYPERLINK("http://service.sap.com/sap/support/notes/1623864","1623864")</f>
        <v>1623864</v>
      </c>
      <c r="E43">
        <v>2</v>
      </c>
      <c r="F43" t="s">
        <v>81</v>
      </c>
    </row>
    <row r="44" spans="1:6" x14ac:dyDescent="0.25">
      <c r="A44" t="s">
        <v>53</v>
      </c>
      <c r="B44" t="s">
        <v>21</v>
      </c>
      <c r="C44" t="s">
        <v>22</v>
      </c>
      <c r="D44" t="str">
        <f>HYPERLINK("http://service.sap.com/sap/support/notes/1624804","1624804")</f>
        <v>1624804</v>
      </c>
      <c r="E44">
        <v>2</v>
      </c>
      <c r="F44" t="s">
        <v>82</v>
      </c>
    </row>
    <row r="45" spans="1:6" x14ac:dyDescent="0.25">
      <c r="A45" t="s">
        <v>53</v>
      </c>
      <c r="B45" t="s">
        <v>21</v>
      </c>
      <c r="C45" t="s">
        <v>22</v>
      </c>
      <c r="D45" t="str">
        <f>HYPERLINK("http://service.sap.com/sap/support/notes/1628015","1628015")</f>
        <v>1628015</v>
      </c>
      <c r="E45">
        <v>1</v>
      </c>
      <c r="F45" t="s">
        <v>83</v>
      </c>
    </row>
    <row r="46" spans="1:6" x14ac:dyDescent="0.25">
      <c r="A46" t="s">
        <v>53</v>
      </c>
      <c r="B46" t="s">
        <v>21</v>
      </c>
      <c r="C46" t="s">
        <v>22</v>
      </c>
      <c r="D46" t="str">
        <f>HYPERLINK("http://service.sap.com/sap/support/notes/1663987","1663987")</f>
        <v>1663987</v>
      </c>
      <c r="E46">
        <v>1</v>
      </c>
      <c r="F46" t="s">
        <v>84</v>
      </c>
    </row>
    <row r="47" spans="1:6" x14ac:dyDescent="0.25">
      <c r="A47" t="s">
        <v>53</v>
      </c>
      <c r="B47" t="s">
        <v>21</v>
      </c>
      <c r="C47" t="s">
        <v>22</v>
      </c>
      <c r="D47" t="str">
        <f>HYPERLINK("http://service.sap.com/sap/support/notes/1668606","1668606")</f>
        <v>1668606</v>
      </c>
      <c r="E47">
        <v>1</v>
      </c>
      <c r="F47" t="s">
        <v>85</v>
      </c>
    </row>
    <row r="48" spans="1:6" x14ac:dyDescent="0.25">
      <c r="A48" t="s">
        <v>53</v>
      </c>
      <c r="B48" t="s">
        <v>24</v>
      </c>
      <c r="C48" t="s">
        <v>25</v>
      </c>
    </row>
    <row r="49" spans="1:6" x14ac:dyDescent="0.25">
      <c r="A49" t="s">
        <v>53</v>
      </c>
      <c r="B49" t="s">
        <v>26</v>
      </c>
      <c r="C49" t="s">
        <v>27</v>
      </c>
      <c r="D49" t="str">
        <f>HYPERLINK("http://service.sap.com/sap/support/notes/1614120","1614120")</f>
        <v>1614120</v>
      </c>
      <c r="E49">
        <v>1</v>
      </c>
      <c r="F49" t="s">
        <v>86</v>
      </c>
    </row>
    <row r="50" spans="1:6" x14ac:dyDescent="0.25">
      <c r="A50" t="s">
        <v>53</v>
      </c>
      <c r="B50" t="s">
        <v>28</v>
      </c>
      <c r="C50" t="s">
        <v>29</v>
      </c>
    </row>
    <row r="51" spans="1:6" x14ac:dyDescent="0.25">
      <c r="A51" t="s">
        <v>53</v>
      </c>
      <c r="B51" t="s">
        <v>30</v>
      </c>
      <c r="C51" t="s">
        <v>31</v>
      </c>
    </row>
    <row r="52" spans="1:6" x14ac:dyDescent="0.25">
      <c r="A52" t="s">
        <v>53</v>
      </c>
      <c r="B52" t="s">
        <v>32</v>
      </c>
      <c r="C52" t="s">
        <v>33</v>
      </c>
    </row>
    <row r="53" spans="1:6" x14ac:dyDescent="0.25">
      <c r="A53" t="s">
        <v>53</v>
      </c>
      <c r="B53" t="s">
        <v>34</v>
      </c>
      <c r="C53" t="s">
        <v>14</v>
      </c>
    </row>
    <row r="54" spans="1:6" x14ac:dyDescent="0.25">
      <c r="A54" t="s">
        <v>53</v>
      </c>
      <c r="B54" t="s">
        <v>35</v>
      </c>
      <c r="C54" t="s">
        <v>36</v>
      </c>
      <c r="D54" t="str">
        <f>HYPERLINK("http://service.sap.com/sap/support/notes/1640064","1640064")</f>
        <v>1640064</v>
      </c>
      <c r="E54">
        <v>1</v>
      </c>
      <c r="F54" t="s">
        <v>87</v>
      </c>
    </row>
    <row r="55" spans="1:6" x14ac:dyDescent="0.25">
      <c r="A55" t="s">
        <v>53</v>
      </c>
      <c r="B55" t="s">
        <v>39</v>
      </c>
      <c r="C55" t="s">
        <v>40</v>
      </c>
    </row>
    <row r="56" spans="1:6" x14ac:dyDescent="0.25">
      <c r="A56" t="s">
        <v>53</v>
      </c>
      <c r="B56" t="s">
        <v>45</v>
      </c>
      <c r="C56" t="s">
        <v>46</v>
      </c>
    </row>
    <row r="57" spans="1:6" x14ac:dyDescent="0.25">
      <c r="A57" t="s">
        <v>53</v>
      </c>
      <c r="B57" t="s">
        <v>47</v>
      </c>
      <c r="C57" t="s">
        <v>48</v>
      </c>
    </row>
    <row r="58" spans="1:6" x14ac:dyDescent="0.25">
      <c r="A58" t="s">
        <v>53</v>
      </c>
      <c r="B58" t="s">
        <v>49</v>
      </c>
      <c r="C58" t="s">
        <v>50</v>
      </c>
      <c r="D58" t="str">
        <f>HYPERLINK("http://service.sap.com/sap/support/notes/1643756","1643756")</f>
        <v>1643756</v>
      </c>
      <c r="E58">
        <v>1</v>
      </c>
      <c r="F58" t="s">
        <v>88</v>
      </c>
    </row>
    <row r="59" spans="1:6" x14ac:dyDescent="0.25">
      <c r="A59" t="s">
        <v>53</v>
      </c>
      <c r="B59" t="s">
        <v>49</v>
      </c>
      <c r="C59" t="s">
        <v>50</v>
      </c>
      <c r="D59" t="str">
        <f>HYPERLINK("http://service.sap.com/sap/support/notes/1646139","1646139")</f>
        <v>1646139</v>
      </c>
      <c r="E59">
        <v>1</v>
      </c>
      <c r="F59" t="s">
        <v>89</v>
      </c>
    </row>
    <row r="60" spans="1:6" x14ac:dyDescent="0.25">
      <c r="A60" t="s">
        <v>1521</v>
      </c>
      <c r="B60" t="s">
        <v>90</v>
      </c>
      <c r="C60" t="s">
        <v>91</v>
      </c>
    </row>
    <row r="61" spans="1:6" x14ac:dyDescent="0.25">
      <c r="A61" t="s">
        <v>1521</v>
      </c>
      <c r="B61" t="s">
        <v>92</v>
      </c>
      <c r="C61" t="s">
        <v>93</v>
      </c>
      <c r="D61" t="str">
        <f>HYPERLINK("http://service.sap.com/sap/support/notes/1604539","1604539")</f>
        <v>1604539</v>
      </c>
      <c r="E61">
        <v>2</v>
      </c>
      <c r="F61" t="s">
        <v>94</v>
      </c>
    </row>
    <row r="62" spans="1:6" x14ac:dyDescent="0.25">
      <c r="A62" t="s">
        <v>1521</v>
      </c>
      <c r="B62" t="s">
        <v>92</v>
      </c>
      <c r="C62" t="s">
        <v>93</v>
      </c>
      <c r="D62" t="str">
        <f>HYPERLINK("http://service.sap.com/sap/support/notes/1608233","1608233")</f>
        <v>1608233</v>
      </c>
      <c r="E62">
        <v>1</v>
      </c>
      <c r="F62" t="s">
        <v>95</v>
      </c>
    </row>
    <row r="63" spans="1:6" x14ac:dyDescent="0.25">
      <c r="A63" t="s">
        <v>1521</v>
      </c>
      <c r="B63" t="s">
        <v>92</v>
      </c>
      <c r="C63" t="s">
        <v>93</v>
      </c>
      <c r="D63" t="str">
        <f>HYPERLINK("http://service.sap.com/sap/support/notes/1608395","1608395")</f>
        <v>1608395</v>
      </c>
      <c r="E63">
        <v>2</v>
      </c>
      <c r="F63" t="s">
        <v>96</v>
      </c>
    </row>
    <row r="64" spans="1:6" x14ac:dyDescent="0.25">
      <c r="A64" t="s">
        <v>1521</v>
      </c>
      <c r="B64" t="s">
        <v>5</v>
      </c>
      <c r="C64" t="s">
        <v>6</v>
      </c>
    </row>
    <row r="65" spans="1:6" x14ac:dyDescent="0.25">
      <c r="A65" t="s">
        <v>1521</v>
      </c>
      <c r="B65" t="s">
        <v>7</v>
      </c>
      <c r="C65" t="s">
        <v>97</v>
      </c>
      <c r="D65" t="str">
        <f>HYPERLINK("http://service.sap.com/sap/support/notes/1607859","1607859")</f>
        <v>1607859</v>
      </c>
      <c r="E65">
        <v>1</v>
      </c>
      <c r="F65" t="s">
        <v>98</v>
      </c>
    </row>
    <row r="66" spans="1:6" x14ac:dyDescent="0.25">
      <c r="A66" t="s">
        <v>1521</v>
      </c>
      <c r="B66" t="s">
        <v>13</v>
      </c>
      <c r="C66" t="s">
        <v>14</v>
      </c>
    </row>
    <row r="67" spans="1:6" x14ac:dyDescent="0.25">
      <c r="A67" t="s">
        <v>1521</v>
      </c>
      <c r="B67" t="s">
        <v>99</v>
      </c>
      <c r="C67" t="s">
        <v>100</v>
      </c>
    </row>
    <row r="68" spans="1:6" x14ac:dyDescent="0.25">
      <c r="A68" t="s">
        <v>1521</v>
      </c>
      <c r="B68" t="s">
        <v>101</v>
      </c>
      <c r="C68" t="s">
        <v>102</v>
      </c>
      <c r="D68" t="str">
        <f>HYPERLINK("http://service.sap.com/sap/support/notes/1604004","1604004")</f>
        <v>1604004</v>
      </c>
      <c r="E68">
        <v>1</v>
      </c>
      <c r="F68" t="s">
        <v>103</v>
      </c>
    </row>
    <row r="69" spans="1:6" x14ac:dyDescent="0.25">
      <c r="A69" t="s">
        <v>1521</v>
      </c>
      <c r="B69" t="s">
        <v>104</v>
      </c>
      <c r="C69" t="s">
        <v>105</v>
      </c>
    </row>
    <row r="70" spans="1:6" x14ac:dyDescent="0.25">
      <c r="A70" t="s">
        <v>1521</v>
      </c>
      <c r="B70" t="s">
        <v>106</v>
      </c>
      <c r="C70" t="s">
        <v>107</v>
      </c>
      <c r="D70" t="str">
        <f>HYPERLINK("http://service.sap.com/sap/support/notes/934358","934358")</f>
        <v>934358</v>
      </c>
      <c r="E70">
        <v>1</v>
      </c>
      <c r="F70" t="s">
        <v>108</v>
      </c>
    </row>
    <row r="71" spans="1:6" x14ac:dyDescent="0.25">
      <c r="A71" t="s">
        <v>1521</v>
      </c>
      <c r="B71" t="s">
        <v>109</v>
      </c>
      <c r="C71" t="s">
        <v>110</v>
      </c>
    </row>
    <row r="72" spans="1:6" x14ac:dyDescent="0.25">
      <c r="A72" t="s">
        <v>1521</v>
      </c>
      <c r="B72" t="s">
        <v>111</v>
      </c>
      <c r="C72" t="s">
        <v>112</v>
      </c>
      <c r="D72" t="str">
        <f>HYPERLINK("http://service.sap.com/sap/support/notes/1162846","1162846")</f>
        <v>1162846</v>
      </c>
      <c r="E72">
        <v>1</v>
      </c>
      <c r="F72" t="s">
        <v>113</v>
      </c>
    </row>
    <row r="73" spans="1:6" x14ac:dyDescent="0.25">
      <c r="A73" t="s">
        <v>1521</v>
      </c>
      <c r="B73" t="s">
        <v>114</v>
      </c>
      <c r="C73" t="s">
        <v>115</v>
      </c>
    </row>
    <row r="74" spans="1:6" x14ac:dyDescent="0.25">
      <c r="A74" t="s">
        <v>1521</v>
      </c>
      <c r="B74" t="s">
        <v>116</v>
      </c>
      <c r="C74" t="s">
        <v>117</v>
      </c>
    </row>
    <row r="75" spans="1:6" x14ac:dyDescent="0.25">
      <c r="A75" t="s">
        <v>1521</v>
      </c>
      <c r="B75" t="s">
        <v>118</v>
      </c>
      <c r="C75" t="s">
        <v>119</v>
      </c>
      <c r="D75" t="str">
        <f>HYPERLINK("http://service.sap.com/sap/support/notes/1573695","1573695")</f>
        <v>1573695</v>
      </c>
      <c r="E75">
        <v>7</v>
      </c>
      <c r="F75" t="s">
        <v>120</v>
      </c>
    </row>
    <row r="76" spans="1:6" x14ac:dyDescent="0.25">
      <c r="A76" t="s">
        <v>1521</v>
      </c>
      <c r="B76" t="s">
        <v>121</v>
      </c>
      <c r="C76" t="s">
        <v>122</v>
      </c>
    </row>
    <row r="77" spans="1:6" x14ac:dyDescent="0.25">
      <c r="A77" t="s">
        <v>1521</v>
      </c>
      <c r="B77" t="s">
        <v>123</v>
      </c>
      <c r="C77" t="s">
        <v>124</v>
      </c>
    </row>
    <row r="78" spans="1:6" x14ac:dyDescent="0.25">
      <c r="A78" t="s">
        <v>1521</v>
      </c>
      <c r="B78" t="s">
        <v>125</v>
      </c>
      <c r="C78" t="s">
        <v>126</v>
      </c>
    </row>
    <row r="79" spans="1:6" x14ac:dyDescent="0.25">
      <c r="A79" t="s">
        <v>1521</v>
      </c>
      <c r="B79" t="s">
        <v>127</v>
      </c>
      <c r="C79" t="s">
        <v>128</v>
      </c>
      <c r="D79" t="str">
        <f>HYPERLINK("http://service.sap.com/sap/support/notes/1602924","1602924")</f>
        <v>1602924</v>
      </c>
      <c r="E79">
        <v>3</v>
      </c>
      <c r="F79" t="s">
        <v>129</v>
      </c>
    </row>
    <row r="80" spans="1:6" x14ac:dyDescent="0.25">
      <c r="A80" t="s">
        <v>1521</v>
      </c>
      <c r="B80" t="s">
        <v>127</v>
      </c>
      <c r="C80" t="s">
        <v>128</v>
      </c>
      <c r="D80" t="str">
        <f>HYPERLINK("http://service.sap.com/sap/support/notes/1604928","1604928")</f>
        <v>1604928</v>
      </c>
      <c r="E80">
        <v>5</v>
      </c>
      <c r="F80" t="s">
        <v>130</v>
      </c>
    </row>
    <row r="81" spans="1:6" x14ac:dyDescent="0.25">
      <c r="A81" t="s">
        <v>1521</v>
      </c>
      <c r="B81" t="s">
        <v>131</v>
      </c>
      <c r="C81" t="s">
        <v>132</v>
      </c>
    </row>
    <row r="82" spans="1:6" x14ac:dyDescent="0.25">
      <c r="A82" t="s">
        <v>1521</v>
      </c>
      <c r="B82" t="s">
        <v>133</v>
      </c>
      <c r="C82" t="s">
        <v>134</v>
      </c>
      <c r="D82" t="str">
        <f>HYPERLINK("http://service.sap.com/sap/support/notes/1601237","1601237")</f>
        <v>1601237</v>
      </c>
      <c r="E82">
        <v>2</v>
      </c>
      <c r="F82" t="s">
        <v>135</v>
      </c>
    </row>
    <row r="83" spans="1:6" x14ac:dyDescent="0.25">
      <c r="A83" t="s">
        <v>1521</v>
      </c>
      <c r="B83" t="s">
        <v>136</v>
      </c>
      <c r="C83" t="s">
        <v>25</v>
      </c>
    </row>
    <row r="84" spans="1:6" x14ac:dyDescent="0.25">
      <c r="A84" t="s">
        <v>1521</v>
      </c>
      <c r="B84" t="s">
        <v>137</v>
      </c>
      <c r="C84" t="s">
        <v>138</v>
      </c>
      <c r="D84" t="str">
        <f>HYPERLINK("http://service.sap.com/sap/support/notes/515542","515542")</f>
        <v>515542</v>
      </c>
      <c r="E84">
        <v>1</v>
      </c>
      <c r="F84" t="s">
        <v>139</v>
      </c>
    </row>
    <row r="85" spans="1:6" x14ac:dyDescent="0.25">
      <c r="A85" t="s">
        <v>1521</v>
      </c>
      <c r="B85" t="s">
        <v>140</v>
      </c>
      <c r="C85" t="s">
        <v>141</v>
      </c>
    </row>
    <row r="86" spans="1:6" x14ac:dyDescent="0.25">
      <c r="A86" t="s">
        <v>1521</v>
      </c>
      <c r="B86" t="s">
        <v>142</v>
      </c>
      <c r="C86" t="s">
        <v>143</v>
      </c>
      <c r="D86" t="str">
        <f>HYPERLINK("http://service.sap.com/sap/support/notes/1611563","1611563")</f>
        <v>1611563</v>
      </c>
      <c r="E86">
        <v>1</v>
      </c>
      <c r="F86" t="s">
        <v>144</v>
      </c>
    </row>
    <row r="87" spans="1:6" x14ac:dyDescent="0.25">
      <c r="A87" t="s">
        <v>1521</v>
      </c>
      <c r="B87" t="s">
        <v>145</v>
      </c>
      <c r="C87" t="s">
        <v>146</v>
      </c>
      <c r="D87" t="str">
        <f>HYPERLINK("http://service.sap.com/sap/support/notes/1610856","1610856")</f>
        <v>1610856</v>
      </c>
      <c r="E87">
        <v>1</v>
      </c>
      <c r="F87" t="s">
        <v>147</v>
      </c>
    </row>
    <row r="88" spans="1:6" x14ac:dyDescent="0.25">
      <c r="A88" t="s">
        <v>1521</v>
      </c>
      <c r="B88" t="s">
        <v>145</v>
      </c>
      <c r="C88" t="s">
        <v>146</v>
      </c>
      <c r="D88" t="str">
        <f>HYPERLINK("http://service.sap.com/sap/support/notes/1611041","1611041")</f>
        <v>1611041</v>
      </c>
      <c r="E88">
        <v>1</v>
      </c>
      <c r="F88" t="s">
        <v>148</v>
      </c>
    </row>
    <row r="89" spans="1:6" x14ac:dyDescent="0.25">
      <c r="A89" t="s">
        <v>1521</v>
      </c>
      <c r="B89" t="s">
        <v>149</v>
      </c>
      <c r="C89" t="s">
        <v>150</v>
      </c>
    </row>
    <row r="90" spans="1:6" x14ac:dyDescent="0.25">
      <c r="A90" t="s">
        <v>1521</v>
      </c>
      <c r="B90" t="s">
        <v>151</v>
      </c>
      <c r="C90" t="s">
        <v>152</v>
      </c>
      <c r="D90" t="str">
        <f>HYPERLINK("http://service.sap.com/sap/support/notes/1605104","1605104")</f>
        <v>1605104</v>
      </c>
      <c r="E90">
        <v>1</v>
      </c>
      <c r="F90" t="s">
        <v>153</v>
      </c>
    </row>
    <row r="91" spans="1:6" x14ac:dyDescent="0.25">
      <c r="A91" t="s">
        <v>1521</v>
      </c>
      <c r="B91" t="s">
        <v>151</v>
      </c>
      <c r="C91" t="s">
        <v>152</v>
      </c>
      <c r="D91" t="str">
        <f>HYPERLINK("http://service.sap.com/sap/support/notes/1606250","1606250")</f>
        <v>1606250</v>
      </c>
      <c r="E91">
        <v>1</v>
      </c>
      <c r="F91" t="s">
        <v>154</v>
      </c>
    </row>
    <row r="92" spans="1:6" x14ac:dyDescent="0.25">
      <c r="A92" t="s">
        <v>1521</v>
      </c>
      <c r="B92" t="s">
        <v>151</v>
      </c>
      <c r="C92" t="s">
        <v>152</v>
      </c>
      <c r="D92" t="str">
        <f>HYPERLINK("http://service.sap.com/sap/support/notes/1607274","1607274")</f>
        <v>1607274</v>
      </c>
      <c r="E92">
        <v>1</v>
      </c>
      <c r="F92" t="s">
        <v>155</v>
      </c>
    </row>
    <row r="93" spans="1:6" x14ac:dyDescent="0.25">
      <c r="A93" t="s">
        <v>1521</v>
      </c>
      <c r="B93" t="s">
        <v>151</v>
      </c>
      <c r="C93" t="s">
        <v>152</v>
      </c>
      <c r="D93" t="str">
        <f>HYPERLINK("http://service.sap.com/sap/support/notes/1607404","1607404")</f>
        <v>1607404</v>
      </c>
      <c r="E93">
        <v>1</v>
      </c>
      <c r="F93" t="s">
        <v>156</v>
      </c>
    </row>
    <row r="94" spans="1:6" x14ac:dyDescent="0.25">
      <c r="A94" t="s">
        <v>1521</v>
      </c>
      <c r="B94" t="s">
        <v>151</v>
      </c>
      <c r="C94" t="s">
        <v>152</v>
      </c>
      <c r="D94" t="str">
        <f>HYPERLINK("http://service.sap.com/sap/support/notes/1607526","1607526")</f>
        <v>1607526</v>
      </c>
      <c r="E94">
        <v>1</v>
      </c>
      <c r="F94" t="s">
        <v>157</v>
      </c>
    </row>
    <row r="95" spans="1:6" x14ac:dyDescent="0.25">
      <c r="A95" t="s">
        <v>1521</v>
      </c>
      <c r="B95" t="s">
        <v>151</v>
      </c>
      <c r="C95" t="s">
        <v>152</v>
      </c>
      <c r="D95" t="str">
        <f>HYPERLINK("http://service.sap.com/sap/support/notes/1608859","1608859")</f>
        <v>1608859</v>
      </c>
      <c r="E95">
        <v>1</v>
      </c>
      <c r="F95" t="s">
        <v>158</v>
      </c>
    </row>
    <row r="96" spans="1:6" x14ac:dyDescent="0.25">
      <c r="A96" t="s">
        <v>1521</v>
      </c>
      <c r="B96" t="s">
        <v>151</v>
      </c>
      <c r="C96" t="s">
        <v>152</v>
      </c>
      <c r="D96" t="str">
        <f>HYPERLINK("http://service.sap.com/sap/support/notes/1609985","1609985")</f>
        <v>1609985</v>
      </c>
      <c r="E96">
        <v>1</v>
      </c>
      <c r="F96" t="s">
        <v>159</v>
      </c>
    </row>
    <row r="97" spans="1:6" x14ac:dyDescent="0.25">
      <c r="A97" t="s">
        <v>1521</v>
      </c>
      <c r="B97" t="s">
        <v>151</v>
      </c>
      <c r="C97" t="s">
        <v>152</v>
      </c>
      <c r="D97" t="str">
        <f>HYPERLINK("http://service.sap.com/sap/support/notes/1610245","1610245")</f>
        <v>1610245</v>
      </c>
      <c r="E97">
        <v>1</v>
      </c>
      <c r="F97" t="s">
        <v>160</v>
      </c>
    </row>
    <row r="98" spans="1:6" x14ac:dyDescent="0.25">
      <c r="A98" t="s">
        <v>1521</v>
      </c>
      <c r="B98" t="s">
        <v>151</v>
      </c>
      <c r="C98" t="s">
        <v>152</v>
      </c>
      <c r="D98" t="str">
        <f>HYPERLINK("http://service.sap.com/sap/support/notes/1618100","1618100")</f>
        <v>1618100</v>
      </c>
      <c r="E98">
        <v>2</v>
      </c>
      <c r="F98" t="s">
        <v>161</v>
      </c>
    </row>
    <row r="99" spans="1:6" x14ac:dyDescent="0.25">
      <c r="A99" t="s">
        <v>1521</v>
      </c>
      <c r="B99" t="s">
        <v>162</v>
      </c>
      <c r="C99" t="s">
        <v>163</v>
      </c>
    </row>
    <row r="100" spans="1:6" x14ac:dyDescent="0.25">
      <c r="A100" t="s">
        <v>1521</v>
      </c>
      <c r="B100" t="s">
        <v>164</v>
      </c>
      <c r="C100" t="s">
        <v>165</v>
      </c>
      <c r="D100" t="str">
        <f>HYPERLINK("http://service.sap.com/sap/support/notes/1611658","1611658")</f>
        <v>1611658</v>
      </c>
      <c r="E100">
        <v>2</v>
      </c>
      <c r="F100" t="s">
        <v>166</v>
      </c>
    </row>
    <row r="101" spans="1:6" x14ac:dyDescent="0.25">
      <c r="A101" t="s">
        <v>1521</v>
      </c>
      <c r="B101" t="s">
        <v>167</v>
      </c>
      <c r="C101" t="s">
        <v>168</v>
      </c>
    </row>
    <row r="102" spans="1:6" x14ac:dyDescent="0.25">
      <c r="A102" t="s">
        <v>1521</v>
      </c>
      <c r="B102" t="s">
        <v>169</v>
      </c>
      <c r="C102" t="s">
        <v>170</v>
      </c>
      <c r="D102" t="str">
        <f>HYPERLINK("http://service.sap.com/sap/support/notes/1588809","1588809")</f>
        <v>1588809</v>
      </c>
      <c r="E102">
        <v>2</v>
      </c>
      <c r="F102" t="s">
        <v>171</v>
      </c>
    </row>
    <row r="103" spans="1:6" x14ac:dyDescent="0.25">
      <c r="A103" t="s">
        <v>1521</v>
      </c>
      <c r="B103" t="s">
        <v>172</v>
      </c>
      <c r="C103" t="s">
        <v>173</v>
      </c>
    </row>
    <row r="104" spans="1:6" x14ac:dyDescent="0.25">
      <c r="A104" t="s">
        <v>1521</v>
      </c>
      <c r="B104" t="s">
        <v>174</v>
      </c>
      <c r="C104" t="s">
        <v>175</v>
      </c>
      <c r="D104" t="str">
        <f>HYPERLINK("http://service.sap.com/sap/support/notes/1605185","1605185")</f>
        <v>1605185</v>
      </c>
      <c r="E104">
        <v>1</v>
      </c>
      <c r="F104" t="s">
        <v>176</v>
      </c>
    </row>
    <row r="105" spans="1:6" x14ac:dyDescent="0.25">
      <c r="A105" t="s">
        <v>1521</v>
      </c>
      <c r="B105" t="s">
        <v>174</v>
      </c>
      <c r="C105" t="s">
        <v>175</v>
      </c>
      <c r="D105" t="str">
        <f>HYPERLINK("http://service.sap.com/sap/support/notes/1610254","1610254")</f>
        <v>1610254</v>
      </c>
      <c r="E105">
        <v>1</v>
      </c>
      <c r="F105" t="s">
        <v>177</v>
      </c>
    </row>
    <row r="106" spans="1:6" x14ac:dyDescent="0.25">
      <c r="A106" t="s">
        <v>1521</v>
      </c>
      <c r="B106" t="s">
        <v>178</v>
      </c>
      <c r="C106" t="s">
        <v>179</v>
      </c>
      <c r="D106" t="str">
        <f>HYPERLINK("http://service.sap.com/sap/support/notes/1602911","1602911")</f>
        <v>1602911</v>
      </c>
      <c r="E106">
        <v>4</v>
      </c>
      <c r="F106" t="s">
        <v>180</v>
      </c>
    </row>
    <row r="107" spans="1:6" x14ac:dyDescent="0.25">
      <c r="A107" t="s">
        <v>1521</v>
      </c>
      <c r="B107" t="s">
        <v>181</v>
      </c>
      <c r="C107" t="s">
        <v>182</v>
      </c>
    </row>
    <row r="108" spans="1:6" x14ac:dyDescent="0.25">
      <c r="A108" t="s">
        <v>1521</v>
      </c>
      <c r="B108" t="s">
        <v>183</v>
      </c>
      <c r="C108" t="s">
        <v>184</v>
      </c>
      <c r="D108" t="str">
        <f>HYPERLINK("http://service.sap.com/sap/support/notes/1608388","1608388")</f>
        <v>1608388</v>
      </c>
      <c r="E108">
        <v>1</v>
      </c>
      <c r="F108" t="s">
        <v>185</v>
      </c>
    </row>
    <row r="109" spans="1:6" x14ac:dyDescent="0.25">
      <c r="A109" t="s">
        <v>1521</v>
      </c>
      <c r="B109" t="s">
        <v>186</v>
      </c>
      <c r="C109" t="s">
        <v>187</v>
      </c>
    </row>
    <row r="110" spans="1:6" x14ac:dyDescent="0.25">
      <c r="A110" t="s">
        <v>1521</v>
      </c>
      <c r="B110" t="s">
        <v>188</v>
      </c>
      <c r="C110" t="s">
        <v>189</v>
      </c>
      <c r="D110" t="str">
        <f>HYPERLINK("http://service.sap.com/sap/support/notes/1603672","1603672")</f>
        <v>1603672</v>
      </c>
      <c r="E110">
        <v>4</v>
      </c>
      <c r="F110" t="s">
        <v>190</v>
      </c>
    </row>
    <row r="111" spans="1:6" x14ac:dyDescent="0.25">
      <c r="A111" t="s">
        <v>1521</v>
      </c>
      <c r="B111" t="s">
        <v>191</v>
      </c>
      <c r="C111" t="s">
        <v>192</v>
      </c>
      <c r="D111" t="str">
        <f>HYPERLINK("http://service.sap.com/sap/support/notes/1554965","1554965")</f>
        <v>1554965</v>
      </c>
      <c r="E111">
        <v>8</v>
      </c>
      <c r="F111" t="s">
        <v>193</v>
      </c>
    </row>
    <row r="112" spans="1:6" x14ac:dyDescent="0.25">
      <c r="A112" t="s">
        <v>1521</v>
      </c>
      <c r="B112" t="s">
        <v>191</v>
      </c>
      <c r="C112" t="s">
        <v>192</v>
      </c>
      <c r="D112" t="str">
        <f>HYPERLINK("http://service.sap.com/sap/support/notes/1601070","1601070")</f>
        <v>1601070</v>
      </c>
      <c r="E112">
        <v>3</v>
      </c>
      <c r="F112" t="s">
        <v>194</v>
      </c>
    </row>
    <row r="113" spans="1:6" x14ac:dyDescent="0.25">
      <c r="A113" t="s">
        <v>1521</v>
      </c>
      <c r="B113" t="s">
        <v>191</v>
      </c>
      <c r="C113" t="s">
        <v>192</v>
      </c>
      <c r="D113" t="str">
        <f>HYPERLINK("http://service.sap.com/sap/support/notes/1601875","1601875")</f>
        <v>1601875</v>
      </c>
      <c r="E113">
        <v>4</v>
      </c>
      <c r="F113" t="s">
        <v>195</v>
      </c>
    </row>
    <row r="114" spans="1:6" x14ac:dyDescent="0.25">
      <c r="A114" t="s">
        <v>1521</v>
      </c>
      <c r="B114" t="s">
        <v>191</v>
      </c>
      <c r="C114" t="s">
        <v>192</v>
      </c>
      <c r="D114" t="str">
        <f>HYPERLINK("http://service.sap.com/sap/support/notes/1608345","1608345")</f>
        <v>1608345</v>
      </c>
      <c r="E114">
        <v>1</v>
      </c>
      <c r="F114" t="s">
        <v>196</v>
      </c>
    </row>
    <row r="115" spans="1:6" x14ac:dyDescent="0.25">
      <c r="A115" t="s">
        <v>1521</v>
      </c>
      <c r="B115" t="s">
        <v>191</v>
      </c>
      <c r="C115" t="s">
        <v>192</v>
      </c>
      <c r="D115" t="str">
        <f>HYPERLINK("http://service.sap.com/sap/support/notes/1613437","1613437")</f>
        <v>1613437</v>
      </c>
      <c r="E115">
        <v>2</v>
      </c>
      <c r="F115" t="s">
        <v>197</v>
      </c>
    </row>
    <row r="116" spans="1:6" x14ac:dyDescent="0.25">
      <c r="A116" t="s">
        <v>1521</v>
      </c>
      <c r="B116" t="s">
        <v>191</v>
      </c>
      <c r="C116" t="s">
        <v>192</v>
      </c>
      <c r="D116" t="str">
        <f>HYPERLINK("http://service.sap.com/sap/support/notes/1615333","1615333")</f>
        <v>1615333</v>
      </c>
      <c r="E116">
        <v>7</v>
      </c>
      <c r="F116" t="s">
        <v>198</v>
      </c>
    </row>
    <row r="117" spans="1:6" x14ac:dyDescent="0.25">
      <c r="A117" t="s">
        <v>1521</v>
      </c>
      <c r="B117" t="s">
        <v>191</v>
      </c>
      <c r="C117" t="s">
        <v>192</v>
      </c>
      <c r="D117" t="str">
        <f>HYPERLINK("http://service.sap.com/sap/support/notes/1619603","1619603")</f>
        <v>1619603</v>
      </c>
      <c r="E117">
        <v>2</v>
      </c>
      <c r="F117" t="s">
        <v>199</v>
      </c>
    </row>
    <row r="118" spans="1:6" x14ac:dyDescent="0.25">
      <c r="A118" t="s">
        <v>1521</v>
      </c>
      <c r="B118" t="s">
        <v>200</v>
      </c>
      <c r="C118" t="s">
        <v>201</v>
      </c>
      <c r="D118" t="str">
        <f>HYPERLINK("http://service.sap.com/sap/support/notes/1606371","1606371")</f>
        <v>1606371</v>
      </c>
      <c r="E118">
        <v>2</v>
      </c>
      <c r="F118" t="s">
        <v>202</v>
      </c>
    </row>
    <row r="119" spans="1:6" x14ac:dyDescent="0.25">
      <c r="A119" t="s">
        <v>1521</v>
      </c>
      <c r="B119" t="s">
        <v>203</v>
      </c>
      <c r="C119" t="s">
        <v>204</v>
      </c>
    </row>
    <row r="120" spans="1:6" x14ac:dyDescent="0.25">
      <c r="A120" t="s">
        <v>1521</v>
      </c>
      <c r="B120" t="s">
        <v>205</v>
      </c>
      <c r="C120" t="s">
        <v>206</v>
      </c>
    </row>
    <row r="121" spans="1:6" x14ac:dyDescent="0.25">
      <c r="A121" t="s">
        <v>1521</v>
      </c>
      <c r="B121" t="s">
        <v>207</v>
      </c>
      <c r="C121" t="s">
        <v>208</v>
      </c>
      <c r="D121" t="str">
        <f>HYPERLINK("http://service.sap.com/sap/support/notes/1606261","1606261")</f>
        <v>1606261</v>
      </c>
      <c r="E121">
        <v>1</v>
      </c>
      <c r="F121" t="s">
        <v>209</v>
      </c>
    </row>
    <row r="122" spans="1:6" x14ac:dyDescent="0.25">
      <c r="A122" t="s">
        <v>1521</v>
      </c>
      <c r="B122" t="s">
        <v>207</v>
      </c>
      <c r="C122" t="s">
        <v>208</v>
      </c>
      <c r="D122" t="str">
        <f>HYPERLINK("http://service.sap.com/sap/support/notes/1609693","1609693")</f>
        <v>1609693</v>
      </c>
      <c r="E122">
        <v>2</v>
      </c>
      <c r="F122" t="s">
        <v>210</v>
      </c>
    </row>
    <row r="123" spans="1:6" x14ac:dyDescent="0.25">
      <c r="A123" t="s">
        <v>1521</v>
      </c>
      <c r="B123" t="s">
        <v>207</v>
      </c>
      <c r="C123" t="s">
        <v>208</v>
      </c>
      <c r="D123" t="str">
        <f>HYPERLINK("http://service.sap.com/sap/support/notes/1616748","1616748")</f>
        <v>1616748</v>
      </c>
      <c r="E123">
        <v>1</v>
      </c>
      <c r="F123" t="s">
        <v>211</v>
      </c>
    </row>
    <row r="124" spans="1:6" x14ac:dyDescent="0.25">
      <c r="A124" t="s">
        <v>1521</v>
      </c>
      <c r="B124" t="s">
        <v>212</v>
      </c>
      <c r="C124" t="s">
        <v>213</v>
      </c>
      <c r="D124" t="str">
        <f>HYPERLINK("http://service.sap.com/sap/support/notes/1607888","1607888")</f>
        <v>1607888</v>
      </c>
      <c r="E124">
        <v>1</v>
      </c>
      <c r="F124" t="s">
        <v>214</v>
      </c>
    </row>
    <row r="125" spans="1:6" x14ac:dyDescent="0.25">
      <c r="A125" t="s">
        <v>1521</v>
      </c>
      <c r="B125" t="s">
        <v>215</v>
      </c>
      <c r="C125" t="s">
        <v>216</v>
      </c>
      <c r="D125" t="str">
        <f>HYPERLINK("http://service.sap.com/sap/support/notes/1610882","1610882")</f>
        <v>1610882</v>
      </c>
      <c r="E125">
        <v>1</v>
      </c>
      <c r="F125" t="s">
        <v>217</v>
      </c>
    </row>
    <row r="126" spans="1:6" x14ac:dyDescent="0.25">
      <c r="A126" t="s">
        <v>1521</v>
      </c>
      <c r="B126" t="s">
        <v>218</v>
      </c>
      <c r="C126" t="s">
        <v>126</v>
      </c>
      <c r="D126" t="str">
        <f>HYPERLINK("http://service.sap.com/sap/support/notes/603439","603439")</f>
        <v>603439</v>
      </c>
      <c r="E126">
        <v>4</v>
      </c>
      <c r="F126" t="s">
        <v>219</v>
      </c>
    </row>
    <row r="127" spans="1:6" x14ac:dyDescent="0.25">
      <c r="A127" t="s">
        <v>1521</v>
      </c>
      <c r="B127" t="s">
        <v>220</v>
      </c>
      <c r="C127" t="s">
        <v>128</v>
      </c>
      <c r="D127" t="str">
        <f>HYPERLINK("http://service.sap.com/sap/support/notes/1606693","1606693")</f>
        <v>1606693</v>
      </c>
      <c r="E127">
        <v>1</v>
      </c>
      <c r="F127" t="s">
        <v>221</v>
      </c>
    </row>
    <row r="128" spans="1:6" x14ac:dyDescent="0.25">
      <c r="A128" t="s">
        <v>1521</v>
      </c>
      <c r="B128" t="s">
        <v>220</v>
      </c>
      <c r="C128" t="s">
        <v>128</v>
      </c>
      <c r="D128" t="str">
        <f>HYPERLINK("http://service.sap.com/sap/support/notes/1608539","1608539")</f>
        <v>1608539</v>
      </c>
      <c r="E128">
        <v>1</v>
      </c>
      <c r="F128" t="s">
        <v>222</v>
      </c>
    </row>
    <row r="129" spans="1:6" x14ac:dyDescent="0.25">
      <c r="A129" t="s">
        <v>1521</v>
      </c>
      <c r="B129" t="s">
        <v>220</v>
      </c>
      <c r="C129" t="s">
        <v>128</v>
      </c>
      <c r="D129" t="str">
        <f>HYPERLINK("http://service.sap.com/sap/support/notes/1617867","1617867")</f>
        <v>1617867</v>
      </c>
      <c r="E129">
        <v>2</v>
      </c>
      <c r="F129" t="s">
        <v>223</v>
      </c>
    </row>
    <row r="130" spans="1:6" x14ac:dyDescent="0.25">
      <c r="A130" t="s">
        <v>1521</v>
      </c>
      <c r="B130" t="s">
        <v>224</v>
      </c>
      <c r="C130" t="s">
        <v>225</v>
      </c>
    </row>
    <row r="131" spans="1:6" x14ac:dyDescent="0.25">
      <c r="A131" t="s">
        <v>1521</v>
      </c>
      <c r="B131" t="s">
        <v>226</v>
      </c>
      <c r="C131" t="s">
        <v>14</v>
      </c>
      <c r="D131" t="str">
        <f>HYPERLINK("http://service.sap.com/sap/support/notes/1602588","1602588")</f>
        <v>1602588</v>
      </c>
      <c r="E131">
        <v>3</v>
      </c>
      <c r="F131" t="s">
        <v>227</v>
      </c>
    </row>
    <row r="132" spans="1:6" x14ac:dyDescent="0.25">
      <c r="A132" t="s">
        <v>1521</v>
      </c>
      <c r="B132" t="s">
        <v>226</v>
      </c>
      <c r="C132" t="s">
        <v>14</v>
      </c>
      <c r="D132" t="str">
        <f>HYPERLINK("http://service.sap.com/sap/support/notes/1604221","1604221")</f>
        <v>1604221</v>
      </c>
      <c r="E132">
        <v>6</v>
      </c>
      <c r="F132" t="s">
        <v>228</v>
      </c>
    </row>
    <row r="133" spans="1:6" x14ac:dyDescent="0.25">
      <c r="A133" t="s">
        <v>1521</v>
      </c>
      <c r="B133" t="s">
        <v>226</v>
      </c>
      <c r="C133" t="s">
        <v>14</v>
      </c>
      <c r="D133" t="str">
        <f>HYPERLINK("http://service.sap.com/sap/support/notes/1609884","1609884")</f>
        <v>1609884</v>
      </c>
      <c r="E133">
        <v>1</v>
      </c>
      <c r="F133" t="s">
        <v>229</v>
      </c>
    </row>
    <row r="134" spans="1:6" x14ac:dyDescent="0.25">
      <c r="A134" t="s">
        <v>1521</v>
      </c>
      <c r="B134" t="s">
        <v>230</v>
      </c>
      <c r="C134" t="s">
        <v>231</v>
      </c>
      <c r="D134" t="str">
        <f>HYPERLINK("http://service.sap.com/sap/support/notes/556421","556421")</f>
        <v>556421</v>
      </c>
      <c r="E134">
        <v>1</v>
      </c>
      <c r="F134" t="s">
        <v>232</v>
      </c>
    </row>
    <row r="135" spans="1:6" x14ac:dyDescent="0.25">
      <c r="A135" t="s">
        <v>1521</v>
      </c>
      <c r="B135" t="s">
        <v>233</v>
      </c>
      <c r="C135" t="s">
        <v>234</v>
      </c>
      <c r="D135" t="str">
        <f>HYPERLINK("http://service.sap.com/sap/support/notes/1619055","1619055")</f>
        <v>1619055</v>
      </c>
      <c r="E135">
        <v>3</v>
      </c>
      <c r="F135" t="s">
        <v>235</v>
      </c>
    </row>
    <row r="136" spans="1:6" x14ac:dyDescent="0.25">
      <c r="A136" t="s">
        <v>1521</v>
      </c>
      <c r="B136" t="s">
        <v>236</v>
      </c>
      <c r="C136" t="s">
        <v>237</v>
      </c>
      <c r="D136" t="str">
        <f>HYPERLINK("http://service.sap.com/sap/support/notes/1605043","1605043")</f>
        <v>1605043</v>
      </c>
      <c r="E136">
        <v>1</v>
      </c>
      <c r="F136" t="s">
        <v>238</v>
      </c>
    </row>
    <row r="137" spans="1:6" x14ac:dyDescent="0.25">
      <c r="A137" t="s">
        <v>1521</v>
      </c>
      <c r="B137" t="s">
        <v>239</v>
      </c>
      <c r="C137" t="s">
        <v>240</v>
      </c>
    </row>
    <row r="138" spans="1:6" x14ac:dyDescent="0.25">
      <c r="A138" t="s">
        <v>1521</v>
      </c>
      <c r="B138" t="s">
        <v>241</v>
      </c>
      <c r="C138" t="s">
        <v>14</v>
      </c>
      <c r="D138" t="str">
        <f>HYPERLINK("http://service.sap.com/sap/support/notes/873002","873002")</f>
        <v>873002</v>
      </c>
      <c r="E138">
        <v>2</v>
      </c>
      <c r="F138" t="s">
        <v>242</v>
      </c>
    </row>
    <row r="139" spans="1:6" x14ac:dyDescent="0.25">
      <c r="A139" t="s">
        <v>1521</v>
      </c>
      <c r="B139" t="s">
        <v>241</v>
      </c>
      <c r="C139" t="s">
        <v>14</v>
      </c>
      <c r="D139" t="str">
        <f>HYPERLINK("http://service.sap.com/sap/support/notes/1615412","1615412")</f>
        <v>1615412</v>
      </c>
      <c r="E139">
        <v>2</v>
      </c>
      <c r="F139" t="s">
        <v>243</v>
      </c>
    </row>
    <row r="140" spans="1:6" x14ac:dyDescent="0.25">
      <c r="A140" t="s">
        <v>1521</v>
      </c>
      <c r="B140" t="s">
        <v>241</v>
      </c>
      <c r="C140" t="s">
        <v>14</v>
      </c>
      <c r="D140" t="str">
        <f>HYPERLINK("http://service.sap.com/sap/support/notes/1616986","1616986")</f>
        <v>1616986</v>
      </c>
      <c r="E140">
        <v>4</v>
      </c>
      <c r="F140" t="s">
        <v>244</v>
      </c>
    </row>
    <row r="141" spans="1:6" x14ac:dyDescent="0.25">
      <c r="A141" t="s">
        <v>1521</v>
      </c>
      <c r="B141" t="s">
        <v>245</v>
      </c>
      <c r="C141" t="s">
        <v>246</v>
      </c>
      <c r="D141" t="str">
        <f>HYPERLINK("http://service.sap.com/sap/support/notes/1584033","1584033")</f>
        <v>1584033</v>
      </c>
      <c r="E141">
        <v>3</v>
      </c>
      <c r="F141" t="s">
        <v>247</v>
      </c>
    </row>
    <row r="142" spans="1:6" x14ac:dyDescent="0.25">
      <c r="A142" t="s">
        <v>1521</v>
      </c>
      <c r="B142" t="s">
        <v>245</v>
      </c>
      <c r="C142" t="s">
        <v>246</v>
      </c>
      <c r="D142" t="str">
        <f>HYPERLINK("http://service.sap.com/sap/support/notes/1606591","1606591")</f>
        <v>1606591</v>
      </c>
      <c r="E142">
        <v>4</v>
      </c>
      <c r="F142" t="s">
        <v>248</v>
      </c>
    </row>
    <row r="143" spans="1:6" x14ac:dyDescent="0.25">
      <c r="A143" t="s">
        <v>1521</v>
      </c>
      <c r="B143" t="s">
        <v>245</v>
      </c>
      <c r="C143" t="s">
        <v>246</v>
      </c>
      <c r="D143" t="str">
        <f>HYPERLINK("http://service.sap.com/sap/support/notes/1608831","1608831")</f>
        <v>1608831</v>
      </c>
      <c r="E143">
        <v>3</v>
      </c>
      <c r="F143" t="s">
        <v>249</v>
      </c>
    </row>
    <row r="144" spans="1:6" x14ac:dyDescent="0.25">
      <c r="A144" t="s">
        <v>1521</v>
      </c>
      <c r="B144" t="s">
        <v>250</v>
      </c>
      <c r="C144" t="s">
        <v>251</v>
      </c>
    </row>
    <row r="145" spans="1:6" x14ac:dyDescent="0.25">
      <c r="A145" t="s">
        <v>1521</v>
      </c>
      <c r="B145" t="s">
        <v>252</v>
      </c>
      <c r="C145" t="s">
        <v>253</v>
      </c>
      <c r="D145" t="str">
        <f>HYPERLINK("http://service.sap.com/sap/support/notes/1592422","1592422")</f>
        <v>1592422</v>
      </c>
      <c r="E145">
        <v>2</v>
      </c>
      <c r="F145" t="s">
        <v>254</v>
      </c>
    </row>
    <row r="146" spans="1:6" x14ac:dyDescent="0.25">
      <c r="A146" t="s">
        <v>1521</v>
      </c>
      <c r="B146" t="s">
        <v>252</v>
      </c>
      <c r="C146" t="s">
        <v>253</v>
      </c>
      <c r="D146" t="str">
        <f>HYPERLINK("http://service.sap.com/sap/support/notes/1602599","1602599")</f>
        <v>1602599</v>
      </c>
      <c r="E146">
        <v>2</v>
      </c>
      <c r="F146" t="s">
        <v>255</v>
      </c>
    </row>
    <row r="147" spans="1:6" x14ac:dyDescent="0.25">
      <c r="A147" t="s">
        <v>1521</v>
      </c>
      <c r="B147" t="s">
        <v>252</v>
      </c>
      <c r="C147" t="s">
        <v>253</v>
      </c>
      <c r="D147" t="str">
        <f>HYPERLINK("http://service.sap.com/sap/support/notes/1610469","1610469")</f>
        <v>1610469</v>
      </c>
      <c r="E147">
        <v>1</v>
      </c>
      <c r="F147" t="s">
        <v>256</v>
      </c>
    </row>
    <row r="148" spans="1:6" x14ac:dyDescent="0.25">
      <c r="A148" t="s">
        <v>1521</v>
      </c>
      <c r="B148" t="s">
        <v>257</v>
      </c>
      <c r="C148" t="s">
        <v>258</v>
      </c>
      <c r="D148" t="str">
        <f>HYPERLINK("http://service.sap.com/sap/support/notes/1600673","1600673")</f>
        <v>1600673</v>
      </c>
      <c r="E148">
        <v>3</v>
      </c>
      <c r="F148" t="s">
        <v>259</v>
      </c>
    </row>
    <row r="149" spans="1:6" x14ac:dyDescent="0.25">
      <c r="A149" t="s">
        <v>1521</v>
      </c>
      <c r="B149" t="s">
        <v>260</v>
      </c>
      <c r="C149" t="s">
        <v>261</v>
      </c>
      <c r="D149" t="str">
        <f>HYPERLINK("http://service.sap.com/sap/support/notes/1594443","1594443")</f>
        <v>1594443</v>
      </c>
      <c r="E149">
        <v>2</v>
      </c>
      <c r="F149" t="s">
        <v>262</v>
      </c>
    </row>
    <row r="150" spans="1:6" x14ac:dyDescent="0.25">
      <c r="A150" t="s">
        <v>1521</v>
      </c>
      <c r="B150" t="s">
        <v>263</v>
      </c>
      <c r="C150" t="s">
        <v>264</v>
      </c>
      <c r="D150" t="str">
        <f>HYPERLINK("http://service.sap.com/sap/support/notes/1601279","1601279")</f>
        <v>1601279</v>
      </c>
      <c r="E150">
        <v>2</v>
      </c>
      <c r="F150" t="s">
        <v>265</v>
      </c>
    </row>
    <row r="151" spans="1:6" x14ac:dyDescent="0.25">
      <c r="A151" t="s">
        <v>1521</v>
      </c>
      <c r="B151" t="s">
        <v>266</v>
      </c>
      <c r="C151" t="s">
        <v>267</v>
      </c>
      <c r="D151" t="str">
        <f>HYPERLINK("http://service.sap.com/sap/support/notes/1576620","1576620")</f>
        <v>1576620</v>
      </c>
      <c r="E151">
        <v>2</v>
      </c>
      <c r="F151" t="s">
        <v>268</v>
      </c>
    </row>
    <row r="152" spans="1:6" x14ac:dyDescent="0.25">
      <c r="A152" t="s">
        <v>1521</v>
      </c>
      <c r="B152" t="s">
        <v>266</v>
      </c>
      <c r="C152" t="s">
        <v>267</v>
      </c>
      <c r="D152" t="str">
        <f>HYPERLINK("http://service.sap.com/sap/support/notes/1604407","1604407")</f>
        <v>1604407</v>
      </c>
      <c r="E152">
        <v>3</v>
      </c>
      <c r="F152" t="s">
        <v>269</v>
      </c>
    </row>
    <row r="153" spans="1:6" x14ac:dyDescent="0.25">
      <c r="A153" t="s">
        <v>1521</v>
      </c>
      <c r="B153" t="s">
        <v>266</v>
      </c>
      <c r="C153" t="s">
        <v>267</v>
      </c>
      <c r="D153" t="str">
        <f>HYPERLINK("http://service.sap.com/sap/support/notes/1609781","1609781")</f>
        <v>1609781</v>
      </c>
      <c r="E153">
        <v>1</v>
      </c>
      <c r="F153" t="s">
        <v>270</v>
      </c>
    </row>
    <row r="154" spans="1:6" x14ac:dyDescent="0.25">
      <c r="A154" t="s">
        <v>1521</v>
      </c>
      <c r="B154" t="s">
        <v>266</v>
      </c>
      <c r="C154" t="s">
        <v>267</v>
      </c>
      <c r="D154" t="str">
        <f>HYPERLINK("http://service.sap.com/sap/support/notes/1610155","1610155")</f>
        <v>1610155</v>
      </c>
      <c r="E154">
        <v>2</v>
      </c>
      <c r="F154" t="s">
        <v>271</v>
      </c>
    </row>
    <row r="155" spans="1:6" x14ac:dyDescent="0.25">
      <c r="A155" t="s">
        <v>1521</v>
      </c>
      <c r="B155" t="s">
        <v>272</v>
      </c>
      <c r="C155" t="s">
        <v>273</v>
      </c>
      <c r="D155" t="str">
        <f>HYPERLINK("http://service.sap.com/sap/support/notes/1597581","1597581")</f>
        <v>1597581</v>
      </c>
      <c r="E155">
        <v>2</v>
      </c>
      <c r="F155" t="s">
        <v>274</v>
      </c>
    </row>
    <row r="156" spans="1:6" x14ac:dyDescent="0.25">
      <c r="A156" t="s">
        <v>1521</v>
      </c>
      <c r="B156" t="s">
        <v>272</v>
      </c>
      <c r="C156" t="s">
        <v>273</v>
      </c>
      <c r="D156" t="str">
        <f>HYPERLINK("http://service.sap.com/sap/support/notes/1608405","1608405")</f>
        <v>1608405</v>
      </c>
      <c r="E156">
        <v>2</v>
      </c>
      <c r="F156" t="s">
        <v>275</v>
      </c>
    </row>
    <row r="157" spans="1:6" x14ac:dyDescent="0.25">
      <c r="A157" t="s">
        <v>1521</v>
      </c>
      <c r="B157" t="s">
        <v>276</v>
      </c>
      <c r="C157" t="s">
        <v>277</v>
      </c>
      <c r="D157" t="str">
        <f>HYPERLINK("http://service.sap.com/sap/support/notes/1606506","1606506")</f>
        <v>1606506</v>
      </c>
      <c r="E157">
        <v>1</v>
      </c>
      <c r="F157" t="s">
        <v>278</v>
      </c>
    </row>
    <row r="158" spans="1:6" x14ac:dyDescent="0.25">
      <c r="A158" t="s">
        <v>1521</v>
      </c>
      <c r="B158" t="s">
        <v>276</v>
      </c>
      <c r="C158" t="s">
        <v>277</v>
      </c>
      <c r="D158" t="str">
        <f>HYPERLINK("http://service.sap.com/sap/support/notes/1611978","1611978")</f>
        <v>1611978</v>
      </c>
      <c r="E158">
        <v>1</v>
      </c>
      <c r="F158" t="s">
        <v>279</v>
      </c>
    </row>
    <row r="159" spans="1:6" x14ac:dyDescent="0.25">
      <c r="A159" t="s">
        <v>1521</v>
      </c>
      <c r="B159" t="s">
        <v>280</v>
      </c>
      <c r="C159" t="s">
        <v>281</v>
      </c>
    </row>
    <row r="160" spans="1:6" x14ac:dyDescent="0.25">
      <c r="A160" t="s">
        <v>1521</v>
      </c>
      <c r="B160" t="s">
        <v>282</v>
      </c>
      <c r="C160" t="s">
        <v>14</v>
      </c>
    </row>
    <row r="161" spans="1:6" x14ac:dyDescent="0.25">
      <c r="A161" t="s">
        <v>1521</v>
      </c>
      <c r="B161" t="s">
        <v>283</v>
      </c>
      <c r="C161" t="s">
        <v>284</v>
      </c>
    </row>
    <row r="162" spans="1:6" x14ac:dyDescent="0.25">
      <c r="A162" t="s">
        <v>1521</v>
      </c>
      <c r="B162" t="s">
        <v>285</v>
      </c>
      <c r="C162" t="s">
        <v>286</v>
      </c>
      <c r="D162" t="str">
        <f>HYPERLINK("http://service.sap.com/sap/support/notes/1603943","1603943")</f>
        <v>1603943</v>
      </c>
      <c r="E162">
        <v>1</v>
      </c>
      <c r="F162" t="s">
        <v>287</v>
      </c>
    </row>
    <row r="163" spans="1:6" x14ac:dyDescent="0.25">
      <c r="A163" t="s">
        <v>1521</v>
      </c>
      <c r="B163" t="s">
        <v>288</v>
      </c>
      <c r="C163" t="s">
        <v>289</v>
      </c>
    </row>
    <row r="164" spans="1:6" x14ac:dyDescent="0.25">
      <c r="A164" t="s">
        <v>1521</v>
      </c>
      <c r="B164" t="s">
        <v>290</v>
      </c>
      <c r="C164" t="s">
        <v>291</v>
      </c>
      <c r="D164" t="str">
        <f>HYPERLINK("http://service.sap.com/sap/support/notes/1588755","1588755")</f>
        <v>1588755</v>
      </c>
      <c r="E164">
        <v>6</v>
      </c>
      <c r="F164" t="s">
        <v>292</v>
      </c>
    </row>
    <row r="165" spans="1:6" x14ac:dyDescent="0.25">
      <c r="A165" t="s">
        <v>1521</v>
      </c>
      <c r="B165" t="s">
        <v>293</v>
      </c>
      <c r="C165" t="s">
        <v>294</v>
      </c>
    </row>
    <row r="166" spans="1:6" x14ac:dyDescent="0.25">
      <c r="A166" t="s">
        <v>1521</v>
      </c>
      <c r="B166" t="s">
        <v>295</v>
      </c>
      <c r="C166" t="s">
        <v>296</v>
      </c>
    </row>
    <row r="167" spans="1:6" x14ac:dyDescent="0.25">
      <c r="A167" t="s">
        <v>1521</v>
      </c>
      <c r="B167" t="s">
        <v>297</v>
      </c>
      <c r="C167" t="s">
        <v>298</v>
      </c>
    </row>
    <row r="168" spans="1:6" x14ac:dyDescent="0.25">
      <c r="A168" t="s">
        <v>1521</v>
      </c>
      <c r="B168" t="s">
        <v>299</v>
      </c>
      <c r="C168" t="s">
        <v>300</v>
      </c>
      <c r="D168" t="str">
        <f>HYPERLINK("http://service.sap.com/sap/support/notes/1605953","1605953")</f>
        <v>1605953</v>
      </c>
      <c r="E168">
        <v>4</v>
      </c>
      <c r="F168" t="s">
        <v>301</v>
      </c>
    </row>
    <row r="169" spans="1:6" x14ac:dyDescent="0.25">
      <c r="A169" t="s">
        <v>1521</v>
      </c>
      <c r="B169" t="s">
        <v>302</v>
      </c>
      <c r="C169" t="s">
        <v>303</v>
      </c>
      <c r="D169" t="str">
        <f>HYPERLINK("http://service.sap.com/sap/support/notes/1607234","1607234")</f>
        <v>1607234</v>
      </c>
      <c r="E169">
        <v>1</v>
      </c>
      <c r="F169" t="s">
        <v>304</v>
      </c>
    </row>
    <row r="170" spans="1:6" x14ac:dyDescent="0.25">
      <c r="A170" t="s">
        <v>1521</v>
      </c>
      <c r="B170" t="s">
        <v>302</v>
      </c>
      <c r="C170" t="s">
        <v>303</v>
      </c>
      <c r="D170" t="str">
        <f>HYPERLINK("http://service.sap.com/sap/support/notes/1616245","1616245")</f>
        <v>1616245</v>
      </c>
      <c r="E170">
        <v>3</v>
      </c>
      <c r="F170" t="s">
        <v>305</v>
      </c>
    </row>
    <row r="171" spans="1:6" x14ac:dyDescent="0.25">
      <c r="A171" t="s">
        <v>1521</v>
      </c>
      <c r="B171" t="s">
        <v>306</v>
      </c>
      <c r="C171" t="s">
        <v>307</v>
      </c>
    </row>
    <row r="172" spans="1:6" x14ac:dyDescent="0.25">
      <c r="A172" t="s">
        <v>1521</v>
      </c>
      <c r="B172" t="s">
        <v>308</v>
      </c>
      <c r="C172" t="s">
        <v>309</v>
      </c>
      <c r="D172" t="str">
        <f>HYPERLINK("http://service.sap.com/sap/support/notes/1611406","1611406")</f>
        <v>1611406</v>
      </c>
      <c r="E172">
        <v>1</v>
      </c>
      <c r="F172" t="s">
        <v>310</v>
      </c>
    </row>
    <row r="173" spans="1:6" x14ac:dyDescent="0.25">
      <c r="A173" t="s">
        <v>1521</v>
      </c>
      <c r="B173" t="s">
        <v>311</v>
      </c>
      <c r="C173" t="s">
        <v>312</v>
      </c>
    </row>
    <row r="174" spans="1:6" x14ac:dyDescent="0.25">
      <c r="A174" t="s">
        <v>1521</v>
      </c>
      <c r="B174" t="s">
        <v>313</v>
      </c>
      <c r="C174" t="s">
        <v>314</v>
      </c>
    </row>
    <row r="175" spans="1:6" x14ac:dyDescent="0.25">
      <c r="A175" t="s">
        <v>1521</v>
      </c>
      <c r="B175" t="s">
        <v>315</v>
      </c>
      <c r="C175" t="s">
        <v>316</v>
      </c>
    </row>
    <row r="176" spans="1:6" x14ac:dyDescent="0.25">
      <c r="A176" t="s">
        <v>1521</v>
      </c>
      <c r="B176" t="s">
        <v>317</v>
      </c>
      <c r="C176" t="s">
        <v>318</v>
      </c>
      <c r="D176" t="str">
        <f>HYPERLINK("http://service.sap.com/sap/support/notes/1400738","1400738")</f>
        <v>1400738</v>
      </c>
      <c r="E176">
        <v>7</v>
      </c>
      <c r="F176" t="s">
        <v>319</v>
      </c>
    </row>
    <row r="177" spans="1:6" x14ac:dyDescent="0.25">
      <c r="A177" t="s">
        <v>1521</v>
      </c>
      <c r="B177" t="s">
        <v>317</v>
      </c>
      <c r="C177" t="s">
        <v>318</v>
      </c>
      <c r="D177" t="str">
        <f>HYPERLINK("http://service.sap.com/sap/support/notes/1542140","1542140")</f>
        <v>1542140</v>
      </c>
      <c r="E177">
        <v>4</v>
      </c>
      <c r="F177" t="s">
        <v>320</v>
      </c>
    </row>
    <row r="178" spans="1:6" x14ac:dyDescent="0.25">
      <c r="A178" t="s">
        <v>1521</v>
      </c>
      <c r="B178" t="s">
        <v>317</v>
      </c>
      <c r="C178" t="s">
        <v>318</v>
      </c>
      <c r="D178" t="str">
        <f>HYPERLINK("http://service.sap.com/sap/support/notes/1563295","1563295")</f>
        <v>1563295</v>
      </c>
      <c r="E178">
        <v>6</v>
      </c>
      <c r="F178" t="s">
        <v>321</v>
      </c>
    </row>
    <row r="179" spans="1:6" x14ac:dyDescent="0.25">
      <c r="A179" t="s">
        <v>1521</v>
      </c>
      <c r="B179" t="s">
        <v>317</v>
      </c>
      <c r="C179" t="s">
        <v>318</v>
      </c>
      <c r="D179" t="str">
        <f>HYPERLINK("http://service.sap.com/sap/support/notes/1566287","1566287")</f>
        <v>1566287</v>
      </c>
      <c r="E179">
        <v>1</v>
      </c>
      <c r="F179" t="s">
        <v>322</v>
      </c>
    </row>
    <row r="180" spans="1:6" x14ac:dyDescent="0.25">
      <c r="A180" t="s">
        <v>1521</v>
      </c>
      <c r="B180" t="s">
        <v>317</v>
      </c>
      <c r="C180" t="s">
        <v>318</v>
      </c>
      <c r="D180" t="str">
        <f>HYPERLINK("http://service.sap.com/sap/support/notes/1605375","1605375")</f>
        <v>1605375</v>
      </c>
      <c r="E180">
        <v>2</v>
      </c>
      <c r="F180" t="s">
        <v>323</v>
      </c>
    </row>
    <row r="181" spans="1:6" x14ac:dyDescent="0.25">
      <c r="A181" t="s">
        <v>1521</v>
      </c>
      <c r="B181" t="s">
        <v>324</v>
      </c>
      <c r="C181" t="s">
        <v>325</v>
      </c>
    </row>
    <row r="182" spans="1:6" x14ac:dyDescent="0.25">
      <c r="A182" t="s">
        <v>1521</v>
      </c>
      <c r="B182" t="s">
        <v>326</v>
      </c>
      <c r="C182" t="s">
        <v>327</v>
      </c>
      <c r="D182" t="str">
        <f>HYPERLINK("http://service.sap.com/sap/support/notes/1601346","1601346")</f>
        <v>1601346</v>
      </c>
      <c r="E182">
        <v>3</v>
      </c>
      <c r="F182" t="s">
        <v>328</v>
      </c>
    </row>
    <row r="183" spans="1:6" x14ac:dyDescent="0.25">
      <c r="A183" t="s">
        <v>1521</v>
      </c>
      <c r="B183" t="s">
        <v>326</v>
      </c>
      <c r="C183" t="s">
        <v>327</v>
      </c>
      <c r="D183" t="str">
        <f>HYPERLINK("http://service.sap.com/sap/support/notes/1602009","1602009")</f>
        <v>1602009</v>
      </c>
      <c r="E183">
        <v>3</v>
      </c>
      <c r="F183" t="s">
        <v>329</v>
      </c>
    </row>
    <row r="184" spans="1:6" x14ac:dyDescent="0.25">
      <c r="A184" t="s">
        <v>1521</v>
      </c>
      <c r="B184" t="s">
        <v>326</v>
      </c>
      <c r="C184" t="s">
        <v>327</v>
      </c>
      <c r="D184" t="str">
        <f>HYPERLINK("http://service.sap.com/sap/support/notes/1602516","1602516")</f>
        <v>1602516</v>
      </c>
      <c r="E184">
        <v>2</v>
      </c>
      <c r="F184" t="s">
        <v>330</v>
      </c>
    </row>
    <row r="185" spans="1:6" x14ac:dyDescent="0.25">
      <c r="A185" t="s">
        <v>1521</v>
      </c>
      <c r="B185" t="s">
        <v>326</v>
      </c>
      <c r="C185" t="s">
        <v>327</v>
      </c>
      <c r="D185" t="str">
        <f>HYPERLINK("http://service.sap.com/sap/support/notes/1604398","1604398")</f>
        <v>1604398</v>
      </c>
      <c r="E185">
        <v>2</v>
      </c>
      <c r="F185" t="s">
        <v>331</v>
      </c>
    </row>
    <row r="186" spans="1:6" x14ac:dyDescent="0.25">
      <c r="A186" t="s">
        <v>1521</v>
      </c>
      <c r="B186" t="s">
        <v>326</v>
      </c>
      <c r="C186" t="s">
        <v>327</v>
      </c>
      <c r="D186" t="str">
        <f>HYPERLINK("http://service.sap.com/sap/support/notes/1606514","1606514")</f>
        <v>1606514</v>
      </c>
      <c r="E186">
        <v>2</v>
      </c>
      <c r="F186" t="s">
        <v>332</v>
      </c>
    </row>
    <row r="187" spans="1:6" x14ac:dyDescent="0.25">
      <c r="A187" t="s">
        <v>1521</v>
      </c>
      <c r="B187" t="s">
        <v>326</v>
      </c>
      <c r="C187" t="s">
        <v>327</v>
      </c>
      <c r="D187" t="str">
        <f>HYPERLINK("http://service.sap.com/sap/support/notes/1611104","1611104")</f>
        <v>1611104</v>
      </c>
      <c r="E187">
        <v>1</v>
      </c>
      <c r="F187" t="s">
        <v>333</v>
      </c>
    </row>
    <row r="188" spans="1:6" x14ac:dyDescent="0.25">
      <c r="A188" t="s">
        <v>1521</v>
      </c>
      <c r="B188" t="s">
        <v>334</v>
      </c>
      <c r="C188" t="s">
        <v>132</v>
      </c>
    </row>
    <row r="189" spans="1:6" x14ac:dyDescent="0.25">
      <c r="A189" t="s">
        <v>1521</v>
      </c>
      <c r="B189" t="s">
        <v>335</v>
      </c>
      <c r="C189" t="s">
        <v>134</v>
      </c>
    </row>
    <row r="190" spans="1:6" x14ac:dyDescent="0.25">
      <c r="A190" t="s">
        <v>1521</v>
      </c>
      <c r="B190" t="s">
        <v>336</v>
      </c>
      <c r="C190" t="s">
        <v>337</v>
      </c>
    </row>
    <row r="191" spans="1:6" x14ac:dyDescent="0.25">
      <c r="A191" t="s">
        <v>1521</v>
      </c>
      <c r="B191" t="s">
        <v>338</v>
      </c>
      <c r="C191" t="s">
        <v>14</v>
      </c>
      <c r="D191" t="str">
        <f>HYPERLINK("http://service.sap.com/sap/support/notes/1591790","1591790")</f>
        <v>1591790</v>
      </c>
      <c r="E191">
        <v>2</v>
      </c>
      <c r="F191" t="s">
        <v>339</v>
      </c>
    </row>
    <row r="192" spans="1:6" x14ac:dyDescent="0.25">
      <c r="A192" t="s">
        <v>1521</v>
      </c>
      <c r="B192" t="s">
        <v>338</v>
      </c>
      <c r="C192" t="s">
        <v>14</v>
      </c>
      <c r="D192" t="str">
        <f>HYPERLINK("http://service.sap.com/sap/support/notes/1591891","1591891")</f>
        <v>1591891</v>
      </c>
      <c r="E192">
        <v>4</v>
      </c>
      <c r="F192" t="s">
        <v>340</v>
      </c>
    </row>
    <row r="193" spans="1:6" x14ac:dyDescent="0.25">
      <c r="A193" t="s">
        <v>1521</v>
      </c>
      <c r="B193" t="s">
        <v>338</v>
      </c>
      <c r="C193" t="s">
        <v>14</v>
      </c>
      <c r="D193" t="str">
        <f>HYPERLINK("http://service.sap.com/sap/support/notes/1593448","1593448")</f>
        <v>1593448</v>
      </c>
      <c r="E193">
        <v>4</v>
      </c>
      <c r="F193" t="s">
        <v>341</v>
      </c>
    </row>
    <row r="194" spans="1:6" x14ac:dyDescent="0.25">
      <c r="A194" t="s">
        <v>1521</v>
      </c>
      <c r="B194" t="s">
        <v>342</v>
      </c>
      <c r="C194" t="s">
        <v>343</v>
      </c>
      <c r="D194" t="str">
        <f>HYPERLINK("http://service.sap.com/sap/support/notes/1607118","1607118")</f>
        <v>1607118</v>
      </c>
      <c r="E194">
        <v>1</v>
      </c>
      <c r="F194" t="s">
        <v>344</v>
      </c>
    </row>
    <row r="195" spans="1:6" x14ac:dyDescent="0.25">
      <c r="A195" t="s">
        <v>1521</v>
      </c>
      <c r="B195" t="s">
        <v>345</v>
      </c>
      <c r="C195" t="s">
        <v>346</v>
      </c>
      <c r="D195" t="str">
        <f>HYPERLINK("http://service.sap.com/sap/support/notes/1567863","1567863")</f>
        <v>1567863</v>
      </c>
      <c r="E195">
        <v>5</v>
      </c>
      <c r="F195" t="s">
        <v>347</v>
      </c>
    </row>
    <row r="196" spans="1:6" x14ac:dyDescent="0.25">
      <c r="A196" t="s">
        <v>1521</v>
      </c>
      <c r="B196" t="s">
        <v>345</v>
      </c>
      <c r="C196" t="s">
        <v>346</v>
      </c>
      <c r="D196" t="str">
        <f>HYPERLINK("http://service.sap.com/sap/support/notes/1596016","1596016")</f>
        <v>1596016</v>
      </c>
      <c r="E196">
        <v>3</v>
      </c>
      <c r="F196" t="s">
        <v>348</v>
      </c>
    </row>
    <row r="197" spans="1:6" x14ac:dyDescent="0.25">
      <c r="A197" t="s">
        <v>1521</v>
      </c>
      <c r="B197" t="s">
        <v>349</v>
      </c>
      <c r="C197" t="s">
        <v>350</v>
      </c>
      <c r="D197" t="str">
        <f>HYPERLINK("http://service.sap.com/sap/support/notes/1571715","1571715")</f>
        <v>1571715</v>
      </c>
      <c r="E197">
        <v>3</v>
      </c>
      <c r="F197" t="s">
        <v>351</v>
      </c>
    </row>
    <row r="198" spans="1:6" x14ac:dyDescent="0.25">
      <c r="A198" t="s">
        <v>1521</v>
      </c>
      <c r="B198" t="s">
        <v>349</v>
      </c>
      <c r="C198" t="s">
        <v>350</v>
      </c>
      <c r="D198" t="str">
        <f>HYPERLINK("http://service.sap.com/sap/support/notes/1587973","1587973")</f>
        <v>1587973</v>
      </c>
      <c r="E198">
        <v>5</v>
      </c>
      <c r="F198" t="s">
        <v>352</v>
      </c>
    </row>
    <row r="199" spans="1:6" x14ac:dyDescent="0.25">
      <c r="A199" t="s">
        <v>1521</v>
      </c>
      <c r="B199" t="s">
        <v>349</v>
      </c>
      <c r="C199" t="s">
        <v>350</v>
      </c>
      <c r="D199" t="str">
        <f>HYPERLINK("http://service.sap.com/sap/support/notes/1606928","1606928")</f>
        <v>1606928</v>
      </c>
      <c r="E199">
        <v>2</v>
      </c>
      <c r="F199" t="s">
        <v>353</v>
      </c>
    </row>
    <row r="200" spans="1:6" x14ac:dyDescent="0.25">
      <c r="A200" t="s">
        <v>1521</v>
      </c>
      <c r="B200" t="s">
        <v>354</v>
      </c>
      <c r="C200" t="s">
        <v>355</v>
      </c>
    </row>
    <row r="201" spans="1:6" x14ac:dyDescent="0.25">
      <c r="A201" t="s">
        <v>1521</v>
      </c>
      <c r="B201" t="s">
        <v>356</v>
      </c>
      <c r="C201" t="s">
        <v>337</v>
      </c>
      <c r="D201" t="str">
        <f>HYPERLINK("http://service.sap.com/sap/support/notes/1618508","1618508")</f>
        <v>1618508</v>
      </c>
      <c r="E201">
        <v>2</v>
      </c>
      <c r="F201" t="s">
        <v>357</v>
      </c>
    </row>
    <row r="202" spans="1:6" x14ac:dyDescent="0.25">
      <c r="A202" t="s">
        <v>1521</v>
      </c>
      <c r="B202" t="s">
        <v>358</v>
      </c>
      <c r="C202" t="s">
        <v>359</v>
      </c>
      <c r="D202" t="str">
        <f>HYPERLINK("http://service.sap.com/sap/support/notes/1611279","1611279")</f>
        <v>1611279</v>
      </c>
      <c r="E202">
        <v>2</v>
      </c>
      <c r="F202" t="s">
        <v>360</v>
      </c>
    </row>
    <row r="203" spans="1:6" x14ac:dyDescent="0.25">
      <c r="A203" t="s">
        <v>1521</v>
      </c>
      <c r="B203" t="s">
        <v>358</v>
      </c>
      <c r="C203" t="s">
        <v>359</v>
      </c>
      <c r="D203" t="str">
        <f>HYPERLINK("http://service.sap.com/sap/support/notes/1615120","1615120")</f>
        <v>1615120</v>
      </c>
      <c r="E203">
        <v>2</v>
      </c>
      <c r="F203" t="s">
        <v>361</v>
      </c>
    </row>
    <row r="204" spans="1:6" x14ac:dyDescent="0.25">
      <c r="A204" t="s">
        <v>1521</v>
      </c>
      <c r="B204" t="s">
        <v>358</v>
      </c>
      <c r="C204" t="s">
        <v>359</v>
      </c>
      <c r="D204" t="str">
        <f>HYPERLINK("http://service.sap.com/sap/support/notes/1615124","1615124")</f>
        <v>1615124</v>
      </c>
      <c r="E204">
        <v>2</v>
      </c>
      <c r="F204" t="s">
        <v>362</v>
      </c>
    </row>
    <row r="205" spans="1:6" x14ac:dyDescent="0.25">
      <c r="A205" t="s">
        <v>1521</v>
      </c>
      <c r="B205" t="s">
        <v>363</v>
      </c>
      <c r="C205" t="s">
        <v>364</v>
      </c>
      <c r="D205" t="str">
        <f>HYPERLINK("http://service.sap.com/sap/support/notes/1535200","1535200")</f>
        <v>1535200</v>
      </c>
      <c r="E205">
        <v>5</v>
      </c>
      <c r="F205" t="s">
        <v>365</v>
      </c>
    </row>
    <row r="206" spans="1:6" x14ac:dyDescent="0.25">
      <c r="A206" t="s">
        <v>1521</v>
      </c>
      <c r="B206" t="s">
        <v>363</v>
      </c>
      <c r="C206" t="s">
        <v>364</v>
      </c>
      <c r="D206" t="str">
        <f>HYPERLINK("http://service.sap.com/sap/support/notes/1583568","1583568")</f>
        <v>1583568</v>
      </c>
      <c r="E206">
        <v>2</v>
      </c>
      <c r="F206" t="s">
        <v>366</v>
      </c>
    </row>
    <row r="207" spans="1:6" x14ac:dyDescent="0.25">
      <c r="A207" t="s">
        <v>1521</v>
      </c>
      <c r="B207" t="s">
        <v>363</v>
      </c>
      <c r="C207" t="s">
        <v>364</v>
      </c>
      <c r="D207" t="str">
        <f>HYPERLINK("http://service.sap.com/sap/support/notes/1595769","1595769")</f>
        <v>1595769</v>
      </c>
      <c r="E207">
        <v>4</v>
      </c>
      <c r="F207" t="s">
        <v>367</v>
      </c>
    </row>
    <row r="208" spans="1:6" x14ac:dyDescent="0.25">
      <c r="A208" t="s">
        <v>1521</v>
      </c>
      <c r="B208" t="s">
        <v>363</v>
      </c>
      <c r="C208" t="s">
        <v>364</v>
      </c>
      <c r="D208" t="str">
        <f>HYPERLINK("http://service.sap.com/sap/support/notes/1600488","1600488")</f>
        <v>1600488</v>
      </c>
      <c r="E208">
        <v>4</v>
      </c>
      <c r="F208" t="s">
        <v>368</v>
      </c>
    </row>
    <row r="209" spans="1:6" x14ac:dyDescent="0.25">
      <c r="A209" t="s">
        <v>1521</v>
      </c>
      <c r="B209" t="s">
        <v>363</v>
      </c>
      <c r="C209" t="s">
        <v>364</v>
      </c>
      <c r="D209" t="str">
        <f>HYPERLINK("http://service.sap.com/sap/support/notes/1605678","1605678")</f>
        <v>1605678</v>
      </c>
      <c r="E209">
        <v>1</v>
      </c>
      <c r="F209" t="s">
        <v>369</v>
      </c>
    </row>
    <row r="210" spans="1:6" x14ac:dyDescent="0.25">
      <c r="A210" t="s">
        <v>1521</v>
      </c>
      <c r="B210" t="s">
        <v>363</v>
      </c>
      <c r="C210" t="s">
        <v>364</v>
      </c>
      <c r="D210" t="str">
        <f>HYPERLINK("http://service.sap.com/sap/support/notes/1610191","1610191")</f>
        <v>1610191</v>
      </c>
      <c r="E210">
        <v>2</v>
      </c>
      <c r="F210" t="s">
        <v>370</v>
      </c>
    </row>
    <row r="211" spans="1:6" x14ac:dyDescent="0.25">
      <c r="A211" t="s">
        <v>1521</v>
      </c>
      <c r="B211" t="s">
        <v>363</v>
      </c>
      <c r="C211" t="s">
        <v>364</v>
      </c>
      <c r="D211" t="str">
        <f>HYPERLINK("http://service.sap.com/sap/support/notes/1610235","1610235")</f>
        <v>1610235</v>
      </c>
      <c r="E211">
        <v>3</v>
      </c>
      <c r="F211" t="s">
        <v>371</v>
      </c>
    </row>
    <row r="212" spans="1:6" x14ac:dyDescent="0.25">
      <c r="A212" t="s">
        <v>1521</v>
      </c>
      <c r="B212" t="s">
        <v>363</v>
      </c>
      <c r="C212" t="s">
        <v>364</v>
      </c>
      <c r="D212" t="str">
        <f>HYPERLINK("http://service.sap.com/sap/support/notes/1610875","1610875")</f>
        <v>1610875</v>
      </c>
      <c r="E212">
        <v>3</v>
      </c>
      <c r="F212" t="s">
        <v>372</v>
      </c>
    </row>
    <row r="213" spans="1:6" x14ac:dyDescent="0.25">
      <c r="A213" t="s">
        <v>1521</v>
      </c>
      <c r="B213" t="s">
        <v>363</v>
      </c>
      <c r="C213" t="s">
        <v>364</v>
      </c>
      <c r="D213" t="str">
        <f>HYPERLINK("http://service.sap.com/sap/support/notes/1617286","1617286")</f>
        <v>1617286</v>
      </c>
      <c r="E213">
        <v>3</v>
      </c>
      <c r="F213" t="s">
        <v>373</v>
      </c>
    </row>
    <row r="214" spans="1:6" x14ac:dyDescent="0.25">
      <c r="A214" t="s">
        <v>1521</v>
      </c>
      <c r="B214" t="s">
        <v>374</v>
      </c>
      <c r="C214" t="s">
        <v>375</v>
      </c>
      <c r="D214" t="str">
        <f>HYPERLINK("http://service.sap.com/sap/support/notes/1575629","1575629")</f>
        <v>1575629</v>
      </c>
      <c r="E214">
        <v>7</v>
      </c>
      <c r="F214" t="s">
        <v>376</v>
      </c>
    </row>
    <row r="215" spans="1:6" x14ac:dyDescent="0.25">
      <c r="A215" t="s">
        <v>1521</v>
      </c>
      <c r="B215" t="s">
        <v>374</v>
      </c>
      <c r="C215" t="s">
        <v>375</v>
      </c>
      <c r="D215" t="str">
        <f>HYPERLINK("http://service.sap.com/sap/support/notes/1588594","1588594")</f>
        <v>1588594</v>
      </c>
      <c r="E215">
        <v>1</v>
      </c>
      <c r="F215" t="s">
        <v>377</v>
      </c>
    </row>
    <row r="216" spans="1:6" x14ac:dyDescent="0.25">
      <c r="A216" t="s">
        <v>1521</v>
      </c>
      <c r="B216" t="s">
        <v>374</v>
      </c>
      <c r="C216" t="s">
        <v>375</v>
      </c>
      <c r="D216" t="str">
        <f>HYPERLINK("http://service.sap.com/sap/support/notes/1591708","1591708")</f>
        <v>1591708</v>
      </c>
      <c r="E216">
        <v>2</v>
      </c>
      <c r="F216" t="s">
        <v>378</v>
      </c>
    </row>
    <row r="217" spans="1:6" x14ac:dyDescent="0.25">
      <c r="A217" t="s">
        <v>1521</v>
      </c>
      <c r="B217" t="s">
        <v>374</v>
      </c>
      <c r="C217" t="s">
        <v>375</v>
      </c>
      <c r="D217" t="str">
        <f>HYPERLINK("http://service.sap.com/sap/support/notes/1594423","1594423")</f>
        <v>1594423</v>
      </c>
      <c r="E217">
        <v>4</v>
      </c>
      <c r="F217" t="s">
        <v>379</v>
      </c>
    </row>
    <row r="218" spans="1:6" x14ac:dyDescent="0.25">
      <c r="A218" t="s">
        <v>1521</v>
      </c>
      <c r="B218" t="s">
        <v>374</v>
      </c>
      <c r="C218" t="s">
        <v>375</v>
      </c>
      <c r="D218" t="str">
        <f>HYPERLINK("http://service.sap.com/sap/support/notes/1600324","1600324")</f>
        <v>1600324</v>
      </c>
      <c r="E218">
        <v>5</v>
      </c>
      <c r="F218" t="s">
        <v>380</v>
      </c>
    </row>
    <row r="219" spans="1:6" x14ac:dyDescent="0.25">
      <c r="A219" t="s">
        <v>1521</v>
      </c>
      <c r="B219" t="s">
        <v>374</v>
      </c>
      <c r="C219" t="s">
        <v>375</v>
      </c>
      <c r="D219" t="str">
        <f>HYPERLINK("http://service.sap.com/sap/support/notes/1600907","1600907")</f>
        <v>1600907</v>
      </c>
      <c r="E219">
        <v>1</v>
      </c>
      <c r="F219" t="s">
        <v>381</v>
      </c>
    </row>
    <row r="220" spans="1:6" x14ac:dyDescent="0.25">
      <c r="A220" t="s">
        <v>1521</v>
      </c>
      <c r="B220" t="s">
        <v>374</v>
      </c>
      <c r="C220" t="s">
        <v>375</v>
      </c>
      <c r="D220" t="str">
        <f>HYPERLINK("http://service.sap.com/sap/support/notes/1601774","1601774")</f>
        <v>1601774</v>
      </c>
      <c r="E220">
        <v>1</v>
      </c>
      <c r="F220" t="s">
        <v>382</v>
      </c>
    </row>
    <row r="221" spans="1:6" x14ac:dyDescent="0.25">
      <c r="A221" t="s">
        <v>1521</v>
      </c>
      <c r="B221" t="s">
        <v>374</v>
      </c>
      <c r="C221" t="s">
        <v>375</v>
      </c>
      <c r="D221" t="str">
        <f>HYPERLINK("http://service.sap.com/sap/support/notes/1602174","1602174")</f>
        <v>1602174</v>
      </c>
      <c r="E221">
        <v>2</v>
      </c>
      <c r="F221" t="s">
        <v>383</v>
      </c>
    </row>
    <row r="222" spans="1:6" x14ac:dyDescent="0.25">
      <c r="A222" t="s">
        <v>1521</v>
      </c>
      <c r="B222" t="s">
        <v>374</v>
      </c>
      <c r="C222" t="s">
        <v>375</v>
      </c>
      <c r="D222" t="str">
        <f>HYPERLINK("http://service.sap.com/sap/support/notes/1603916","1603916")</f>
        <v>1603916</v>
      </c>
      <c r="E222">
        <v>1</v>
      </c>
      <c r="F222" t="s">
        <v>384</v>
      </c>
    </row>
    <row r="223" spans="1:6" x14ac:dyDescent="0.25">
      <c r="A223" t="s">
        <v>1521</v>
      </c>
      <c r="B223" t="s">
        <v>374</v>
      </c>
      <c r="C223" t="s">
        <v>375</v>
      </c>
      <c r="D223" t="str">
        <f>HYPERLINK("http://service.sap.com/sap/support/notes/1604502","1604502")</f>
        <v>1604502</v>
      </c>
      <c r="E223">
        <v>1</v>
      </c>
      <c r="F223" t="s">
        <v>385</v>
      </c>
    </row>
    <row r="224" spans="1:6" x14ac:dyDescent="0.25">
      <c r="A224" t="s">
        <v>1521</v>
      </c>
      <c r="B224" t="s">
        <v>374</v>
      </c>
      <c r="C224" t="s">
        <v>375</v>
      </c>
      <c r="D224" t="str">
        <f>HYPERLINK("http://service.sap.com/sap/support/notes/1609565","1609565")</f>
        <v>1609565</v>
      </c>
      <c r="E224">
        <v>1</v>
      </c>
      <c r="F224" t="s">
        <v>386</v>
      </c>
    </row>
    <row r="225" spans="1:6" x14ac:dyDescent="0.25">
      <c r="A225" t="s">
        <v>1521</v>
      </c>
      <c r="B225" t="s">
        <v>374</v>
      </c>
      <c r="C225" t="s">
        <v>375</v>
      </c>
      <c r="D225" t="str">
        <f>HYPERLINK("http://service.sap.com/sap/support/notes/1610067","1610067")</f>
        <v>1610067</v>
      </c>
      <c r="E225">
        <v>5</v>
      </c>
      <c r="F225" t="s">
        <v>387</v>
      </c>
    </row>
    <row r="226" spans="1:6" x14ac:dyDescent="0.25">
      <c r="A226" t="s">
        <v>1521</v>
      </c>
      <c r="B226" t="s">
        <v>388</v>
      </c>
      <c r="C226" t="s">
        <v>389</v>
      </c>
      <c r="D226" t="str">
        <f>HYPERLINK("http://service.sap.com/sap/support/notes/1605999","1605999")</f>
        <v>1605999</v>
      </c>
      <c r="E226">
        <v>3</v>
      </c>
      <c r="F226" t="s">
        <v>390</v>
      </c>
    </row>
    <row r="227" spans="1:6" x14ac:dyDescent="0.25">
      <c r="A227" t="s">
        <v>1521</v>
      </c>
      <c r="B227" t="s">
        <v>388</v>
      </c>
      <c r="C227" t="s">
        <v>389</v>
      </c>
      <c r="D227" t="str">
        <f>HYPERLINK("http://service.sap.com/sap/support/notes/1608164","1608164")</f>
        <v>1608164</v>
      </c>
      <c r="E227">
        <v>3</v>
      </c>
      <c r="F227" t="s">
        <v>391</v>
      </c>
    </row>
    <row r="228" spans="1:6" x14ac:dyDescent="0.25">
      <c r="A228" t="s">
        <v>1521</v>
      </c>
      <c r="B228" t="s">
        <v>388</v>
      </c>
      <c r="C228" t="s">
        <v>389</v>
      </c>
      <c r="D228" t="str">
        <f>HYPERLINK("http://service.sap.com/sap/support/notes/1609132","1609132")</f>
        <v>1609132</v>
      </c>
      <c r="E228">
        <v>2</v>
      </c>
      <c r="F228" t="s">
        <v>392</v>
      </c>
    </row>
    <row r="229" spans="1:6" x14ac:dyDescent="0.25">
      <c r="A229" t="s">
        <v>1521</v>
      </c>
      <c r="B229" t="s">
        <v>393</v>
      </c>
      <c r="C229" t="s">
        <v>394</v>
      </c>
      <c r="D229" t="str">
        <f>HYPERLINK("http://service.sap.com/sap/support/notes/1601586","1601586")</f>
        <v>1601586</v>
      </c>
      <c r="E229">
        <v>4</v>
      </c>
      <c r="F229" t="s">
        <v>395</v>
      </c>
    </row>
    <row r="230" spans="1:6" x14ac:dyDescent="0.25">
      <c r="A230" t="s">
        <v>1521</v>
      </c>
      <c r="B230" t="s">
        <v>393</v>
      </c>
      <c r="C230" t="s">
        <v>394</v>
      </c>
      <c r="D230" t="str">
        <f>HYPERLINK("http://service.sap.com/sap/support/notes/1608458","1608458")</f>
        <v>1608458</v>
      </c>
      <c r="E230">
        <v>1</v>
      </c>
      <c r="F230" t="s">
        <v>396</v>
      </c>
    </row>
    <row r="231" spans="1:6" x14ac:dyDescent="0.25">
      <c r="A231" t="s">
        <v>1521</v>
      </c>
      <c r="B231" t="s">
        <v>393</v>
      </c>
      <c r="C231" t="s">
        <v>394</v>
      </c>
      <c r="D231" t="str">
        <f>HYPERLINK("http://service.sap.com/sap/support/notes/1611474","1611474")</f>
        <v>1611474</v>
      </c>
      <c r="E231">
        <v>1</v>
      </c>
      <c r="F231" t="s">
        <v>397</v>
      </c>
    </row>
    <row r="232" spans="1:6" x14ac:dyDescent="0.25">
      <c r="A232" t="s">
        <v>1521</v>
      </c>
      <c r="B232" t="s">
        <v>393</v>
      </c>
      <c r="C232" t="s">
        <v>394</v>
      </c>
      <c r="D232" t="str">
        <f>HYPERLINK("http://service.sap.com/sap/support/notes/1618364","1618364")</f>
        <v>1618364</v>
      </c>
      <c r="E232">
        <v>2</v>
      </c>
      <c r="F232" t="s">
        <v>398</v>
      </c>
    </row>
    <row r="233" spans="1:6" x14ac:dyDescent="0.25">
      <c r="A233" t="s">
        <v>1521</v>
      </c>
      <c r="B233" t="s">
        <v>399</v>
      </c>
      <c r="C233" t="s">
        <v>14</v>
      </c>
      <c r="D233" t="str">
        <f>HYPERLINK("http://service.sap.com/sap/support/notes/1493056","1493056")</f>
        <v>1493056</v>
      </c>
      <c r="E233">
        <v>2</v>
      </c>
      <c r="F233" t="s">
        <v>400</v>
      </c>
    </row>
    <row r="234" spans="1:6" x14ac:dyDescent="0.25">
      <c r="A234" t="s">
        <v>1521</v>
      </c>
      <c r="B234" t="s">
        <v>399</v>
      </c>
      <c r="C234" t="s">
        <v>14</v>
      </c>
      <c r="D234" t="str">
        <f>HYPERLINK("http://service.sap.com/sap/support/notes/1569694","1569694")</f>
        <v>1569694</v>
      </c>
      <c r="E234">
        <v>4</v>
      </c>
      <c r="F234" t="s">
        <v>401</v>
      </c>
    </row>
    <row r="235" spans="1:6" x14ac:dyDescent="0.25">
      <c r="A235" t="s">
        <v>1521</v>
      </c>
      <c r="B235" t="s">
        <v>399</v>
      </c>
      <c r="C235" t="s">
        <v>14</v>
      </c>
      <c r="D235" t="str">
        <f>HYPERLINK("http://service.sap.com/sap/support/notes/1581028","1581028")</f>
        <v>1581028</v>
      </c>
      <c r="E235">
        <v>4</v>
      </c>
      <c r="F235" t="s">
        <v>402</v>
      </c>
    </row>
    <row r="236" spans="1:6" x14ac:dyDescent="0.25">
      <c r="A236" t="s">
        <v>1521</v>
      </c>
      <c r="B236" t="s">
        <v>403</v>
      </c>
      <c r="C236" t="s">
        <v>404</v>
      </c>
      <c r="D236" t="str">
        <f>HYPERLINK("http://service.sap.com/sap/support/notes/1600945","1600945")</f>
        <v>1600945</v>
      </c>
      <c r="E236">
        <v>2</v>
      </c>
      <c r="F236" t="s">
        <v>405</v>
      </c>
    </row>
    <row r="237" spans="1:6" x14ac:dyDescent="0.25">
      <c r="A237" t="s">
        <v>1521</v>
      </c>
      <c r="B237" t="s">
        <v>403</v>
      </c>
      <c r="C237" t="s">
        <v>404</v>
      </c>
      <c r="D237" t="str">
        <f>HYPERLINK("http://service.sap.com/sap/support/notes/1604417","1604417")</f>
        <v>1604417</v>
      </c>
      <c r="E237">
        <v>2</v>
      </c>
      <c r="F237" t="s">
        <v>406</v>
      </c>
    </row>
    <row r="238" spans="1:6" x14ac:dyDescent="0.25">
      <c r="A238" t="s">
        <v>1521</v>
      </c>
      <c r="B238" t="s">
        <v>403</v>
      </c>
      <c r="C238" t="s">
        <v>404</v>
      </c>
      <c r="D238" t="str">
        <f>HYPERLINK("http://service.sap.com/sap/support/notes/1605800","1605800")</f>
        <v>1605800</v>
      </c>
      <c r="E238">
        <v>2</v>
      </c>
      <c r="F238" t="s">
        <v>407</v>
      </c>
    </row>
    <row r="239" spans="1:6" x14ac:dyDescent="0.25">
      <c r="A239" t="s">
        <v>1521</v>
      </c>
      <c r="B239" t="s">
        <v>408</v>
      </c>
      <c r="C239" t="s">
        <v>409</v>
      </c>
      <c r="D239" t="str">
        <f>HYPERLINK("http://service.sap.com/sap/support/notes/1605537","1605537")</f>
        <v>1605537</v>
      </c>
      <c r="E239">
        <v>1</v>
      </c>
      <c r="F239" t="s">
        <v>410</v>
      </c>
    </row>
    <row r="240" spans="1:6" x14ac:dyDescent="0.25">
      <c r="A240" t="s">
        <v>1521</v>
      </c>
      <c r="B240" t="s">
        <v>411</v>
      </c>
      <c r="C240" t="s">
        <v>412</v>
      </c>
    </row>
    <row r="241" spans="1:6" x14ac:dyDescent="0.25">
      <c r="A241" t="s">
        <v>1521</v>
      </c>
      <c r="B241" t="s">
        <v>413</v>
      </c>
      <c r="C241" t="s">
        <v>337</v>
      </c>
    </row>
    <row r="242" spans="1:6" x14ac:dyDescent="0.25">
      <c r="A242" t="s">
        <v>1521</v>
      </c>
      <c r="B242" t="s">
        <v>414</v>
      </c>
      <c r="C242" t="s">
        <v>359</v>
      </c>
      <c r="D242" t="str">
        <f>HYPERLINK("http://service.sap.com/sap/support/notes/1603593","1603593")</f>
        <v>1603593</v>
      </c>
      <c r="E242">
        <v>4</v>
      </c>
      <c r="F242" t="s">
        <v>415</v>
      </c>
    </row>
    <row r="243" spans="1:6" x14ac:dyDescent="0.25">
      <c r="A243" t="s">
        <v>1521</v>
      </c>
      <c r="B243" t="s">
        <v>416</v>
      </c>
      <c r="C243" t="s">
        <v>417</v>
      </c>
      <c r="D243" t="str">
        <f>HYPERLINK("http://service.sap.com/sap/support/notes/1583259","1583259")</f>
        <v>1583259</v>
      </c>
      <c r="E243">
        <v>2</v>
      </c>
      <c r="F243" t="s">
        <v>418</v>
      </c>
    </row>
    <row r="244" spans="1:6" x14ac:dyDescent="0.25">
      <c r="A244" t="s">
        <v>1521</v>
      </c>
      <c r="B244" t="s">
        <v>416</v>
      </c>
      <c r="C244" t="s">
        <v>417</v>
      </c>
      <c r="D244" t="str">
        <f>HYPERLINK("http://service.sap.com/sap/support/notes/1590180","1590180")</f>
        <v>1590180</v>
      </c>
      <c r="E244">
        <v>2</v>
      </c>
      <c r="F244" t="s">
        <v>419</v>
      </c>
    </row>
    <row r="245" spans="1:6" x14ac:dyDescent="0.25">
      <c r="A245" t="s">
        <v>1521</v>
      </c>
      <c r="B245" t="s">
        <v>416</v>
      </c>
      <c r="C245" t="s">
        <v>417</v>
      </c>
      <c r="D245" t="str">
        <f>HYPERLINK("http://service.sap.com/sap/support/notes/1593824","1593824")</f>
        <v>1593824</v>
      </c>
      <c r="E245">
        <v>2</v>
      </c>
      <c r="F245" t="s">
        <v>420</v>
      </c>
    </row>
    <row r="246" spans="1:6" x14ac:dyDescent="0.25">
      <c r="A246" t="s">
        <v>1521</v>
      </c>
      <c r="B246" t="s">
        <v>416</v>
      </c>
      <c r="C246" t="s">
        <v>417</v>
      </c>
      <c r="D246" t="str">
        <f>HYPERLINK("http://service.sap.com/sap/support/notes/1605363","1605363")</f>
        <v>1605363</v>
      </c>
      <c r="E246">
        <v>4</v>
      </c>
      <c r="F246" t="s">
        <v>421</v>
      </c>
    </row>
    <row r="247" spans="1:6" x14ac:dyDescent="0.25">
      <c r="A247" t="s">
        <v>1521</v>
      </c>
      <c r="B247" t="s">
        <v>416</v>
      </c>
      <c r="C247" t="s">
        <v>417</v>
      </c>
      <c r="D247" t="str">
        <f>HYPERLINK("http://service.sap.com/sap/support/notes/1614692","1614692")</f>
        <v>1614692</v>
      </c>
      <c r="E247">
        <v>3</v>
      </c>
      <c r="F247" t="s">
        <v>422</v>
      </c>
    </row>
    <row r="248" spans="1:6" x14ac:dyDescent="0.25">
      <c r="A248" t="s">
        <v>1521</v>
      </c>
      <c r="B248" t="s">
        <v>416</v>
      </c>
      <c r="C248" t="s">
        <v>417</v>
      </c>
      <c r="D248" t="str">
        <f>HYPERLINK("http://service.sap.com/sap/support/notes/1617018","1617018")</f>
        <v>1617018</v>
      </c>
      <c r="E248">
        <v>2</v>
      </c>
      <c r="F248" t="s">
        <v>423</v>
      </c>
    </row>
    <row r="249" spans="1:6" x14ac:dyDescent="0.25">
      <c r="A249" t="s">
        <v>1521</v>
      </c>
      <c r="B249" t="s">
        <v>424</v>
      </c>
      <c r="C249" t="s">
        <v>425</v>
      </c>
      <c r="D249" t="str">
        <f>HYPERLINK("http://service.sap.com/sap/support/notes/1604877","1604877")</f>
        <v>1604877</v>
      </c>
      <c r="E249">
        <v>4</v>
      </c>
      <c r="F249" t="s">
        <v>426</v>
      </c>
    </row>
    <row r="250" spans="1:6" x14ac:dyDescent="0.25">
      <c r="A250" t="s">
        <v>1521</v>
      </c>
      <c r="B250" t="s">
        <v>424</v>
      </c>
      <c r="C250" t="s">
        <v>425</v>
      </c>
      <c r="D250" t="str">
        <f>HYPERLINK("http://service.sap.com/sap/support/notes/1621020","1621020")</f>
        <v>1621020</v>
      </c>
      <c r="E250">
        <v>2</v>
      </c>
      <c r="F250" t="s">
        <v>427</v>
      </c>
    </row>
    <row r="251" spans="1:6" x14ac:dyDescent="0.25">
      <c r="A251" t="s">
        <v>1521</v>
      </c>
      <c r="B251" t="s">
        <v>428</v>
      </c>
      <c r="C251" t="s">
        <v>394</v>
      </c>
      <c r="D251" t="str">
        <f>HYPERLINK("http://service.sap.com/sap/support/notes/1066615","1066615")</f>
        <v>1066615</v>
      </c>
      <c r="E251">
        <v>4</v>
      </c>
      <c r="F251" t="s">
        <v>429</v>
      </c>
    </row>
    <row r="252" spans="1:6" x14ac:dyDescent="0.25">
      <c r="A252" t="s">
        <v>1521</v>
      </c>
      <c r="B252" t="s">
        <v>428</v>
      </c>
      <c r="C252" t="s">
        <v>394</v>
      </c>
      <c r="D252" t="str">
        <f>HYPERLINK("http://service.sap.com/sap/support/notes/1607165","1607165")</f>
        <v>1607165</v>
      </c>
      <c r="E252">
        <v>1</v>
      </c>
      <c r="F252" t="s">
        <v>430</v>
      </c>
    </row>
    <row r="253" spans="1:6" x14ac:dyDescent="0.25">
      <c r="A253" t="s">
        <v>1521</v>
      </c>
      <c r="B253" t="s">
        <v>431</v>
      </c>
      <c r="C253" t="s">
        <v>432</v>
      </c>
    </row>
    <row r="254" spans="1:6" x14ac:dyDescent="0.25">
      <c r="A254" t="s">
        <v>1521</v>
      </c>
      <c r="B254" t="s">
        <v>433</v>
      </c>
      <c r="C254" t="s">
        <v>434</v>
      </c>
    </row>
    <row r="255" spans="1:6" x14ac:dyDescent="0.25">
      <c r="A255" t="s">
        <v>1521</v>
      </c>
      <c r="B255" t="s">
        <v>435</v>
      </c>
      <c r="C255" t="s">
        <v>436</v>
      </c>
      <c r="D255" t="str">
        <f>HYPERLINK("http://service.sap.com/sap/support/notes/1595013","1595013")</f>
        <v>1595013</v>
      </c>
      <c r="E255">
        <v>3</v>
      </c>
      <c r="F255" t="s">
        <v>437</v>
      </c>
    </row>
    <row r="256" spans="1:6" x14ac:dyDescent="0.25">
      <c r="A256" t="s">
        <v>1521</v>
      </c>
      <c r="B256" t="s">
        <v>435</v>
      </c>
      <c r="C256" t="s">
        <v>436</v>
      </c>
      <c r="D256" t="str">
        <f>HYPERLINK("http://service.sap.com/sap/support/notes/1597136","1597136")</f>
        <v>1597136</v>
      </c>
      <c r="E256">
        <v>4</v>
      </c>
      <c r="F256" t="s">
        <v>438</v>
      </c>
    </row>
    <row r="257" spans="1:6" x14ac:dyDescent="0.25">
      <c r="A257" t="s">
        <v>1521</v>
      </c>
      <c r="B257" t="s">
        <v>435</v>
      </c>
      <c r="C257" t="s">
        <v>436</v>
      </c>
      <c r="D257" t="str">
        <f>HYPERLINK("http://service.sap.com/sap/support/notes/1604898","1604898")</f>
        <v>1604898</v>
      </c>
      <c r="E257">
        <v>2</v>
      </c>
      <c r="F257" t="s">
        <v>439</v>
      </c>
    </row>
    <row r="258" spans="1:6" x14ac:dyDescent="0.25">
      <c r="A258" t="s">
        <v>1521</v>
      </c>
      <c r="B258" t="s">
        <v>435</v>
      </c>
      <c r="C258" t="s">
        <v>436</v>
      </c>
      <c r="D258" t="str">
        <f>HYPERLINK("http://service.sap.com/sap/support/notes/1615150","1615150")</f>
        <v>1615150</v>
      </c>
      <c r="E258">
        <v>2</v>
      </c>
      <c r="F258" t="s">
        <v>440</v>
      </c>
    </row>
    <row r="259" spans="1:6" x14ac:dyDescent="0.25">
      <c r="A259" t="s">
        <v>1521</v>
      </c>
      <c r="B259" t="s">
        <v>441</v>
      </c>
      <c r="C259" t="s">
        <v>442</v>
      </c>
      <c r="D259" t="str">
        <f>HYPERLINK("http://service.sap.com/sap/support/notes/1605587","1605587")</f>
        <v>1605587</v>
      </c>
      <c r="E259">
        <v>1</v>
      </c>
      <c r="F259" t="s">
        <v>443</v>
      </c>
    </row>
    <row r="260" spans="1:6" x14ac:dyDescent="0.25">
      <c r="A260" t="s">
        <v>1521</v>
      </c>
      <c r="B260" t="s">
        <v>441</v>
      </c>
      <c r="C260" t="s">
        <v>442</v>
      </c>
      <c r="D260" t="str">
        <f>HYPERLINK("http://service.sap.com/sap/support/notes/1607024","1607024")</f>
        <v>1607024</v>
      </c>
      <c r="E260">
        <v>3</v>
      </c>
      <c r="F260" t="s">
        <v>444</v>
      </c>
    </row>
    <row r="261" spans="1:6" x14ac:dyDescent="0.25">
      <c r="A261" t="s">
        <v>1521</v>
      </c>
      <c r="B261" t="s">
        <v>445</v>
      </c>
      <c r="C261" t="s">
        <v>446</v>
      </c>
      <c r="D261" t="str">
        <f>HYPERLINK("http://service.sap.com/sap/support/notes/1611641","1611641")</f>
        <v>1611641</v>
      </c>
      <c r="E261">
        <v>3</v>
      </c>
      <c r="F261" t="s">
        <v>447</v>
      </c>
    </row>
    <row r="262" spans="1:6" x14ac:dyDescent="0.25">
      <c r="A262" t="s">
        <v>1521</v>
      </c>
      <c r="B262" t="s">
        <v>445</v>
      </c>
      <c r="C262" t="s">
        <v>446</v>
      </c>
      <c r="D262" t="str">
        <f>HYPERLINK("http://service.sap.com/sap/support/notes/1613206","1613206")</f>
        <v>1613206</v>
      </c>
      <c r="E262">
        <v>3</v>
      </c>
      <c r="F262" t="s">
        <v>448</v>
      </c>
    </row>
    <row r="263" spans="1:6" x14ac:dyDescent="0.25">
      <c r="A263" t="s">
        <v>1521</v>
      </c>
      <c r="B263" t="s">
        <v>445</v>
      </c>
      <c r="C263" t="s">
        <v>446</v>
      </c>
      <c r="D263" t="str">
        <f>HYPERLINK("http://service.sap.com/sap/support/notes/1619241","1619241")</f>
        <v>1619241</v>
      </c>
      <c r="E263">
        <v>2</v>
      </c>
      <c r="F263" t="s">
        <v>449</v>
      </c>
    </row>
    <row r="264" spans="1:6" x14ac:dyDescent="0.25">
      <c r="A264" t="s">
        <v>1521</v>
      </c>
      <c r="B264" t="s">
        <v>445</v>
      </c>
      <c r="C264" t="s">
        <v>446</v>
      </c>
      <c r="D264" t="str">
        <f>HYPERLINK("http://service.sap.com/sap/support/notes/1620088","1620088")</f>
        <v>1620088</v>
      </c>
      <c r="E264">
        <v>3</v>
      </c>
      <c r="F264" t="s">
        <v>450</v>
      </c>
    </row>
    <row r="265" spans="1:6" x14ac:dyDescent="0.25">
      <c r="A265" t="s">
        <v>1521</v>
      </c>
      <c r="B265" t="s">
        <v>451</v>
      </c>
      <c r="C265" t="s">
        <v>452</v>
      </c>
    </row>
    <row r="266" spans="1:6" x14ac:dyDescent="0.25">
      <c r="A266" t="s">
        <v>1521</v>
      </c>
      <c r="B266" t="s">
        <v>453</v>
      </c>
      <c r="C266" t="s">
        <v>454</v>
      </c>
    </row>
    <row r="267" spans="1:6" x14ac:dyDescent="0.25">
      <c r="A267" t="s">
        <v>1521</v>
      </c>
      <c r="B267" t="s">
        <v>455</v>
      </c>
      <c r="C267" t="s">
        <v>456</v>
      </c>
      <c r="D267" t="str">
        <f>HYPERLINK("http://service.sap.com/sap/support/notes/1606645","1606645")</f>
        <v>1606645</v>
      </c>
      <c r="E267">
        <v>1</v>
      </c>
      <c r="F267" t="s">
        <v>457</v>
      </c>
    </row>
    <row r="268" spans="1:6" x14ac:dyDescent="0.25">
      <c r="A268" t="s">
        <v>1521</v>
      </c>
      <c r="B268" t="s">
        <v>455</v>
      </c>
      <c r="C268" t="s">
        <v>456</v>
      </c>
      <c r="D268" t="str">
        <f>HYPERLINK("http://service.sap.com/sap/support/notes/1611916","1611916")</f>
        <v>1611916</v>
      </c>
      <c r="E268">
        <v>1</v>
      </c>
      <c r="F268" t="s">
        <v>458</v>
      </c>
    </row>
    <row r="269" spans="1:6" x14ac:dyDescent="0.25">
      <c r="A269" t="s">
        <v>1521</v>
      </c>
      <c r="B269" t="s">
        <v>455</v>
      </c>
      <c r="C269" t="s">
        <v>456</v>
      </c>
      <c r="D269" t="str">
        <f>HYPERLINK("http://service.sap.com/sap/support/notes/1611968","1611968")</f>
        <v>1611968</v>
      </c>
      <c r="E269">
        <v>1</v>
      </c>
      <c r="F269" t="s">
        <v>459</v>
      </c>
    </row>
    <row r="270" spans="1:6" x14ac:dyDescent="0.25">
      <c r="A270" t="s">
        <v>1521</v>
      </c>
      <c r="B270" t="s">
        <v>455</v>
      </c>
      <c r="C270" t="s">
        <v>456</v>
      </c>
      <c r="D270" t="str">
        <f>HYPERLINK("http://service.sap.com/sap/support/notes/1613031","1613031")</f>
        <v>1613031</v>
      </c>
      <c r="E270">
        <v>2</v>
      </c>
      <c r="F270" t="s">
        <v>460</v>
      </c>
    </row>
    <row r="271" spans="1:6" x14ac:dyDescent="0.25">
      <c r="A271" t="s">
        <v>1521</v>
      </c>
      <c r="B271" t="s">
        <v>461</v>
      </c>
      <c r="C271" t="s">
        <v>462</v>
      </c>
      <c r="D271" t="str">
        <f>HYPERLINK("http://service.sap.com/sap/support/notes/1451948","1451948")</f>
        <v>1451948</v>
      </c>
      <c r="E271">
        <v>4</v>
      </c>
      <c r="F271" t="s">
        <v>463</v>
      </c>
    </row>
    <row r="272" spans="1:6" x14ac:dyDescent="0.25">
      <c r="A272" t="s">
        <v>1521</v>
      </c>
      <c r="B272" t="s">
        <v>461</v>
      </c>
      <c r="C272" t="s">
        <v>462</v>
      </c>
      <c r="D272" t="str">
        <f>HYPERLINK("http://service.sap.com/sap/support/notes/1605416","1605416")</f>
        <v>1605416</v>
      </c>
      <c r="E272">
        <v>2</v>
      </c>
      <c r="F272" t="s">
        <v>464</v>
      </c>
    </row>
    <row r="273" spans="1:6" x14ac:dyDescent="0.25">
      <c r="A273" t="s">
        <v>1521</v>
      </c>
      <c r="B273" t="s">
        <v>461</v>
      </c>
      <c r="C273" t="s">
        <v>462</v>
      </c>
      <c r="D273" t="str">
        <f>HYPERLINK("http://service.sap.com/sap/support/notes/1610291","1610291")</f>
        <v>1610291</v>
      </c>
      <c r="E273">
        <v>2</v>
      </c>
      <c r="F273" t="s">
        <v>465</v>
      </c>
    </row>
    <row r="274" spans="1:6" x14ac:dyDescent="0.25">
      <c r="A274" t="s">
        <v>1521</v>
      </c>
      <c r="B274" t="s">
        <v>466</v>
      </c>
      <c r="C274" t="s">
        <v>337</v>
      </c>
      <c r="D274" t="str">
        <f>HYPERLINK("http://service.sap.com/sap/support/notes/1609360","1609360")</f>
        <v>1609360</v>
      </c>
      <c r="E274">
        <v>3</v>
      </c>
      <c r="F274" t="s">
        <v>467</v>
      </c>
    </row>
    <row r="275" spans="1:6" x14ac:dyDescent="0.25">
      <c r="A275" t="s">
        <v>1521</v>
      </c>
      <c r="B275" t="s">
        <v>468</v>
      </c>
      <c r="C275" t="s">
        <v>469</v>
      </c>
      <c r="D275" t="str">
        <f>HYPERLINK("http://service.sap.com/sap/support/notes/1600438","1600438")</f>
        <v>1600438</v>
      </c>
      <c r="E275">
        <v>3</v>
      </c>
      <c r="F275" t="s">
        <v>470</v>
      </c>
    </row>
    <row r="276" spans="1:6" x14ac:dyDescent="0.25">
      <c r="A276" t="s">
        <v>1521</v>
      </c>
      <c r="B276" t="s">
        <v>468</v>
      </c>
      <c r="C276" t="s">
        <v>469</v>
      </c>
      <c r="D276" t="str">
        <f>HYPERLINK("http://service.sap.com/sap/support/notes/1603975","1603975")</f>
        <v>1603975</v>
      </c>
      <c r="E276">
        <v>2</v>
      </c>
      <c r="F276" t="s">
        <v>471</v>
      </c>
    </row>
    <row r="277" spans="1:6" x14ac:dyDescent="0.25">
      <c r="A277" t="s">
        <v>1521</v>
      </c>
      <c r="B277" t="s">
        <v>468</v>
      </c>
      <c r="C277" t="s">
        <v>469</v>
      </c>
      <c r="D277" t="str">
        <f>HYPERLINK("http://service.sap.com/sap/support/notes/1608313","1608313")</f>
        <v>1608313</v>
      </c>
      <c r="E277">
        <v>2</v>
      </c>
      <c r="F277" t="s">
        <v>472</v>
      </c>
    </row>
    <row r="278" spans="1:6" x14ac:dyDescent="0.25">
      <c r="A278" t="s">
        <v>1521</v>
      </c>
      <c r="B278" t="s">
        <v>468</v>
      </c>
      <c r="C278" t="s">
        <v>469</v>
      </c>
      <c r="D278" t="str">
        <f>HYPERLINK("http://service.sap.com/sap/support/notes/1609107","1609107")</f>
        <v>1609107</v>
      </c>
      <c r="E278">
        <v>2</v>
      </c>
      <c r="F278" t="s">
        <v>473</v>
      </c>
    </row>
    <row r="279" spans="1:6" x14ac:dyDescent="0.25">
      <c r="A279" t="s">
        <v>1521</v>
      </c>
      <c r="B279" t="s">
        <v>468</v>
      </c>
      <c r="C279" t="s">
        <v>469</v>
      </c>
      <c r="D279" t="str">
        <f>HYPERLINK("http://service.sap.com/sap/support/notes/1609365","1609365")</f>
        <v>1609365</v>
      </c>
      <c r="E279">
        <v>2</v>
      </c>
      <c r="F279" t="s">
        <v>474</v>
      </c>
    </row>
    <row r="280" spans="1:6" x14ac:dyDescent="0.25">
      <c r="A280" t="s">
        <v>1521</v>
      </c>
      <c r="B280" t="s">
        <v>468</v>
      </c>
      <c r="C280" t="s">
        <v>469</v>
      </c>
      <c r="D280" t="str">
        <f>HYPERLINK("http://service.sap.com/sap/support/notes/1611865","1611865")</f>
        <v>1611865</v>
      </c>
      <c r="E280">
        <v>1</v>
      </c>
      <c r="F280" t="s">
        <v>475</v>
      </c>
    </row>
    <row r="281" spans="1:6" x14ac:dyDescent="0.25">
      <c r="A281" t="s">
        <v>1521</v>
      </c>
      <c r="B281" t="s">
        <v>468</v>
      </c>
      <c r="C281" t="s">
        <v>469</v>
      </c>
      <c r="D281" t="str">
        <f>HYPERLINK("http://service.sap.com/sap/support/notes/1613343","1613343")</f>
        <v>1613343</v>
      </c>
      <c r="E281">
        <v>2</v>
      </c>
      <c r="F281" t="s">
        <v>476</v>
      </c>
    </row>
    <row r="282" spans="1:6" x14ac:dyDescent="0.25">
      <c r="A282" t="s">
        <v>1521</v>
      </c>
      <c r="B282" t="s">
        <v>468</v>
      </c>
      <c r="C282" t="s">
        <v>469</v>
      </c>
      <c r="D282" t="str">
        <f>HYPERLINK("http://service.sap.com/sap/support/notes/1615179","1615179")</f>
        <v>1615179</v>
      </c>
      <c r="E282">
        <v>2</v>
      </c>
      <c r="F282" t="s">
        <v>477</v>
      </c>
    </row>
    <row r="283" spans="1:6" x14ac:dyDescent="0.25">
      <c r="A283" t="s">
        <v>1521</v>
      </c>
      <c r="B283" t="s">
        <v>478</v>
      </c>
      <c r="C283" t="s">
        <v>389</v>
      </c>
      <c r="D283" t="str">
        <f>HYPERLINK("http://service.sap.com/sap/support/notes/1602559","1602559")</f>
        <v>1602559</v>
      </c>
      <c r="E283">
        <v>3</v>
      </c>
      <c r="F283" t="s">
        <v>479</v>
      </c>
    </row>
    <row r="284" spans="1:6" x14ac:dyDescent="0.25">
      <c r="A284" t="s">
        <v>1521</v>
      </c>
      <c r="B284" t="s">
        <v>478</v>
      </c>
      <c r="C284" t="s">
        <v>389</v>
      </c>
      <c r="D284" t="str">
        <f>HYPERLINK("http://service.sap.com/sap/support/notes/1609283","1609283")</f>
        <v>1609283</v>
      </c>
      <c r="E284">
        <v>3</v>
      </c>
      <c r="F284" t="s">
        <v>480</v>
      </c>
    </row>
    <row r="285" spans="1:6" x14ac:dyDescent="0.25">
      <c r="A285" t="s">
        <v>1521</v>
      </c>
      <c r="B285" t="s">
        <v>481</v>
      </c>
      <c r="C285" t="s">
        <v>482</v>
      </c>
      <c r="D285" t="str">
        <f>HYPERLINK("http://service.sap.com/sap/support/notes/1564486","1564486")</f>
        <v>1564486</v>
      </c>
      <c r="E285">
        <v>4</v>
      </c>
      <c r="F285" t="s">
        <v>483</v>
      </c>
    </row>
    <row r="286" spans="1:6" x14ac:dyDescent="0.25">
      <c r="A286" t="s">
        <v>1521</v>
      </c>
      <c r="B286" t="s">
        <v>481</v>
      </c>
      <c r="C286" t="s">
        <v>482</v>
      </c>
      <c r="D286" t="str">
        <f>HYPERLINK("http://service.sap.com/sap/support/notes/1567029","1567029")</f>
        <v>1567029</v>
      </c>
      <c r="E286">
        <v>13</v>
      </c>
      <c r="F286" t="s">
        <v>484</v>
      </c>
    </row>
    <row r="287" spans="1:6" x14ac:dyDescent="0.25">
      <c r="A287" t="s">
        <v>1521</v>
      </c>
      <c r="B287" t="s">
        <v>481</v>
      </c>
      <c r="C287" t="s">
        <v>482</v>
      </c>
      <c r="D287" t="str">
        <f>HYPERLINK("http://service.sap.com/sap/support/notes/1576111","1576111")</f>
        <v>1576111</v>
      </c>
      <c r="E287">
        <v>8</v>
      </c>
      <c r="F287" t="s">
        <v>485</v>
      </c>
    </row>
    <row r="288" spans="1:6" x14ac:dyDescent="0.25">
      <c r="A288" t="s">
        <v>1521</v>
      </c>
      <c r="B288" t="s">
        <v>481</v>
      </c>
      <c r="C288" t="s">
        <v>482</v>
      </c>
      <c r="D288" t="str">
        <f>HYPERLINK("http://service.sap.com/sap/support/notes/1586460","1586460")</f>
        <v>1586460</v>
      </c>
      <c r="E288">
        <v>5</v>
      </c>
      <c r="F288" t="s">
        <v>486</v>
      </c>
    </row>
    <row r="289" spans="1:6" x14ac:dyDescent="0.25">
      <c r="A289" t="s">
        <v>1521</v>
      </c>
      <c r="B289" t="s">
        <v>481</v>
      </c>
      <c r="C289" t="s">
        <v>482</v>
      </c>
      <c r="D289" t="str">
        <f>HYPERLINK("http://service.sap.com/sap/support/notes/1589039","1589039")</f>
        <v>1589039</v>
      </c>
      <c r="E289">
        <v>3</v>
      </c>
      <c r="F289" t="s">
        <v>487</v>
      </c>
    </row>
    <row r="290" spans="1:6" x14ac:dyDescent="0.25">
      <c r="A290" t="s">
        <v>1521</v>
      </c>
      <c r="B290" t="s">
        <v>481</v>
      </c>
      <c r="C290" t="s">
        <v>482</v>
      </c>
      <c r="D290" t="str">
        <f>HYPERLINK("http://service.sap.com/sap/support/notes/1589287","1589287")</f>
        <v>1589287</v>
      </c>
      <c r="E290">
        <v>7</v>
      </c>
      <c r="F290" t="s">
        <v>488</v>
      </c>
    </row>
    <row r="291" spans="1:6" x14ac:dyDescent="0.25">
      <c r="A291" t="s">
        <v>1521</v>
      </c>
      <c r="B291" t="s">
        <v>481</v>
      </c>
      <c r="C291" t="s">
        <v>482</v>
      </c>
      <c r="D291" t="str">
        <f>HYPERLINK("http://service.sap.com/sap/support/notes/1596752","1596752")</f>
        <v>1596752</v>
      </c>
      <c r="E291">
        <v>3</v>
      </c>
      <c r="F291" t="s">
        <v>489</v>
      </c>
    </row>
    <row r="292" spans="1:6" x14ac:dyDescent="0.25">
      <c r="A292" t="s">
        <v>1521</v>
      </c>
      <c r="B292" t="s">
        <v>481</v>
      </c>
      <c r="C292" t="s">
        <v>482</v>
      </c>
      <c r="D292" t="str">
        <f>HYPERLINK("http://service.sap.com/sap/support/notes/1605424","1605424")</f>
        <v>1605424</v>
      </c>
      <c r="E292">
        <v>7</v>
      </c>
      <c r="F292" t="s">
        <v>490</v>
      </c>
    </row>
    <row r="293" spans="1:6" x14ac:dyDescent="0.25">
      <c r="A293" t="s">
        <v>1521</v>
      </c>
      <c r="B293" t="s">
        <v>481</v>
      </c>
      <c r="C293" t="s">
        <v>482</v>
      </c>
      <c r="D293" t="str">
        <f>HYPERLINK("http://service.sap.com/sap/support/notes/1608035","1608035")</f>
        <v>1608035</v>
      </c>
      <c r="E293">
        <v>1</v>
      </c>
      <c r="F293" t="s">
        <v>491</v>
      </c>
    </row>
    <row r="294" spans="1:6" x14ac:dyDescent="0.25">
      <c r="A294" t="s">
        <v>1521</v>
      </c>
      <c r="B294" t="s">
        <v>481</v>
      </c>
      <c r="C294" t="s">
        <v>482</v>
      </c>
      <c r="D294" t="str">
        <f>HYPERLINK("http://service.sap.com/sap/support/notes/1608444","1608444")</f>
        <v>1608444</v>
      </c>
      <c r="E294">
        <v>5</v>
      </c>
      <c r="F294" t="s">
        <v>492</v>
      </c>
    </row>
    <row r="295" spans="1:6" x14ac:dyDescent="0.25">
      <c r="A295" t="s">
        <v>1521</v>
      </c>
      <c r="B295" t="s">
        <v>481</v>
      </c>
      <c r="C295" t="s">
        <v>482</v>
      </c>
      <c r="D295" t="str">
        <f>HYPERLINK("http://service.sap.com/sap/support/notes/1609747","1609747")</f>
        <v>1609747</v>
      </c>
      <c r="E295">
        <v>2</v>
      </c>
      <c r="F295" t="s">
        <v>493</v>
      </c>
    </row>
    <row r="296" spans="1:6" x14ac:dyDescent="0.25">
      <c r="A296" t="s">
        <v>1521</v>
      </c>
      <c r="B296" t="s">
        <v>481</v>
      </c>
      <c r="C296" t="s">
        <v>482</v>
      </c>
      <c r="D296" t="str">
        <f>HYPERLINK("http://service.sap.com/sap/support/notes/1609989","1609989")</f>
        <v>1609989</v>
      </c>
      <c r="E296">
        <v>1</v>
      </c>
      <c r="F296" t="s">
        <v>494</v>
      </c>
    </row>
    <row r="297" spans="1:6" x14ac:dyDescent="0.25">
      <c r="A297" t="s">
        <v>1521</v>
      </c>
      <c r="B297" t="s">
        <v>481</v>
      </c>
      <c r="C297" t="s">
        <v>482</v>
      </c>
      <c r="D297" t="str">
        <f>HYPERLINK("http://service.sap.com/sap/support/notes/1610408","1610408")</f>
        <v>1610408</v>
      </c>
      <c r="E297">
        <v>1</v>
      </c>
      <c r="F297" t="s">
        <v>495</v>
      </c>
    </row>
    <row r="298" spans="1:6" x14ac:dyDescent="0.25">
      <c r="A298" t="s">
        <v>1521</v>
      </c>
      <c r="B298" t="s">
        <v>481</v>
      </c>
      <c r="C298" t="s">
        <v>482</v>
      </c>
      <c r="D298" t="str">
        <f>HYPERLINK("http://service.sap.com/sap/support/notes/1610877","1610877")</f>
        <v>1610877</v>
      </c>
      <c r="E298">
        <v>2</v>
      </c>
      <c r="F298" t="s">
        <v>496</v>
      </c>
    </row>
    <row r="299" spans="1:6" x14ac:dyDescent="0.25">
      <c r="A299" t="s">
        <v>1521</v>
      </c>
      <c r="B299" t="s">
        <v>481</v>
      </c>
      <c r="C299" t="s">
        <v>482</v>
      </c>
      <c r="D299" t="str">
        <f>HYPERLINK("http://service.sap.com/sap/support/notes/1611321","1611321")</f>
        <v>1611321</v>
      </c>
      <c r="E299">
        <v>3</v>
      </c>
      <c r="F299" t="s">
        <v>497</v>
      </c>
    </row>
    <row r="300" spans="1:6" x14ac:dyDescent="0.25">
      <c r="A300" t="s">
        <v>1521</v>
      </c>
      <c r="B300" t="s">
        <v>481</v>
      </c>
      <c r="C300" t="s">
        <v>482</v>
      </c>
      <c r="D300" t="str">
        <f>HYPERLINK("http://service.sap.com/sap/support/notes/1614344","1614344")</f>
        <v>1614344</v>
      </c>
      <c r="E300">
        <v>2</v>
      </c>
      <c r="F300" t="s">
        <v>498</v>
      </c>
    </row>
    <row r="301" spans="1:6" x14ac:dyDescent="0.25">
      <c r="A301" t="s">
        <v>1521</v>
      </c>
      <c r="B301" t="s">
        <v>481</v>
      </c>
      <c r="C301" t="s">
        <v>482</v>
      </c>
      <c r="D301" t="str">
        <f>HYPERLINK("http://service.sap.com/sap/support/notes/1614445","1614445")</f>
        <v>1614445</v>
      </c>
      <c r="E301">
        <v>2</v>
      </c>
      <c r="F301" t="s">
        <v>499</v>
      </c>
    </row>
    <row r="302" spans="1:6" x14ac:dyDescent="0.25">
      <c r="A302" t="s">
        <v>1521</v>
      </c>
      <c r="B302" t="s">
        <v>481</v>
      </c>
      <c r="C302" t="s">
        <v>482</v>
      </c>
      <c r="D302" t="str">
        <f>HYPERLINK("http://service.sap.com/sap/support/notes/1617293","1617293")</f>
        <v>1617293</v>
      </c>
      <c r="E302">
        <v>2</v>
      </c>
      <c r="F302" t="s">
        <v>500</v>
      </c>
    </row>
    <row r="303" spans="1:6" x14ac:dyDescent="0.25">
      <c r="A303" t="s">
        <v>1521</v>
      </c>
      <c r="B303" t="s">
        <v>481</v>
      </c>
      <c r="C303" t="s">
        <v>482</v>
      </c>
      <c r="D303" t="str">
        <f>HYPERLINK("http://service.sap.com/sap/support/notes/1618247","1618247")</f>
        <v>1618247</v>
      </c>
      <c r="E303">
        <v>2</v>
      </c>
      <c r="F303" t="s">
        <v>501</v>
      </c>
    </row>
    <row r="304" spans="1:6" x14ac:dyDescent="0.25">
      <c r="A304" t="s">
        <v>1521</v>
      </c>
      <c r="B304" t="s">
        <v>481</v>
      </c>
      <c r="C304" t="s">
        <v>482</v>
      </c>
      <c r="D304" t="str">
        <f>HYPERLINK("http://service.sap.com/sap/support/notes/1618274","1618274")</f>
        <v>1618274</v>
      </c>
      <c r="E304">
        <v>3</v>
      </c>
      <c r="F304" t="s">
        <v>502</v>
      </c>
    </row>
    <row r="305" spans="1:6" x14ac:dyDescent="0.25">
      <c r="A305" t="s">
        <v>1521</v>
      </c>
      <c r="B305" t="s">
        <v>481</v>
      </c>
      <c r="C305" t="s">
        <v>482</v>
      </c>
      <c r="D305" t="str">
        <f>HYPERLINK("http://service.sap.com/sap/support/notes/1618818","1618818")</f>
        <v>1618818</v>
      </c>
      <c r="E305">
        <v>3</v>
      </c>
      <c r="F305" t="s">
        <v>503</v>
      </c>
    </row>
    <row r="306" spans="1:6" x14ac:dyDescent="0.25">
      <c r="A306" t="s">
        <v>1521</v>
      </c>
      <c r="B306" t="s">
        <v>504</v>
      </c>
      <c r="C306" t="s">
        <v>505</v>
      </c>
      <c r="D306" t="str">
        <f>HYPERLINK("http://service.sap.com/sap/support/notes/1571774","1571774")</f>
        <v>1571774</v>
      </c>
      <c r="E306">
        <v>2</v>
      </c>
      <c r="F306" t="s">
        <v>506</v>
      </c>
    </row>
    <row r="307" spans="1:6" x14ac:dyDescent="0.25">
      <c r="A307" t="s">
        <v>1521</v>
      </c>
      <c r="B307" t="s">
        <v>504</v>
      </c>
      <c r="C307" t="s">
        <v>505</v>
      </c>
      <c r="D307" t="str">
        <f>HYPERLINK("http://service.sap.com/sap/support/notes/1584259","1584259")</f>
        <v>1584259</v>
      </c>
      <c r="E307">
        <v>4</v>
      </c>
      <c r="F307" t="s">
        <v>507</v>
      </c>
    </row>
    <row r="308" spans="1:6" x14ac:dyDescent="0.25">
      <c r="A308" t="s">
        <v>1521</v>
      </c>
      <c r="B308" t="s">
        <v>504</v>
      </c>
      <c r="C308" t="s">
        <v>505</v>
      </c>
      <c r="D308" t="str">
        <f>HYPERLINK("http://service.sap.com/sap/support/notes/1603026","1603026")</f>
        <v>1603026</v>
      </c>
      <c r="E308">
        <v>6</v>
      </c>
      <c r="F308" t="s">
        <v>508</v>
      </c>
    </row>
    <row r="309" spans="1:6" x14ac:dyDescent="0.25">
      <c r="A309" t="s">
        <v>1521</v>
      </c>
      <c r="B309" t="s">
        <v>504</v>
      </c>
      <c r="C309" t="s">
        <v>505</v>
      </c>
      <c r="D309" t="str">
        <f>HYPERLINK("http://service.sap.com/sap/support/notes/1606115","1606115")</f>
        <v>1606115</v>
      </c>
      <c r="E309">
        <v>1</v>
      </c>
      <c r="F309" t="s">
        <v>509</v>
      </c>
    </row>
    <row r="310" spans="1:6" x14ac:dyDescent="0.25">
      <c r="A310" t="s">
        <v>1521</v>
      </c>
      <c r="B310" t="s">
        <v>504</v>
      </c>
      <c r="C310" t="s">
        <v>505</v>
      </c>
      <c r="D310" t="str">
        <f>HYPERLINK("http://service.sap.com/sap/support/notes/1606127","1606127")</f>
        <v>1606127</v>
      </c>
      <c r="E310">
        <v>1</v>
      </c>
      <c r="F310" t="s">
        <v>510</v>
      </c>
    </row>
    <row r="311" spans="1:6" x14ac:dyDescent="0.25">
      <c r="A311" t="s">
        <v>1521</v>
      </c>
      <c r="B311" t="s">
        <v>511</v>
      </c>
      <c r="C311" t="s">
        <v>394</v>
      </c>
      <c r="D311" t="str">
        <f>HYPERLINK("http://service.sap.com/sap/support/notes/1604961","1604961")</f>
        <v>1604961</v>
      </c>
      <c r="E311">
        <v>5</v>
      </c>
      <c r="F311" t="s">
        <v>512</v>
      </c>
    </row>
    <row r="312" spans="1:6" x14ac:dyDescent="0.25">
      <c r="A312" t="s">
        <v>1521</v>
      </c>
      <c r="B312" t="s">
        <v>511</v>
      </c>
      <c r="C312" t="s">
        <v>394</v>
      </c>
      <c r="D312" t="str">
        <f>HYPERLINK("http://service.sap.com/sap/support/notes/1610464","1610464")</f>
        <v>1610464</v>
      </c>
      <c r="E312">
        <v>4</v>
      </c>
      <c r="F312" t="s">
        <v>513</v>
      </c>
    </row>
    <row r="313" spans="1:6" x14ac:dyDescent="0.25">
      <c r="A313" t="s">
        <v>1521</v>
      </c>
      <c r="B313" t="s">
        <v>514</v>
      </c>
      <c r="C313" t="s">
        <v>14</v>
      </c>
      <c r="D313" t="str">
        <f>HYPERLINK("http://service.sap.com/sap/support/notes/1589761","1589761")</f>
        <v>1589761</v>
      </c>
      <c r="E313">
        <v>2</v>
      </c>
      <c r="F313" t="s">
        <v>515</v>
      </c>
    </row>
    <row r="314" spans="1:6" x14ac:dyDescent="0.25">
      <c r="A314" t="s">
        <v>1521</v>
      </c>
      <c r="B314" t="s">
        <v>514</v>
      </c>
      <c r="C314" t="s">
        <v>14</v>
      </c>
      <c r="D314" t="str">
        <f>HYPERLINK("http://service.sap.com/sap/support/notes/1608407","1608407")</f>
        <v>1608407</v>
      </c>
      <c r="E314">
        <v>1</v>
      </c>
      <c r="F314" t="s">
        <v>516</v>
      </c>
    </row>
    <row r="315" spans="1:6" x14ac:dyDescent="0.25">
      <c r="A315" t="s">
        <v>1521</v>
      </c>
      <c r="B315" t="s">
        <v>517</v>
      </c>
      <c r="C315" t="s">
        <v>409</v>
      </c>
      <c r="D315" t="str">
        <f>HYPERLINK("http://service.sap.com/sap/support/notes/1601408","1601408")</f>
        <v>1601408</v>
      </c>
      <c r="E315">
        <v>3</v>
      </c>
      <c r="F315" t="s">
        <v>518</v>
      </c>
    </row>
    <row r="316" spans="1:6" x14ac:dyDescent="0.25">
      <c r="A316" t="s">
        <v>1521</v>
      </c>
      <c r="B316" t="s">
        <v>517</v>
      </c>
      <c r="C316" t="s">
        <v>409</v>
      </c>
      <c r="D316" t="str">
        <f>HYPERLINK("http://service.sap.com/sap/support/notes/1602507","1602507")</f>
        <v>1602507</v>
      </c>
      <c r="E316">
        <v>3</v>
      </c>
      <c r="F316" t="s">
        <v>519</v>
      </c>
    </row>
    <row r="317" spans="1:6" x14ac:dyDescent="0.25">
      <c r="A317" t="s">
        <v>1521</v>
      </c>
      <c r="B317" t="s">
        <v>517</v>
      </c>
      <c r="C317" t="s">
        <v>409</v>
      </c>
      <c r="D317" t="str">
        <f>HYPERLINK("http://service.sap.com/sap/support/notes/1603602","1603602")</f>
        <v>1603602</v>
      </c>
      <c r="E317">
        <v>2</v>
      </c>
      <c r="F317" t="s">
        <v>520</v>
      </c>
    </row>
    <row r="318" spans="1:6" x14ac:dyDescent="0.25">
      <c r="A318" t="s">
        <v>1521</v>
      </c>
      <c r="B318" t="s">
        <v>517</v>
      </c>
      <c r="C318" t="s">
        <v>409</v>
      </c>
      <c r="D318" t="str">
        <f>HYPERLINK("http://service.sap.com/sap/support/notes/1616629","1616629")</f>
        <v>1616629</v>
      </c>
      <c r="E318">
        <v>2</v>
      </c>
      <c r="F318" t="s">
        <v>521</v>
      </c>
    </row>
    <row r="319" spans="1:6" x14ac:dyDescent="0.25">
      <c r="A319" t="s">
        <v>1521</v>
      </c>
      <c r="B319" t="s">
        <v>522</v>
      </c>
      <c r="C319" t="s">
        <v>523</v>
      </c>
    </row>
    <row r="320" spans="1:6" x14ac:dyDescent="0.25">
      <c r="A320" t="s">
        <v>1521</v>
      </c>
      <c r="B320" t="s">
        <v>524</v>
      </c>
      <c r="C320" t="s">
        <v>525</v>
      </c>
      <c r="D320" t="str">
        <f>HYPERLINK("http://service.sap.com/sap/support/notes/1610148","1610148")</f>
        <v>1610148</v>
      </c>
      <c r="E320">
        <v>1</v>
      </c>
      <c r="F320" t="s">
        <v>526</v>
      </c>
    </row>
    <row r="321" spans="1:6" x14ac:dyDescent="0.25">
      <c r="A321" t="s">
        <v>1521</v>
      </c>
      <c r="B321" t="s">
        <v>527</v>
      </c>
      <c r="C321" t="s">
        <v>528</v>
      </c>
    </row>
    <row r="322" spans="1:6" x14ac:dyDescent="0.25">
      <c r="A322" t="s">
        <v>1521</v>
      </c>
      <c r="B322" t="s">
        <v>529</v>
      </c>
      <c r="C322" t="s">
        <v>530</v>
      </c>
    </row>
    <row r="323" spans="1:6" x14ac:dyDescent="0.25">
      <c r="A323" t="s">
        <v>1521</v>
      </c>
      <c r="B323" t="s">
        <v>531</v>
      </c>
      <c r="C323" t="s">
        <v>532</v>
      </c>
      <c r="D323" t="str">
        <f>HYPERLINK("http://service.sap.com/sap/support/notes/1608656","1608656")</f>
        <v>1608656</v>
      </c>
      <c r="E323">
        <v>3</v>
      </c>
      <c r="F323" t="s">
        <v>533</v>
      </c>
    </row>
    <row r="324" spans="1:6" x14ac:dyDescent="0.25">
      <c r="A324" t="s">
        <v>1521</v>
      </c>
      <c r="B324" t="s">
        <v>531</v>
      </c>
      <c r="C324" t="s">
        <v>532</v>
      </c>
      <c r="D324" t="str">
        <f>HYPERLINK("http://service.sap.com/sap/support/notes/1608703","1608703")</f>
        <v>1608703</v>
      </c>
      <c r="E324">
        <v>1</v>
      </c>
      <c r="F324" t="s">
        <v>534</v>
      </c>
    </row>
    <row r="325" spans="1:6" x14ac:dyDescent="0.25">
      <c r="A325" t="s">
        <v>1521</v>
      </c>
      <c r="B325" t="s">
        <v>531</v>
      </c>
      <c r="C325" t="s">
        <v>532</v>
      </c>
      <c r="D325" t="str">
        <f>HYPERLINK("http://service.sap.com/sap/support/notes/1608706","1608706")</f>
        <v>1608706</v>
      </c>
      <c r="E325">
        <v>3</v>
      </c>
      <c r="F325" t="s">
        <v>535</v>
      </c>
    </row>
    <row r="326" spans="1:6" x14ac:dyDescent="0.25">
      <c r="A326" t="s">
        <v>1521</v>
      </c>
      <c r="B326" t="s">
        <v>531</v>
      </c>
      <c r="C326" t="s">
        <v>532</v>
      </c>
      <c r="D326" t="str">
        <f>HYPERLINK("http://service.sap.com/sap/support/notes/1613225","1613225")</f>
        <v>1613225</v>
      </c>
      <c r="E326">
        <v>2</v>
      </c>
      <c r="F326" t="s">
        <v>536</v>
      </c>
    </row>
    <row r="327" spans="1:6" x14ac:dyDescent="0.25">
      <c r="A327" t="s">
        <v>1521</v>
      </c>
      <c r="B327" t="s">
        <v>531</v>
      </c>
      <c r="C327" t="s">
        <v>532</v>
      </c>
      <c r="D327" t="str">
        <f>HYPERLINK("http://service.sap.com/sap/support/notes/1613347","1613347")</f>
        <v>1613347</v>
      </c>
      <c r="E327">
        <v>2</v>
      </c>
      <c r="F327" t="s">
        <v>537</v>
      </c>
    </row>
    <row r="328" spans="1:6" x14ac:dyDescent="0.25">
      <c r="A328" t="s">
        <v>1521</v>
      </c>
      <c r="B328" t="s">
        <v>531</v>
      </c>
      <c r="C328" t="s">
        <v>532</v>
      </c>
      <c r="D328" t="str">
        <f>HYPERLINK("http://service.sap.com/sap/support/notes/1620398","1620398")</f>
        <v>1620398</v>
      </c>
      <c r="E328">
        <v>2</v>
      </c>
      <c r="F328" t="s">
        <v>538</v>
      </c>
    </row>
    <row r="329" spans="1:6" x14ac:dyDescent="0.25">
      <c r="A329" t="s">
        <v>1521</v>
      </c>
      <c r="B329" t="s">
        <v>539</v>
      </c>
      <c r="C329" t="s">
        <v>540</v>
      </c>
      <c r="D329" t="str">
        <f>HYPERLINK("http://service.sap.com/sap/support/notes/1556674","1556674")</f>
        <v>1556674</v>
      </c>
      <c r="E329">
        <v>2</v>
      </c>
      <c r="F329" t="s">
        <v>541</v>
      </c>
    </row>
    <row r="330" spans="1:6" x14ac:dyDescent="0.25">
      <c r="A330" t="s">
        <v>1521</v>
      </c>
      <c r="B330" t="s">
        <v>539</v>
      </c>
      <c r="C330" t="s">
        <v>540</v>
      </c>
      <c r="D330" t="str">
        <f>HYPERLINK("http://service.sap.com/sap/support/notes/1586724","1586724")</f>
        <v>1586724</v>
      </c>
      <c r="E330">
        <v>3</v>
      </c>
      <c r="F330" t="s">
        <v>542</v>
      </c>
    </row>
    <row r="331" spans="1:6" x14ac:dyDescent="0.25">
      <c r="A331" t="s">
        <v>1521</v>
      </c>
      <c r="B331" t="s">
        <v>539</v>
      </c>
      <c r="C331" t="s">
        <v>540</v>
      </c>
      <c r="D331" t="str">
        <f>HYPERLINK("http://service.sap.com/sap/support/notes/1590361","1590361")</f>
        <v>1590361</v>
      </c>
      <c r="E331">
        <v>3</v>
      </c>
      <c r="F331" t="s">
        <v>543</v>
      </c>
    </row>
    <row r="332" spans="1:6" x14ac:dyDescent="0.25">
      <c r="A332" t="s">
        <v>1521</v>
      </c>
      <c r="B332" t="s">
        <v>539</v>
      </c>
      <c r="C332" t="s">
        <v>540</v>
      </c>
      <c r="D332" t="str">
        <f>HYPERLINK("http://service.sap.com/sap/support/notes/1593355","1593355")</f>
        <v>1593355</v>
      </c>
      <c r="E332">
        <v>2</v>
      </c>
      <c r="F332" t="s">
        <v>544</v>
      </c>
    </row>
    <row r="333" spans="1:6" x14ac:dyDescent="0.25">
      <c r="A333" t="s">
        <v>1521</v>
      </c>
      <c r="B333" t="s">
        <v>539</v>
      </c>
      <c r="C333" t="s">
        <v>540</v>
      </c>
      <c r="D333" t="str">
        <f>HYPERLINK("http://service.sap.com/sap/support/notes/1603963","1603963")</f>
        <v>1603963</v>
      </c>
      <c r="E333">
        <v>4</v>
      </c>
      <c r="F333" t="s">
        <v>545</v>
      </c>
    </row>
    <row r="334" spans="1:6" x14ac:dyDescent="0.25">
      <c r="A334" t="s">
        <v>1521</v>
      </c>
      <c r="B334" t="s">
        <v>539</v>
      </c>
      <c r="C334" t="s">
        <v>540</v>
      </c>
      <c r="D334" t="str">
        <f>HYPERLINK("http://service.sap.com/sap/support/notes/1605945","1605945")</f>
        <v>1605945</v>
      </c>
      <c r="E334">
        <v>1</v>
      </c>
      <c r="F334" t="s">
        <v>546</v>
      </c>
    </row>
    <row r="335" spans="1:6" x14ac:dyDescent="0.25">
      <c r="A335" t="s">
        <v>1521</v>
      </c>
      <c r="B335" t="s">
        <v>539</v>
      </c>
      <c r="C335" t="s">
        <v>540</v>
      </c>
      <c r="D335" t="str">
        <f>HYPERLINK("http://service.sap.com/sap/support/notes/1606830","1606830")</f>
        <v>1606830</v>
      </c>
      <c r="E335">
        <v>2</v>
      </c>
      <c r="F335" t="s">
        <v>547</v>
      </c>
    </row>
    <row r="336" spans="1:6" x14ac:dyDescent="0.25">
      <c r="A336" t="s">
        <v>1521</v>
      </c>
      <c r="B336" t="s">
        <v>539</v>
      </c>
      <c r="C336" t="s">
        <v>540</v>
      </c>
      <c r="D336" t="str">
        <f>HYPERLINK("http://service.sap.com/sap/support/notes/1606948","1606948")</f>
        <v>1606948</v>
      </c>
      <c r="E336">
        <v>3</v>
      </c>
      <c r="F336" t="s">
        <v>548</v>
      </c>
    </row>
    <row r="337" spans="1:6" x14ac:dyDescent="0.25">
      <c r="A337" t="s">
        <v>1521</v>
      </c>
      <c r="B337" t="s">
        <v>539</v>
      </c>
      <c r="C337" t="s">
        <v>540</v>
      </c>
      <c r="D337" t="str">
        <f>HYPERLINK("http://service.sap.com/sap/support/notes/1612710","1612710")</f>
        <v>1612710</v>
      </c>
      <c r="E337">
        <v>2</v>
      </c>
      <c r="F337" t="s">
        <v>549</v>
      </c>
    </row>
    <row r="338" spans="1:6" x14ac:dyDescent="0.25">
      <c r="A338" t="s">
        <v>1521</v>
      </c>
      <c r="B338" t="s">
        <v>539</v>
      </c>
      <c r="C338" t="s">
        <v>540</v>
      </c>
      <c r="D338" t="str">
        <f>HYPERLINK("http://service.sap.com/sap/support/notes/1616118","1616118")</f>
        <v>1616118</v>
      </c>
      <c r="E338">
        <v>3</v>
      </c>
      <c r="F338" t="s">
        <v>550</v>
      </c>
    </row>
    <row r="339" spans="1:6" x14ac:dyDescent="0.25">
      <c r="A339" t="s">
        <v>1521</v>
      </c>
      <c r="B339" t="s">
        <v>539</v>
      </c>
      <c r="C339" t="s">
        <v>540</v>
      </c>
      <c r="D339" t="str">
        <f>HYPERLINK("http://service.sap.com/sap/support/notes/1619184","1619184")</f>
        <v>1619184</v>
      </c>
      <c r="E339">
        <v>3</v>
      </c>
      <c r="F339" t="s">
        <v>551</v>
      </c>
    </row>
    <row r="340" spans="1:6" x14ac:dyDescent="0.25">
      <c r="A340" t="s">
        <v>1521</v>
      </c>
      <c r="B340" t="s">
        <v>539</v>
      </c>
      <c r="C340" t="s">
        <v>540</v>
      </c>
      <c r="D340" t="str">
        <f>HYPERLINK("http://service.sap.com/sap/support/notes/1619994","1619994")</f>
        <v>1619994</v>
      </c>
      <c r="E340">
        <v>2</v>
      </c>
      <c r="F340" t="s">
        <v>552</v>
      </c>
    </row>
    <row r="341" spans="1:6" x14ac:dyDescent="0.25">
      <c r="A341" t="s">
        <v>1521</v>
      </c>
      <c r="B341" t="s">
        <v>553</v>
      </c>
      <c r="C341" t="s">
        <v>554</v>
      </c>
      <c r="D341" t="str">
        <f>HYPERLINK("http://service.sap.com/sap/support/notes/1602393","1602393")</f>
        <v>1602393</v>
      </c>
      <c r="E341">
        <v>1</v>
      </c>
      <c r="F341" t="s">
        <v>555</v>
      </c>
    </row>
    <row r="342" spans="1:6" x14ac:dyDescent="0.25">
      <c r="A342" t="s">
        <v>1521</v>
      </c>
      <c r="B342" t="s">
        <v>553</v>
      </c>
      <c r="C342" t="s">
        <v>554</v>
      </c>
      <c r="D342" t="str">
        <f>HYPERLINK("http://service.sap.com/sap/support/notes/1613226","1613226")</f>
        <v>1613226</v>
      </c>
      <c r="E342">
        <v>2</v>
      </c>
      <c r="F342" t="s">
        <v>556</v>
      </c>
    </row>
    <row r="343" spans="1:6" x14ac:dyDescent="0.25">
      <c r="A343" t="s">
        <v>1521</v>
      </c>
      <c r="B343" t="s">
        <v>557</v>
      </c>
      <c r="C343" t="s">
        <v>558</v>
      </c>
      <c r="D343" t="str">
        <f>HYPERLINK("http://service.sap.com/sap/support/notes/1556149","1556149")</f>
        <v>1556149</v>
      </c>
      <c r="E343">
        <v>2</v>
      </c>
      <c r="F343" t="s">
        <v>559</v>
      </c>
    </row>
    <row r="344" spans="1:6" x14ac:dyDescent="0.25">
      <c r="A344" t="s">
        <v>1521</v>
      </c>
      <c r="B344" t="s">
        <v>557</v>
      </c>
      <c r="C344" t="s">
        <v>558</v>
      </c>
      <c r="D344" t="str">
        <f>HYPERLINK("http://service.sap.com/sap/support/notes/1607741","1607741")</f>
        <v>1607741</v>
      </c>
      <c r="E344">
        <v>3</v>
      </c>
      <c r="F344" t="s">
        <v>560</v>
      </c>
    </row>
    <row r="345" spans="1:6" x14ac:dyDescent="0.25">
      <c r="A345" t="s">
        <v>1521</v>
      </c>
      <c r="B345" t="s">
        <v>557</v>
      </c>
      <c r="C345" t="s">
        <v>558</v>
      </c>
      <c r="D345" t="str">
        <f>HYPERLINK("http://service.sap.com/sap/support/notes/1608374","1608374")</f>
        <v>1608374</v>
      </c>
      <c r="E345">
        <v>3</v>
      </c>
      <c r="F345" t="s">
        <v>561</v>
      </c>
    </row>
    <row r="346" spans="1:6" x14ac:dyDescent="0.25">
      <c r="A346" t="s">
        <v>1521</v>
      </c>
      <c r="B346" t="s">
        <v>562</v>
      </c>
      <c r="C346" t="s">
        <v>563</v>
      </c>
      <c r="D346" t="str">
        <f>HYPERLINK("http://service.sap.com/sap/support/notes/1605885","1605885")</f>
        <v>1605885</v>
      </c>
      <c r="E346">
        <v>1</v>
      </c>
      <c r="F346" t="s">
        <v>564</v>
      </c>
    </row>
    <row r="347" spans="1:6" x14ac:dyDescent="0.25">
      <c r="A347" t="s">
        <v>1521</v>
      </c>
      <c r="B347" t="s">
        <v>562</v>
      </c>
      <c r="C347" t="s">
        <v>563</v>
      </c>
      <c r="D347" t="str">
        <f>HYPERLINK("http://service.sap.com/sap/support/notes/1611441","1611441")</f>
        <v>1611441</v>
      </c>
      <c r="E347">
        <v>2</v>
      </c>
      <c r="F347" t="s">
        <v>565</v>
      </c>
    </row>
    <row r="348" spans="1:6" x14ac:dyDescent="0.25">
      <c r="A348" t="s">
        <v>1521</v>
      </c>
      <c r="B348" t="s">
        <v>566</v>
      </c>
      <c r="C348" t="s">
        <v>567</v>
      </c>
      <c r="D348" t="str">
        <f>HYPERLINK("http://service.sap.com/sap/support/notes/1569637","1569637")</f>
        <v>1569637</v>
      </c>
      <c r="E348">
        <v>2</v>
      </c>
      <c r="F348" t="s">
        <v>568</v>
      </c>
    </row>
    <row r="349" spans="1:6" x14ac:dyDescent="0.25">
      <c r="A349" t="s">
        <v>1521</v>
      </c>
      <c r="B349" t="s">
        <v>569</v>
      </c>
      <c r="C349" t="s">
        <v>570</v>
      </c>
    </row>
    <row r="350" spans="1:6" x14ac:dyDescent="0.25">
      <c r="A350" t="s">
        <v>1521</v>
      </c>
      <c r="B350" t="s">
        <v>571</v>
      </c>
      <c r="C350" t="s">
        <v>572</v>
      </c>
      <c r="D350" t="str">
        <f>HYPERLINK("http://service.sap.com/sap/support/notes/1606525","1606525")</f>
        <v>1606525</v>
      </c>
      <c r="E350">
        <v>1</v>
      </c>
      <c r="F350" t="s">
        <v>573</v>
      </c>
    </row>
    <row r="351" spans="1:6" x14ac:dyDescent="0.25">
      <c r="A351" t="s">
        <v>1521</v>
      </c>
      <c r="B351" t="s">
        <v>574</v>
      </c>
      <c r="C351" t="s">
        <v>575</v>
      </c>
    </row>
    <row r="352" spans="1:6" x14ac:dyDescent="0.25">
      <c r="A352" t="s">
        <v>1521</v>
      </c>
      <c r="B352" t="s">
        <v>576</v>
      </c>
      <c r="C352" t="s">
        <v>577</v>
      </c>
    </row>
    <row r="353" spans="1:6" x14ac:dyDescent="0.25">
      <c r="A353" t="s">
        <v>1521</v>
      </c>
      <c r="B353" t="s">
        <v>578</v>
      </c>
      <c r="C353" t="s">
        <v>579</v>
      </c>
    </row>
    <row r="354" spans="1:6" x14ac:dyDescent="0.25">
      <c r="A354" t="s">
        <v>1521</v>
      </c>
      <c r="B354" t="s">
        <v>580</v>
      </c>
      <c r="C354" t="s">
        <v>581</v>
      </c>
      <c r="D354" t="str">
        <f>HYPERLINK("http://service.sap.com/sap/support/notes/1596409","1596409")</f>
        <v>1596409</v>
      </c>
      <c r="E354">
        <v>3</v>
      </c>
      <c r="F354" t="s">
        <v>582</v>
      </c>
    </row>
    <row r="355" spans="1:6" x14ac:dyDescent="0.25">
      <c r="A355" t="s">
        <v>1521</v>
      </c>
      <c r="B355" t="s">
        <v>583</v>
      </c>
      <c r="C355" t="s">
        <v>584</v>
      </c>
    </row>
    <row r="356" spans="1:6" x14ac:dyDescent="0.25">
      <c r="A356" t="s">
        <v>1521</v>
      </c>
      <c r="B356" t="s">
        <v>585</v>
      </c>
      <c r="C356" t="s">
        <v>586</v>
      </c>
    </row>
    <row r="357" spans="1:6" x14ac:dyDescent="0.25">
      <c r="A357" t="s">
        <v>1521</v>
      </c>
      <c r="B357" t="s">
        <v>587</v>
      </c>
      <c r="C357" t="s">
        <v>350</v>
      </c>
    </row>
    <row r="358" spans="1:6" x14ac:dyDescent="0.25">
      <c r="A358" t="s">
        <v>1521</v>
      </c>
      <c r="B358" t="s">
        <v>588</v>
      </c>
      <c r="C358" t="s">
        <v>589</v>
      </c>
      <c r="D358" t="str">
        <f>HYPERLINK("http://service.sap.com/sap/support/notes/1602803","1602803")</f>
        <v>1602803</v>
      </c>
      <c r="E358">
        <v>2</v>
      </c>
      <c r="F358" t="s">
        <v>590</v>
      </c>
    </row>
    <row r="359" spans="1:6" x14ac:dyDescent="0.25">
      <c r="A359" t="s">
        <v>1521</v>
      </c>
      <c r="B359" t="s">
        <v>591</v>
      </c>
      <c r="C359" t="s">
        <v>592</v>
      </c>
    </row>
    <row r="360" spans="1:6" x14ac:dyDescent="0.25">
      <c r="A360" t="s">
        <v>1521</v>
      </c>
      <c r="B360" t="s">
        <v>593</v>
      </c>
      <c r="C360" t="s">
        <v>594</v>
      </c>
    </row>
    <row r="361" spans="1:6" x14ac:dyDescent="0.25">
      <c r="A361" t="s">
        <v>1521</v>
      </c>
      <c r="B361" t="s">
        <v>595</v>
      </c>
      <c r="C361" t="s">
        <v>350</v>
      </c>
      <c r="D361" t="str">
        <f>HYPERLINK("http://service.sap.com/sap/support/notes/1611268","1611268")</f>
        <v>1611268</v>
      </c>
      <c r="E361">
        <v>3</v>
      </c>
      <c r="F361" t="s">
        <v>596</v>
      </c>
    </row>
    <row r="362" spans="1:6" x14ac:dyDescent="0.25">
      <c r="A362" t="s">
        <v>1521</v>
      </c>
      <c r="B362" t="s">
        <v>597</v>
      </c>
      <c r="C362" t="s">
        <v>598</v>
      </c>
    </row>
    <row r="363" spans="1:6" x14ac:dyDescent="0.25">
      <c r="A363" t="s">
        <v>1521</v>
      </c>
      <c r="B363" t="s">
        <v>599</v>
      </c>
      <c r="C363" t="s">
        <v>600</v>
      </c>
    </row>
    <row r="364" spans="1:6" x14ac:dyDescent="0.25">
      <c r="A364" t="s">
        <v>1521</v>
      </c>
      <c r="B364" t="s">
        <v>601</v>
      </c>
      <c r="C364" t="s">
        <v>602</v>
      </c>
      <c r="D364" t="str">
        <f>HYPERLINK("http://service.sap.com/sap/support/notes/1609484","1609484")</f>
        <v>1609484</v>
      </c>
      <c r="E364">
        <v>3</v>
      </c>
      <c r="F364" t="s">
        <v>603</v>
      </c>
    </row>
    <row r="365" spans="1:6" x14ac:dyDescent="0.25">
      <c r="A365" t="s">
        <v>1521</v>
      </c>
      <c r="B365" t="s">
        <v>604</v>
      </c>
      <c r="C365" t="s">
        <v>605</v>
      </c>
    </row>
    <row r="366" spans="1:6" x14ac:dyDescent="0.25">
      <c r="A366" t="s">
        <v>1521</v>
      </c>
      <c r="B366" t="s">
        <v>606</v>
      </c>
      <c r="C366" t="s">
        <v>607</v>
      </c>
      <c r="D366" t="str">
        <f>HYPERLINK("http://service.sap.com/sap/support/notes/1604074","1604074")</f>
        <v>1604074</v>
      </c>
      <c r="E366">
        <v>4</v>
      </c>
      <c r="F366" t="s">
        <v>608</v>
      </c>
    </row>
    <row r="367" spans="1:6" x14ac:dyDescent="0.25">
      <c r="A367" t="s">
        <v>1521</v>
      </c>
      <c r="B367" t="s">
        <v>609</v>
      </c>
      <c r="C367" t="s">
        <v>610</v>
      </c>
      <c r="D367" t="str">
        <f>HYPERLINK("http://service.sap.com/sap/support/notes/1604025","1604025")</f>
        <v>1604025</v>
      </c>
      <c r="E367">
        <v>2</v>
      </c>
      <c r="F367" t="s">
        <v>611</v>
      </c>
    </row>
    <row r="368" spans="1:6" x14ac:dyDescent="0.25">
      <c r="A368" t="s">
        <v>1521</v>
      </c>
      <c r="B368" t="s">
        <v>609</v>
      </c>
      <c r="C368" t="s">
        <v>610</v>
      </c>
      <c r="D368" t="str">
        <f>HYPERLINK("http://service.sap.com/sap/support/notes/1604563","1604563")</f>
        <v>1604563</v>
      </c>
      <c r="E368">
        <v>2</v>
      </c>
      <c r="F368" t="s">
        <v>612</v>
      </c>
    </row>
    <row r="369" spans="1:6" x14ac:dyDescent="0.25">
      <c r="A369" t="s">
        <v>1521</v>
      </c>
      <c r="B369" t="s">
        <v>613</v>
      </c>
      <c r="C369" t="s">
        <v>614</v>
      </c>
      <c r="D369" t="str">
        <f>HYPERLINK("http://service.sap.com/sap/support/notes/1608811","1608811")</f>
        <v>1608811</v>
      </c>
      <c r="E369">
        <v>1</v>
      </c>
      <c r="F369" t="s">
        <v>615</v>
      </c>
    </row>
    <row r="370" spans="1:6" x14ac:dyDescent="0.25">
      <c r="A370" t="s">
        <v>1521</v>
      </c>
      <c r="B370" t="s">
        <v>616</v>
      </c>
      <c r="C370" t="s">
        <v>617</v>
      </c>
      <c r="D370" t="str">
        <f>HYPERLINK("http://service.sap.com/sap/support/notes/1602251","1602251")</f>
        <v>1602251</v>
      </c>
      <c r="E370">
        <v>4</v>
      </c>
      <c r="F370" t="s">
        <v>618</v>
      </c>
    </row>
    <row r="371" spans="1:6" x14ac:dyDescent="0.25">
      <c r="A371" t="s">
        <v>1521</v>
      </c>
      <c r="B371" t="s">
        <v>619</v>
      </c>
      <c r="C371" t="s">
        <v>141</v>
      </c>
      <c r="D371" t="str">
        <f>HYPERLINK("http://service.sap.com/sap/support/notes/1606780","1606780")</f>
        <v>1606780</v>
      </c>
      <c r="E371">
        <v>2</v>
      </c>
      <c r="F371" t="s">
        <v>620</v>
      </c>
    </row>
    <row r="372" spans="1:6" x14ac:dyDescent="0.25">
      <c r="A372" t="s">
        <v>1521</v>
      </c>
      <c r="B372" t="s">
        <v>619</v>
      </c>
      <c r="C372" t="s">
        <v>141</v>
      </c>
      <c r="D372" t="str">
        <f>HYPERLINK("http://service.sap.com/sap/support/notes/1611235","1611235")</f>
        <v>1611235</v>
      </c>
      <c r="E372">
        <v>2</v>
      </c>
      <c r="F372" t="s">
        <v>621</v>
      </c>
    </row>
    <row r="373" spans="1:6" x14ac:dyDescent="0.25">
      <c r="A373" t="s">
        <v>1521</v>
      </c>
      <c r="B373" t="s">
        <v>622</v>
      </c>
      <c r="C373" t="s">
        <v>623</v>
      </c>
    </row>
    <row r="374" spans="1:6" x14ac:dyDescent="0.25">
      <c r="A374" t="s">
        <v>1521</v>
      </c>
      <c r="B374" t="s">
        <v>624</v>
      </c>
      <c r="C374" t="s">
        <v>625</v>
      </c>
    </row>
    <row r="375" spans="1:6" x14ac:dyDescent="0.25">
      <c r="A375" t="s">
        <v>1521</v>
      </c>
      <c r="B375" t="s">
        <v>626</v>
      </c>
      <c r="C375" t="s">
        <v>627</v>
      </c>
      <c r="D375" t="str">
        <f>HYPERLINK("http://service.sap.com/sap/support/notes/1612145","1612145")</f>
        <v>1612145</v>
      </c>
      <c r="E375">
        <v>1</v>
      </c>
      <c r="F375" t="s">
        <v>628</v>
      </c>
    </row>
    <row r="376" spans="1:6" x14ac:dyDescent="0.25">
      <c r="A376" t="s">
        <v>1521</v>
      </c>
      <c r="B376" t="s">
        <v>629</v>
      </c>
      <c r="C376" t="s">
        <v>630</v>
      </c>
    </row>
    <row r="377" spans="1:6" x14ac:dyDescent="0.25">
      <c r="A377" t="s">
        <v>1521</v>
      </c>
      <c r="B377" t="s">
        <v>631</v>
      </c>
      <c r="C377" t="s">
        <v>632</v>
      </c>
    </row>
    <row r="378" spans="1:6" x14ac:dyDescent="0.25">
      <c r="A378" t="s">
        <v>1521</v>
      </c>
      <c r="B378" t="s">
        <v>633</v>
      </c>
      <c r="C378" t="s">
        <v>634</v>
      </c>
      <c r="D378" t="str">
        <f>HYPERLINK("http://service.sap.com/sap/support/notes/1601091","1601091")</f>
        <v>1601091</v>
      </c>
      <c r="E378">
        <v>2</v>
      </c>
      <c r="F378" t="s">
        <v>635</v>
      </c>
    </row>
    <row r="379" spans="1:6" x14ac:dyDescent="0.25">
      <c r="A379" t="s">
        <v>1521</v>
      </c>
      <c r="B379" t="s">
        <v>636</v>
      </c>
      <c r="C379" t="s">
        <v>637</v>
      </c>
      <c r="D379" t="str">
        <f>HYPERLINK("http://service.sap.com/sap/support/notes/1610257","1610257")</f>
        <v>1610257</v>
      </c>
      <c r="E379">
        <v>1</v>
      </c>
      <c r="F379" t="s">
        <v>638</v>
      </c>
    </row>
    <row r="380" spans="1:6" x14ac:dyDescent="0.25">
      <c r="A380" t="s">
        <v>1521</v>
      </c>
      <c r="B380" t="s">
        <v>639</v>
      </c>
      <c r="C380" t="s">
        <v>640</v>
      </c>
      <c r="D380" t="str">
        <f>HYPERLINK("http://service.sap.com/sap/support/notes/1587006","1587006")</f>
        <v>1587006</v>
      </c>
      <c r="E380">
        <v>2</v>
      </c>
      <c r="F380" t="s">
        <v>641</v>
      </c>
    </row>
    <row r="381" spans="1:6" x14ac:dyDescent="0.25">
      <c r="A381" t="s">
        <v>1521</v>
      </c>
      <c r="B381" t="s">
        <v>642</v>
      </c>
      <c r="C381" t="s">
        <v>643</v>
      </c>
    </row>
    <row r="382" spans="1:6" x14ac:dyDescent="0.25">
      <c r="A382" t="s">
        <v>1521</v>
      </c>
      <c r="B382" t="s">
        <v>644</v>
      </c>
      <c r="C382" t="s">
        <v>645</v>
      </c>
      <c r="D382" t="str">
        <f>HYPERLINK("http://service.sap.com/sap/support/notes/1612726","1612726")</f>
        <v>1612726</v>
      </c>
      <c r="E382">
        <v>2</v>
      </c>
      <c r="F382" t="s">
        <v>646</v>
      </c>
    </row>
    <row r="383" spans="1:6" x14ac:dyDescent="0.25">
      <c r="A383" t="s">
        <v>1521</v>
      </c>
      <c r="B383" t="s">
        <v>647</v>
      </c>
      <c r="C383" t="s">
        <v>648</v>
      </c>
      <c r="D383" t="str">
        <f>HYPERLINK("http://service.sap.com/sap/support/notes/1604773","1604773")</f>
        <v>1604773</v>
      </c>
      <c r="E383">
        <v>3</v>
      </c>
      <c r="F383" t="s">
        <v>649</v>
      </c>
    </row>
    <row r="384" spans="1:6" x14ac:dyDescent="0.25">
      <c r="A384" t="s">
        <v>1521</v>
      </c>
      <c r="B384" t="s">
        <v>650</v>
      </c>
      <c r="C384" t="s">
        <v>651</v>
      </c>
    </row>
    <row r="385" spans="1:6" x14ac:dyDescent="0.25">
      <c r="A385" t="s">
        <v>1521</v>
      </c>
      <c r="B385" t="s">
        <v>652</v>
      </c>
      <c r="C385" t="s">
        <v>653</v>
      </c>
      <c r="D385" t="str">
        <f>HYPERLINK("http://service.sap.com/sap/support/notes/1617630","1617630")</f>
        <v>1617630</v>
      </c>
      <c r="E385">
        <v>2</v>
      </c>
      <c r="F385" t="s">
        <v>654</v>
      </c>
    </row>
    <row r="386" spans="1:6" x14ac:dyDescent="0.25">
      <c r="A386" t="s">
        <v>1521</v>
      </c>
      <c r="B386" t="s">
        <v>655</v>
      </c>
      <c r="C386" t="s">
        <v>656</v>
      </c>
    </row>
    <row r="387" spans="1:6" x14ac:dyDescent="0.25">
      <c r="A387" t="s">
        <v>1521</v>
      </c>
      <c r="B387" t="s">
        <v>657</v>
      </c>
      <c r="C387" t="s">
        <v>658</v>
      </c>
    </row>
    <row r="388" spans="1:6" x14ac:dyDescent="0.25">
      <c r="A388" t="s">
        <v>1521</v>
      </c>
      <c r="B388" t="s">
        <v>659</v>
      </c>
      <c r="C388" t="s">
        <v>660</v>
      </c>
      <c r="D388" t="str">
        <f>HYPERLINK("http://service.sap.com/sap/support/notes/1606308","1606308")</f>
        <v>1606308</v>
      </c>
      <c r="E388">
        <v>2</v>
      </c>
      <c r="F388" t="s">
        <v>661</v>
      </c>
    </row>
    <row r="389" spans="1:6" x14ac:dyDescent="0.25">
      <c r="A389" t="s">
        <v>1521</v>
      </c>
      <c r="B389" t="s">
        <v>659</v>
      </c>
      <c r="C389" t="s">
        <v>660</v>
      </c>
      <c r="D389" t="str">
        <f>HYPERLINK("http://service.sap.com/sap/support/notes/1612190","1612190")</f>
        <v>1612190</v>
      </c>
      <c r="E389">
        <v>1</v>
      </c>
      <c r="F389" t="s">
        <v>662</v>
      </c>
    </row>
    <row r="390" spans="1:6" x14ac:dyDescent="0.25">
      <c r="A390" t="s">
        <v>1521</v>
      </c>
      <c r="B390" t="s">
        <v>663</v>
      </c>
      <c r="C390" t="s">
        <v>664</v>
      </c>
      <c r="D390" t="str">
        <f>HYPERLINK("http://service.sap.com/sap/support/notes/1604150","1604150")</f>
        <v>1604150</v>
      </c>
      <c r="E390">
        <v>3</v>
      </c>
      <c r="F390" t="s">
        <v>665</v>
      </c>
    </row>
    <row r="391" spans="1:6" x14ac:dyDescent="0.25">
      <c r="A391" t="s">
        <v>1521</v>
      </c>
      <c r="B391" t="s">
        <v>663</v>
      </c>
      <c r="C391" t="s">
        <v>664</v>
      </c>
      <c r="D391" t="str">
        <f>HYPERLINK("http://service.sap.com/sap/support/notes/1606490","1606490")</f>
        <v>1606490</v>
      </c>
      <c r="E391">
        <v>5</v>
      </c>
      <c r="F391" t="s">
        <v>666</v>
      </c>
    </row>
    <row r="392" spans="1:6" x14ac:dyDescent="0.25">
      <c r="A392" t="s">
        <v>1521</v>
      </c>
      <c r="B392" t="s">
        <v>663</v>
      </c>
      <c r="C392" t="s">
        <v>664</v>
      </c>
      <c r="D392" t="str">
        <f>HYPERLINK("http://service.sap.com/sap/support/notes/1608044","1608044")</f>
        <v>1608044</v>
      </c>
      <c r="E392">
        <v>5</v>
      </c>
      <c r="F392" t="s">
        <v>667</v>
      </c>
    </row>
    <row r="393" spans="1:6" x14ac:dyDescent="0.25">
      <c r="A393" t="s">
        <v>1521</v>
      </c>
      <c r="B393" t="s">
        <v>663</v>
      </c>
      <c r="C393" t="s">
        <v>664</v>
      </c>
      <c r="D393" t="str">
        <f>HYPERLINK("http://service.sap.com/sap/support/notes/1613467","1613467")</f>
        <v>1613467</v>
      </c>
      <c r="E393">
        <v>3</v>
      </c>
      <c r="F393" t="s">
        <v>668</v>
      </c>
    </row>
    <row r="394" spans="1:6" x14ac:dyDescent="0.25">
      <c r="A394" t="s">
        <v>1521</v>
      </c>
      <c r="B394" t="s">
        <v>669</v>
      </c>
      <c r="C394" t="s">
        <v>670</v>
      </c>
    </row>
    <row r="395" spans="1:6" x14ac:dyDescent="0.25">
      <c r="A395" t="s">
        <v>1521</v>
      </c>
      <c r="B395" t="s">
        <v>671</v>
      </c>
      <c r="C395" t="s">
        <v>672</v>
      </c>
      <c r="D395" t="str">
        <f>HYPERLINK("http://service.sap.com/sap/support/notes/1601316","1601316")</f>
        <v>1601316</v>
      </c>
      <c r="E395">
        <v>3</v>
      </c>
      <c r="F395" t="s">
        <v>673</v>
      </c>
    </row>
    <row r="396" spans="1:6" x14ac:dyDescent="0.25">
      <c r="A396" t="s">
        <v>1521</v>
      </c>
      <c r="B396" t="s">
        <v>671</v>
      </c>
      <c r="C396" t="s">
        <v>672</v>
      </c>
      <c r="D396" t="str">
        <f>HYPERLINK("http://service.sap.com/sap/support/notes/1601728","1601728")</f>
        <v>1601728</v>
      </c>
      <c r="E396">
        <v>2</v>
      </c>
      <c r="F396" t="s">
        <v>674</v>
      </c>
    </row>
    <row r="397" spans="1:6" x14ac:dyDescent="0.25">
      <c r="A397" t="s">
        <v>1521</v>
      </c>
      <c r="B397" t="s">
        <v>671</v>
      </c>
      <c r="C397" t="s">
        <v>672</v>
      </c>
      <c r="D397" t="str">
        <f>HYPERLINK("http://service.sap.com/sap/support/notes/1602566","1602566")</f>
        <v>1602566</v>
      </c>
      <c r="E397">
        <v>2</v>
      </c>
      <c r="F397" t="s">
        <v>675</v>
      </c>
    </row>
    <row r="398" spans="1:6" x14ac:dyDescent="0.25">
      <c r="A398" t="s">
        <v>1521</v>
      </c>
      <c r="B398" t="s">
        <v>671</v>
      </c>
      <c r="C398" t="s">
        <v>672</v>
      </c>
      <c r="D398" t="str">
        <f>HYPERLINK("http://service.sap.com/sap/support/notes/1604473","1604473")</f>
        <v>1604473</v>
      </c>
      <c r="E398">
        <v>2</v>
      </c>
      <c r="F398" t="s">
        <v>676</v>
      </c>
    </row>
    <row r="399" spans="1:6" x14ac:dyDescent="0.25">
      <c r="A399" t="s">
        <v>1521</v>
      </c>
      <c r="B399" t="s">
        <v>671</v>
      </c>
      <c r="C399" t="s">
        <v>672</v>
      </c>
      <c r="D399" t="str">
        <f>HYPERLINK("http://service.sap.com/sap/support/notes/1609775","1609775")</f>
        <v>1609775</v>
      </c>
      <c r="E399">
        <v>1</v>
      </c>
      <c r="F399" t="s">
        <v>677</v>
      </c>
    </row>
    <row r="400" spans="1:6" x14ac:dyDescent="0.25">
      <c r="A400" t="s">
        <v>1521</v>
      </c>
      <c r="B400" t="s">
        <v>671</v>
      </c>
      <c r="C400" t="s">
        <v>672</v>
      </c>
      <c r="D400" t="str">
        <f>HYPERLINK("http://service.sap.com/sap/support/notes/1611383","1611383")</f>
        <v>1611383</v>
      </c>
      <c r="E400">
        <v>1</v>
      </c>
      <c r="F400" t="s">
        <v>678</v>
      </c>
    </row>
    <row r="401" spans="1:6" x14ac:dyDescent="0.25">
      <c r="A401" t="s">
        <v>1521</v>
      </c>
      <c r="B401" t="s">
        <v>671</v>
      </c>
      <c r="C401" t="s">
        <v>672</v>
      </c>
      <c r="D401" t="str">
        <f>HYPERLINK("http://service.sap.com/sap/support/notes/1616527","1616527")</f>
        <v>1616527</v>
      </c>
      <c r="E401">
        <v>2</v>
      </c>
      <c r="F401" t="s">
        <v>679</v>
      </c>
    </row>
    <row r="402" spans="1:6" x14ac:dyDescent="0.25">
      <c r="A402" t="s">
        <v>1521</v>
      </c>
      <c r="B402" t="s">
        <v>671</v>
      </c>
      <c r="C402" t="s">
        <v>672</v>
      </c>
      <c r="D402" t="str">
        <f>HYPERLINK("http://service.sap.com/sap/support/notes/1618626","1618626")</f>
        <v>1618626</v>
      </c>
      <c r="E402">
        <v>2</v>
      </c>
      <c r="F402" t="s">
        <v>680</v>
      </c>
    </row>
    <row r="403" spans="1:6" x14ac:dyDescent="0.25">
      <c r="A403" t="s">
        <v>1521</v>
      </c>
      <c r="B403" t="s">
        <v>681</v>
      </c>
      <c r="C403" t="s">
        <v>682</v>
      </c>
      <c r="D403" t="str">
        <f>HYPERLINK("http://service.sap.com/sap/support/notes/1609128","1609128")</f>
        <v>1609128</v>
      </c>
      <c r="E403">
        <v>1</v>
      </c>
      <c r="F403" t="s">
        <v>683</v>
      </c>
    </row>
    <row r="404" spans="1:6" x14ac:dyDescent="0.25">
      <c r="A404" t="s">
        <v>1521</v>
      </c>
      <c r="B404" t="s">
        <v>684</v>
      </c>
      <c r="C404" t="s">
        <v>685</v>
      </c>
      <c r="D404" t="str">
        <f>HYPERLINK("http://service.sap.com/sap/support/notes/1618285","1618285")</f>
        <v>1618285</v>
      </c>
      <c r="E404">
        <v>2</v>
      </c>
      <c r="F404" t="s">
        <v>686</v>
      </c>
    </row>
    <row r="405" spans="1:6" x14ac:dyDescent="0.25">
      <c r="A405" t="s">
        <v>1521</v>
      </c>
      <c r="B405" t="s">
        <v>687</v>
      </c>
      <c r="C405" t="s">
        <v>337</v>
      </c>
    </row>
    <row r="406" spans="1:6" x14ac:dyDescent="0.25">
      <c r="A406" t="s">
        <v>1521</v>
      </c>
      <c r="B406" t="s">
        <v>688</v>
      </c>
      <c r="C406" t="s">
        <v>689</v>
      </c>
      <c r="D406" t="str">
        <f>HYPERLINK("http://service.sap.com/sap/support/notes/1608791","1608791")</f>
        <v>1608791</v>
      </c>
      <c r="E406">
        <v>2</v>
      </c>
      <c r="F406" t="s">
        <v>690</v>
      </c>
    </row>
    <row r="407" spans="1:6" x14ac:dyDescent="0.25">
      <c r="A407" t="s">
        <v>1521</v>
      </c>
      <c r="B407" t="s">
        <v>691</v>
      </c>
      <c r="C407" t="s">
        <v>692</v>
      </c>
      <c r="D407" t="str">
        <f>HYPERLINK("http://service.sap.com/sap/support/notes/1611080","1611080")</f>
        <v>1611080</v>
      </c>
      <c r="E407">
        <v>2</v>
      </c>
      <c r="F407" t="s">
        <v>693</v>
      </c>
    </row>
    <row r="408" spans="1:6" x14ac:dyDescent="0.25">
      <c r="A408" t="s">
        <v>1521</v>
      </c>
      <c r="B408" t="s">
        <v>694</v>
      </c>
      <c r="C408" t="s">
        <v>695</v>
      </c>
    </row>
    <row r="409" spans="1:6" x14ac:dyDescent="0.25">
      <c r="A409" t="s">
        <v>1521</v>
      </c>
      <c r="B409" t="s">
        <v>696</v>
      </c>
      <c r="C409" t="s">
        <v>33</v>
      </c>
      <c r="D409" t="str">
        <f>HYPERLINK("http://service.sap.com/sap/support/notes/1603405","1603405")</f>
        <v>1603405</v>
      </c>
      <c r="E409">
        <v>2</v>
      </c>
      <c r="F409" t="s">
        <v>697</v>
      </c>
    </row>
    <row r="410" spans="1:6" x14ac:dyDescent="0.25">
      <c r="A410" t="s">
        <v>1521</v>
      </c>
      <c r="B410" t="s">
        <v>698</v>
      </c>
      <c r="C410" t="s">
        <v>699</v>
      </c>
    </row>
    <row r="411" spans="1:6" x14ac:dyDescent="0.25">
      <c r="A411" t="s">
        <v>1521</v>
      </c>
      <c r="B411" t="s">
        <v>700</v>
      </c>
      <c r="C411" t="s">
        <v>701</v>
      </c>
      <c r="D411" t="str">
        <f>HYPERLINK("http://service.sap.com/sap/support/notes/1607533","1607533")</f>
        <v>1607533</v>
      </c>
      <c r="E411">
        <v>2</v>
      </c>
      <c r="F411" t="s">
        <v>702</v>
      </c>
    </row>
    <row r="412" spans="1:6" x14ac:dyDescent="0.25">
      <c r="A412" t="s">
        <v>1521</v>
      </c>
      <c r="B412" t="s">
        <v>24</v>
      </c>
      <c r="C412" t="s">
        <v>25</v>
      </c>
    </row>
    <row r="413" spans="1:6" x14ac:dyDescent="0.25">
      <c r="A413" t="s">
        <v>1521</v>
      </c>
      <c r="B413" t="s">
        <v>703</v>
      </c>
      <c r="C413" t="s">
        <v>704</v>
      </c>
      <c r="D413" t="str">
        <f>HYPERLINK("http://service.sap.com/sap/support/notes/1612338","1612338")</f>
        <v>1612338</v>
      </c>
      <c r="E413">
        <v>1</v>
      </c>
      <c r="F413" t="s">
        <v>705</v>
      </c>
    </row>
    <row r="414" spans="1:6" x14ac:dyDescent="0.25">
      <c r="A414" t="s">
        <v>1521</v>
      </c>
      <c r="B414" t="s">
        <v>703</v>
      </c>
      <c r="C414" t="s">
        <v>704</v>
      </c>
      <c r="D414" t="str">
        <f>HYPERLINK("http://service.sap.com/sap/support/notes/1619365","1619365")</f>
        <v>1619365</v>
      </c>
      <c r="E414">
        <v>2</v>
      </c>
      <c r="F414" t="s">
        <v>706</v>
      </c>
    </row>
    <row r="415" spans="1:6" x14ac:dyDescent="0.25">
      <c r="A415" t="s">
        <v>1521</v>
      </c>
      <c r="B415" t="s">
        <v>707</v>
      </c>
      <c r="C415" t="s">
        <v>708</v>
      </c>
      <c r="D415" t="str">
        <f>HYPERLINK("http://service.sap.com/sap/support/notes/1611168","1611168")</f>
        <v>1611168</v>
      </c>
      <c r="E415">
        <v>1</v>
      </c>
      <c r="F415" t="s">
        <v>709</v>
      </c>
    </row>
    <row r="416" spans="1:6" x14ac:dyDescent="0.25">
      <c r="A416" t="s">
        <v>1521</v>
      </c>
      <c r="B416" t="s">
        <v>710</v>
      </c>
      <c r="C416" t="s">
        <v>711</v>
      </c>
    </row>
    <row r="417" spans="1:6" x14ac:dyDescent="0.25">
      <c r="A417" t="s">
        <v>1521</v>
      </c>
      <c r="B417" t="s">
        <v>712</v>
      </c>
      <c r="C417" t="s">
        <v>713</v>
      </c>
      <c r="D417" t="str">
        <f>HYPERLINK("http://service.sap.com/sap/support/notes/1584473","1584473")</f>
        <v>1584473</v>
      </c>
      <c r="E417">
        <v>5</v>
      </c>
      <c r="F417" t="s">
        <v>714</v>
      </c>
    </row>
    <row r="418" spans="1:6" x14ac:dyDescent="0.25">
      <c r="A418" t="s">
        <v>1521</v>
      </c>
      <c r="B418" t="s">
        <v>712</v>
      </c>
      <c r="C418" t="s">
        <v>713</v>
      </c>
      <c r="D418" t="str">
        <f>HYPERLINK("http://service.sap.com/sap/support/notes/1594603","1594603")</f>
        <v>1594603</v>
      </c>
      <c r="E418">
        <v>3</v>
      </c>
      <c r="F418" t="s">
        <v>715</v>
      </c>
    </row>
    <row r="419" spans="1:6" x14ac:dyDescent="0.25">
      <c r="A419" t="s">
        <v>1521</v>
      </c>
      <c r="B419" t="s">
        <v>712</v>
      </c>
      <c r="C419" t="s">
        <v>713</v>
      </c>
      <c r="D419" t="str">
        <f>HYPERLINK("http://service.sap.com/sap/support/notes/1598335","1598335")</f>
        <v>1598335</v>
      </c>
      <c r="E419">
        <v>1</v>
      </c>
      <c r="F419" t="s">
        <v>716</v>
      </c>
    </row>
    <row r="420" spans="1:6" x14ac:dyDescent="0.25">
      <c r="A420" t="s">
        <v>1521</v>
      </c>
      <c r="B420" t="s">
        <v>712</v>
      </c>
      <c r="C420" t="s">
        <v>713</v>
      </c>
      <c r="D420" t="str">
        <f>HYPERLINK("http://service.sap.com/sap/support/notes/1599833","1599833")</f>
        <v>1599833</v>
      </c>
      <c r="E420">
        <v>2</v>
      </c>
      <c r="F420" t="s">
        <v>717</v>
      </c>
    </row>
    <row r="421" spans="1:6" x14ac:dyDescent="0.25">
      <c r="A421" t="s">
        <v>1521</v>
      </c>
      <c r="B421" t="s">
        <v>712</v>
      </c>
      <c r="C421" t="s">
        <v>713</v>
      </c>
      <c r="D421" t="str">
        <f>HYPERLINK("http://service.sap.com/sap/support/notes/1600602","1600602")</f>
        <v>1600602</v>
      </c>
      <c r="E421">
        <v>3</v>
      </c>
      <c r="F421" t="s">
        <v>718</v>
      </c>
    </row>
    <row r="422" spans="1:6" x14ac:dyDescent="0.25">
      <c r="A422" t="s">
        <v>1521</v>
      </c>
      <c r="B422" t="s">
        <v>712</v>
      </c>
      <c r="C422" t="s">
        <v>713</v>
      </c>
      <c r="D422" t="str">
        <f>HYPERLINK("http://service.sap.com/sap/support/notes/1603651","1603651")</f>
        <v>1603651</v>
      </c>
      <c r="E422">
        <v>3</v>
      </c>
      <c r="F422" t="s">
        <v>718</v>
      </c>
    </row>
    <row r="423" spans="1:6" x14ac:dyDescent="0.25">
      <c r="A423" t="s">
        <v>1521</v>
      </c>
      <c r="B423" t="s">
        <v>712</v>
      </c>
      <c r="C423" t="s">
        <v>713</v>
      </c>
      <c r="D423" t="str">
        <f>HYPERLINK("http://service.sap.com/sap/support/notes/1606314","1606314")</f>
        <v>1606314</v>
      </c>
      <c r="E423">
        <v>5</v>
      </c>
      <c r="F423" t="s">
        <v>719</v>
      </c>
    </row>
    <row r="424" spans="1:6" x14ac:dyDescent="0.25">
      <c r="A424" t="s">
        <v>1521</v>
      </c>
      <c r="B424" t="s">
        <v>720</v>
      </c>
      <c r="C424" t="s">
        <v>721</v>
      </c>
      <c r="D424" t="str">
        <f>HYPERLINK("http://service.sap.com/sap/support/notes/1601911","1601911")</f>
        <v>1601911</v>
      </c>
      <c r="E424">
        <v>3</v>
      </c>
      <c r="F424" t="s">
        <v>722</v>
      </c>
    </row>
    <row r="425" spans="1:6" x14ac:dyDescent="0.25">
      <c r="A425" t="s">
        <v>1521</v>
      </c>
      <c r="B425" t="s">
        <v>723</v>
      </c>
      <c r="C425" t="s">
        <v>724</v>
      </c>
      <c r="D425" t="str">
        <f>HYPERLINK("http://service.sap.com/sap/support/notes/1604638","1604638")</f>
        <v>1604638</v>
      </c>
      <c r="E425">
        <v>3</v>
      </c>
      <c r="F425" t="s">
        <v>725</v>
      </c>
    </row>
    <row r="426" spans="1:6" x14ac:dyDescent="0.25">
      <c r="A426" t="s">
        <v>1521</v>
      </c>
      <c r="B426" t="s">
        <v>723</v>
      </c>
      <c r="C426" t="s">
        <v>724</v>
      </c>
      <c r="D426" t="str">
        <f>HYPERLINK("http://service.sap.com/sap/support/notes/1606317","1606317")</f>
        <v>1606317</v>
      </c>
      <c r="E426">
        <v>1</v>
      </c>
      <c r="F426" t="s">
        <v>726</v>
      </c>
    </row>
    <row r="427" spans="1:6" x14ac:dyDescent="0.25">
      <c r="A427" t="s">
        <v>1521</v>
      </c>
      <c r="B427" t="s">
        <v>723</v>
      </c>
      <c r="C427" t="s">
        <v>724</v>
      </c>
      <c r="D427" t="str">
        <f>HYPERLINK("http://service.sap.com/sap/support/notes/1606497","1606497")</f>
        <v>1606497</v>
      </c>
      <c r="E427">
        <v>3</v>
      </c>
      <c r="F427" t="s">
        <v>727</v>
      </c>
    </row>
    <row r="428" spans="1:6" x14ac:dyDescent="0.25">
      <c r="A428" t="s">
        <v>1521</v>
      </c>
      <c r="B428" t="s">
        <v>723</v>
      </c>
      <c r="C428" t="s">
        <v>724</v>
      </c>
      <c r="D428" t="str">
        <f>HYPERLINK("http://service.sap.com/sap/support/notes/1616783","1616783")</f>
        <v>1616783</v>
      </c>
      <c r="E428">
        <v>2</v>
      </c>
      <c r="F428" t="s">
        <v>728</v>
      </c>
    </row>
    <row r="429" spans="1:6" x14ac:dyDescent="0.25">
      <c r="A429" t="s">
        <v>1521</v>
      </c>
      <c r="B429" t="s">
        <v>729</v>
      </c>
      <c r="C429" t="s">
        <v>730</v>
      </c>
      <c r="D429" t="str">
        <f>HYPERLINK("http://service.sap.com/sap/support/notes/1608308","1608308")</f>
        <v>1608308</v>
      </c>
      <c r="E429">
        <v>1</v>
      </c>
      <c r="F429" t="s">
        <v>731</v>
      </c>
    </row>
    <row r="430" spans="1:6" x14ac:dyDescent="0.25">
      <c r="A430" t="s">
        <v>1521</v>
      </c>
      <c r="B430" t="s">
        <v>732</v>
      </c>
      <c r="C430" t="s">
        <v>733</v>
      </c>
    </row>
    <row r="431" spans="1:6" x14ac:dyDescent="0.25">
      <c r="A431" t="s">
        <v>1521</v>
      </c>
      <c r="B431" t="s">
        <v>734</v>
      </c>
      <c r="C431" t="s">
        <v>735</v>
      </c>
      <c r="D431" t="str">
        <f>HYPERLINK("http://service.sap.com/sap/support/notes/1608730","1608730")</f>
        <v>1608730</v>
      </c>
      <c r="E431">
        <v>1</v>
      </c>
      <c r="F431" t="s">
        <v>736</v>
      </c>
    </row>
    <row r="432" spans="1:6" x14ac:dyDescent="0.25">
      <c r="A432" t="s">
        <v>1521</v>
      </c>
      <c r="B432" t="s">
        <v>737</v>
      </c>
      <c r="C432" t="s">
        <v>738</v>
      </c>
    </row>
    <row r="433" spans="1:6" x14ac:dyDescent="0.25">
      <c r="A433" t="s">
        <v>1521</v>
      </c>
      <c r="B433" t="s">
        <v>739</v>
      </c>
      <c r="C433" t="s">
        <v>740</v>
      </c>
      <c r="D433" t="str">
        <f>HYPERLINK("http://service.sap.com/sap/support/notes/1331221","1331221")</f>
        <v>1331221</v>
      </c>
      <c r="E433">
        <v>8</v>
      </c>
      <c r="F433" t="s">
        <v>741</v>
      </c>
    </row>
    <row r="434" spans="1:6" x14ac:dyDescent="0.25">
      <c r="A434" t="s">
        <v>1521</v>
      </c>
      <c r="B434" t="s">
        <v>739</v>
      </c>
      <c r="C434" t="s">
        <v>740</v>
      </c>
      <c r="D434" t="str">
        <f>HYPERLINK("http://service.sap.com/sap/support/notes/1606667","1606667")</f>
        <v>1606667</v>
      </c>
      <c r="E434">
        <v>1</v>
      </c>
      <c r="F434" t="s">
        <v>742</v>
      </c>
    </row>
    <row r="435" spans="1:6" x14ac:dyDescent="0.25">
      <c r="A435" t="s">
        <v>1521</v>
      </c>
      <c r="B435" t="s">
        <v>743</v>
      </c>
      <c r="C435" t="s">
        <v>744</v>
      </c>
      <c r="D435" t="str">
        <f>HYPERLINK("http://service.sap.com/sap/support/notes/1591383","1591383")</f>
        <v>1591383</v>
      </c>
      <c r="E435">
        <v>1</v>
      </c>
      <c r="F435" t="s">
        <v>745</v>
      </c>
    </row>
    <row r="436" spans="1:6" x14ac:dyDescent="0.25">
      <c r="A436" t="s">
        <v>1521</v>
      </c>
      <c r="B436" t="s">
        <v>743</v>
      </c>
      <c r="C436" t="s">
        <v>744</v>
      </c>
      <c r="D436" t="str">
        <f>HYPERLINK("http://service.sap.com/sap/support/notes/1602404","1602404")</f>
        <v>1602404</v>
      </c>
      <c r="E436">
        <v>2</v>
      </c>
      <c r="F436" t="s">
        <v>746</v>
      </c>
    </row>
    <row r="437" spans="1:6" x14ac:dyDescent="0.25">
      <c r="A437" t="s">
        <v>1521</v>
      </c>
      <c r="B437" t="s">
        <v>743</v>
      </c>
      <c r="C437" t="s">
        <v>744</v>
      </c>
      <c r="D437" t="str">
        <f>HYPERLINK("http://service.sap.com/sap/support/notes/1604092","1604092")</f>
        <v>1604092</v>
      </c>
      <c r="E437">
        <v>2</v>
      </c>
      <c r="F437" t="s">
        <v>747</v>
      </c>
    </row>
    <row r="438" spans="1:6" x14ac:dyDescent="0.25">
      <c r="A438" t="s">
        <v>1521</v>
      </c>
      <c r="B438" t="s">
        <v>743</v>
      </c>
      <c r="C438" t="s">
        <v>744</v>
      </c>
      <c r="D438" t="str">
        <f>HYPERLINK("http://service.sap.com/sap/support/notes/1604541","1604541")</f>
        <v>1604541</v>
      </c>
      <c r="E438">
        <v>2</v>
      </c>
      <c r="F438" t="s">
        <v>748</v>
      </c>
    </row>
    <row r="439" spans="1:6" x14ac:dyDescent="0.25">
      <c r="A439" t="s">
        <v>1521</v>
      </c>
      <c r="B439" t="s">
        <v>743</v>
      </c>
      <c r="C439" t="s">
        <v>744</v>
      </c>
      <c r="D439" t="str">
        <f>HYPERLINK("http://service.sap.com/sap/support/notes/1607563","1607563")</f>
        <v>1607563</v>
      </c>
      <c r="E439">
        <v>2</v>
      </c>
      <c r="F439" t="s">
        <v>749</v>
      </c>
    </row>
    <row r="440" spans="1:6" x14ac:dyDescent="0.25">
      <c r="A440" t="s">
        <v>1521</v>
      </c>
      <c r="B440" t="s">
        <v>743</v>
      </c>
      <c r="C440" t="s">
        <v>744</v>
      </c>
      <c r="D440" t="str">
        <f>HYPERLINK("http://service.sap.com/sap/support/notes/1609957","1609957")</f>
        <v>1609957</v>
      </c>
      <c r="E440">
        <v>2</v>
      </c>
      <c r="F440" t="s">
        <v>750</v>
      </c>
    </row>
    <row r="441" spans="1:6" x14ac:dyDescent="0.25">
      <c r="A441" t="s">
        <v>1521</v>
      </c>
      <c r="B441" t="s">
        <v>743</v>
      </c>
      <c r="C441" t="s">
        <v>744</v>
      </c>
      <c r="D441" t="str">
        <f>HYPERLINK("http://service.sap.com/sap/support/notes/1611319","1611319")</f>
        <v>1611319</v>
      </c>
      <c r="E441">
        <v>1</v>
      </c>
      <c r="F441" t="s">
        <v>751</v>
      </c>
    </row>
    <row r="442" spans="1:6" x14ac:dyDescent="0.25">
      <c r="A442" t="s">
        <v>1521</v>
      </c>
      <c r="B442" t="s">
        <v>752</v>
      </c>
      <c r="C442" t="s">
        <v>753</v>
      </c>
      <c r="D442" t="str">
        <f>HYPERLINK("http://service.sap.com/sap/support/notes/1618355","1618355")</f>
        <v>1618355</v>
      </c>
      <c r="E442">
        <v>3</v>
      </c>
      <c r="F442" t="s">
        <v>754</v>
      </c>
    </row>
    <row r="443" spans="1:6" x14ac:dyDescent="0.25">
      <c r="A443" t="s">
        <v>1521</v>
      </c>
      <c r="B443" t="s">
        <v>755</v>
      </c>
      <c r="C443" t="s">
        <v>756</v>
      </c>
      <c r="D443" t="str">
        <f>HYPERLINK("http://service.sap.com/sap/support/notes/1276717","1276717")</f>
        <v>1276717</v>
      </c>
      <c r="E443">
        <v>4</v>
      </c>
      <c r="F443" t="s">
        <v>757</v>
      </c>
    </row>
    <row r="444" spans="1:6" x14ac:dyDescent="0.25">
      <c r="A444" t="s">
        <v>1521</v>
      </c>
      <c r="B444" t="s">
        <v>755</v>
      </c>
      <c r="C444" t="s">
        <v>756</v>
      </c>
      <c r="D444" t="str">
        <f>HYPERLINK("http://service.sap.com/sap/support/notes/1418840","1418840")</f>
        <v>1418840</v>
      </c>
      <c r="E444">
        <v>4</v>
      </c>
      <c r="F444" t="s">
        <v>758</v>
      </c>
    </row>
    <row r="445" spans="1:6" x14ac:dyDescent="0.25">
      <c r="A445" t="s">
        <v>1521</v>
      </c>
      <c r="B445" t="s">
        <v>755</v>
      </c>
      <c r="C445" t="s">
        <v>756</v>
      </c>
      <c r="D445" t="str">
        <f>HYPERLINK("http://service.sap.com/sap/support/notes/1529941","1529941")</f>
        <v>1529941</v>
      </c>
      <c r="E445">
        <v>2</v>
      </c>
      <c r="F445" t="s">
        <v>759</v>
      </c>
    </row>
    <row r="446" spans="1:6" x14ac:dyDescent="0.25">
      <c r="A446" t="s">
        <v>1521</v>
      </c>
      <c r="B446" t="s">
        <v>755</v>
      </c>
      <c r="C446" t="s">
        <v>756</v>
      </c>
      <c r="D446" t="str">
        <f>HYPERLINK("http://service.sap.com/sap/support/notes/1594535","1594535")</f>
        <v>1594535</v>
      </c>
      <c r="E446">
        <v>3</v>
      </c>
      <c r="F446" t="s">
        <v>760</v>
      </c>
    </row>
    <row r="447" spans="1:6" x14ac:dyDescent="0.25">
      <c r="A447" t="s">
        <v>1521</v>
      </c>
      <c r="B447" t="s">
        <v>761</v>
      </c>
      <c r="C447" t="s">
        <v>762</v>
      </c>
      <c r="D447" t="str">
        <f>HYPERLINK("http://service.sap.com/sap/support/notes/1611526","1611526")</f>
        <v>1611526</v>
      </c>
      <c r="E447">
        <v>1</v>
      </c>
      <c r="F447" t="s">
        <v>763</v>
      </c>
    </row>
    <row r="448" spans="1:6" x14ac:dyDescent="0.25">
      <c r="A448" t="s">
        <v>1521</v>
      </c>
      <c r="B448" t="s">
        <v>764</v>
      </c>
      <c r="C448" t="s">
        <v>765</v>
      </c>
      <c r="D448" t="str">
        <f>HYPERLINK("http://service.sap.com/sap/support/notes/1527016","1527016")</f>
        <v>1527016</v>
      </c>
      <c r="E448">
        <v>5</v>
      </c>
      <c r="F448" t="s">
        <v>766</v>
      </c>
    </row>
    <row r="449" spans="1:6" x14ac:dyDescent="0.25">
      <c r="A449" t="s">
        <v>1521</v>
      </c>
      <c r="B449" t="s">
        <v>764</v>
      </c>
      <c r="C449" t="s">
        <v>765</v>
      </c>
      <c r="D449" t="str">
        <f>HYPERLINK("http://service.sap.com/sap/support/notes/1537207","1537207")</f>
        <v>1537207</v>
      </c>
      <c r="E449">
        <v>4</v>
      </c>
      <c r="F449" t="s">
        <v>767</v>
      </c>
    </row>
    <row r="450" spans="1:6" x14ac:dyDescent="0.25">
      <c r="A450" t="s">
        <v>1521</v>
      </c>
      <c r="B450" t="s">
        <v>764</v>
      </c>
      <c r="C450" t="s">
        <v>765</v>
      </c>
      <c r="D450" t="str">
        <f>HYPERLINK("http://service.sap.com/sap/support/notes/1602312","1602312")</f>
        <v>1602312</v>
      </c>
      <c r="E450">
        <v>1</v>
      </c>
      <c r="F450" t="s">
        <v>768</v>
      </c>
    </row>
    <row r="451" spans="1:6" x14ac:dyDescent="0.25">
      <c r="A451" t="s">
        <v>1521</v>
      </c>
      <c r="B451" t="s">
        <v>769</v>
      </c>
      <c r="C451" t="s">
        <v>770</v>
      </c>
    </row>
    <row r="452" spans="1:6" x14ac:dyDescent="0.25">
      <c r="A452" t="s">
        <v>1521</v>
      </c>
      <c r="B452" t="s">
        <v>771</v>
      </c>
      <c r="C452" t="s">
        <v>772</v>
      </c>
      <c r="D452" t="str">
        <f>HYPERLINK("http://service.sap.com/sap/support/notes/1609449","1609449")</f>
        <v>1609449</v>
      </c>
      <c r="E452">
        <v>1</v>
      </c>
      <c r="F452" t="s">
        <v>773</v>
      </c>
    </row>
    <row r="453" spans="1:6" x14ac:dyDescent="0.25">
      <c r="A453" t="s">
        <v>1521</v>
      </c>
      <c r="B453" t="s">
        <v>774</v>
      </c>
      <c r="C453" t="s">
        <v>775</v>
      </c>
      <c r="D453" t="str">
        <f>HYPERLINK("http://service.sap.com/sap/support/notes/1603105","1603105")</f>
        <v>1603105</v>
      </c>
      <c r="E453">
        <v>2</v>
      </c>
      <c r="F453" t="s">
        <v>776</v>
      </c>
    </row>
    <row r="454" spans="1:6" x14ac:dyDescent="0.25">
      <c r="A454" t="s">
        <v>1521</v>
      </c>
      <c r="B454" t="s">
        <v>777</v>
      </c>
      <c r="C454" t="s">
        <v>778</v>
      </c>
      <c r="D454" t="str">
        <f>HYPERLINK("http://service.sap.com/sap/support/notes/1555409","1555409")</f>
        <v>1555409</v>
      </c>
      <c r="E454">
        <v>1</v>
      </c>
      <c r="F454" t="s">
        <v>779</v>
      </c>
    </row>
    <row r="455" spans="1:6" x14ac:dyDescent="0.25">
      <c r="A455" t="s">
        <v>1521</v>
      </c>
      <c r="B455" t="s">
        <v>777</v>
      </c>
      <c r="C455" t="s">
        <v>778</v>
      </c>
      <c r="D455" t="str">
        <f>HYPERLINK("http://service.sap.com/sap/support/notes/1583812","1583812")</f>
        <v>1583812</v>
      </c>
      <c r="E455">
        <v>1</v>
      </c>
      <c r="F455" t="s">
        <v>780</v>
      </c>
    </row>
    <row r="456" spans="1:6" x14ac:dyDescent="0.25">
      <c r="A456" t="s">
        <v>1521</v>
      </c>
      <c r="B456" t="s">
        <v>777</v>
      </c>
      <c r="C456" t="s">
        <v>778</v>
      </c>
      <c r="D456" t="str">
        <f>HYPERLINK("http://service.sap.com/sap/support/notes/1604166","1604166")</f>
        <v>1604166</v>
      </c>
      <c r="E456">
        <v>2</v>
      </c>
      <c r="F456" t="s">
        <v>781</v>
      </c>
    </row>
    <row r="457" spans="1:6" x14ac:dyDescent="0.25">
      <c r="A457" t="s">
        <v>1521</v>
      </c>
      <c r="B457" t="s">
        <v>777</v>
      </c>
      <c r="C457" t="s">
        <v>778</v>
      </c>
      <c r="D457" t="str">
        <f>HYPERLINK("http://service.sap.com/sap/support/notes/1605943","1605943")</f>
        <v>1605943</v>
      </c>
      <c r="E457">
        <v>3</v>
      </c>
      <c r="F457" t="s">
        <v>782</v>
      </c>
    </row>
    <row r="458" spans="1:6" x14ac:dyDescent="0.25">
      <c r="A458" t="s">
        <v>1521</v>
      </c>
      <c r="B458" t="s">
        <v>777</v>
      </c>
      <c r="C458" t="s">
        <v>778</v>
      </c>
      <c r="D458" t="str">
        <f>HYPERLINK("http://service.sap.com/sap/support/notes/1608659","1608659")</f>
        <v>1608659</v>
      </c>
      <c r="E458">
        <v>2</v>
      </c>
      <c r="F458" t="s">
        <v>783</v>
      </c>
    </row>
    <row r="459" spans="1:6" x14ac:dyDescent="0.25">
      <c r="A459" t="s">
        <v>1521</v>
      </c>
      <c r="B459" t="s">
        <v>777</v>
      </c>
      <c r="C459" t="s">
        <v>778</v>
      </c>
      <c r="D459" t="str">
        <f>HYPERLINK("http://service.sap.com/sap/support/notes/1613890","1613890")</f>
        <v>1613890</v>
      </c>
      <c r="E459">
        <v>2</v>
      </c>
      <c r="F459" t="s">
        <v>784</v>
      </c>
    </row>
    <row r="460" spans="1:6" x14ac:dyDescent="0.25">
      <c r="A460" t="s">
        <v>1521</v>
      </c>
      <c r="B460" t="s">
        <v>777</v>
      </c>
      <c r="C460" t="s">
        <v>778</v>
      </c>
      <c r="D460" t="str">
        <f>HYPERLINK("http://service.sap.com/sap/support/notes/1615776","1615776")</f>
        <v>1615776</v>
      </c>
      <c r="E460">
        <v>2</v>
      </c>
      <c r="F460" t="s">
        <v>785</v>
      </c>
    </row>
    <row r="461" spans="1:6" x14ac:dyDescent="0.25">
      <c r="A461" t="s">
        <v>1521</v>
      </c>
      <c r="B461" t="s">
        <v>786</v>
      </c>
      <c r="C461" t="s">
        <v>660</v>
      </c>
      <c r="D461" t="str">
        <f>HYPERLINK("http://service.sap.com/sap/support/notes/1600782","1600782")</f>
        <v>1600782</v>
      </c>
      <c r="E461">
        <v>4</v>
      </c>
      <c r="F461" t="s">
        <v>787</v>
      </c>
    </row>
    <row r="462" spans="1:6" x14ac:dyDescent="0.25">
      <c r="A462" t="s">
        <v>1521</v>
      </c>
      <c r="B462" t="s">
        <v>788</v>
      </c>
      <c r="C462" t="s">
        <v>789</v>
      </c>
      <c r="D462" t="str">
        <f>HYPERLINK("http://service.sap.com/sap/support/notes/1604884","1604884")</f>
        <v>1604884</v>
      </c>
      <c r="E462">
        <v>1</v>
      </c>
      <c r="F462" t="s">
        <v>790</v>
      </c>
    </row>
    <row r="463" spans="1:6" x14ac:dyDescent="0.25">
      <c r="A463" t="s">
        <v>1521</v>
      </c>
      <c r="B463" t="s">
        <v>791</v>
      </c>
      <c r="C463" t="s">
        <v>792</v>
      </c>
      <c r="D463" t="str">
        <f>HYPERLINK("http://service.sap.com/sap/support/notes/1603106","1603106")</f>
        <v>1603106</v>
      </c>
      <c r="E463">
        <v>1</v>
      </c>
      <c r="F463" t="s">
        <v>793</v>
      </c>
    </row>
    <row r="464" spans="1:6" x14ac:dyDescent="0.25">
      <c r="A464" t="s">
        <v>1521</v>
      </c>
      <c r="B464" t="s">
        <v>794</v>
      </c>
      <c r="C464" t="s">
        <v>795</v>
      </c>
      <c r="D464" t="str">
        <f>HYPERLINK("http://service.sap.com/sap/support/notes/1595409","1595409")</f>
        <v>1595409</v>
      </c>
      <c r="E464">
        <v>2</v>
      </c>
      <c r="F464" t="s">
        <v>796</v>
      </c>
    </row>
    <row r="465" spans="1:6" x14ac:dyDescent="0.25">
      <c r="A465" t="s">
        <v>1521</v>
      </c>
      <c r="B465" t="s">
        <v>794</v>
      </c>
      <c r="C465" t="s">
        <v>795</v>
      </c>
      <c r="D465" t="str">
        <f>HYPERLINK("http://service.sap.com/sap/support/notes/1601868","1601868")</f>
        <v>1601868</v>
      </c>
      <c r="E465">
        <v>2</v>
      </c>
      <c r="F465" t="s">
        <v>797</v>
      </c>
    </row>
    <row r="466" spans="1:6" x14ac:dyDescent="0.25">
      <c r="A466" t="s">
        <v>1521</v>
      </c>
      <c r="B466" t="s">
        <v>26</v>
      </c>
      <c r="C466" t="s">
        <v>798</v>
      </c>
      <c r="D466" t="str">
        <f>HYPERLINK("http://service.sap.com/sap/support/notes/1604557","1604557")</f>
        <v>1604557</v>
      </c>
      <c r="E466">
        <v>5</v>
      </c>
      <c r="F466" t="s">
        <v>799</v>
      </c>
    </row>
    <row r="467" spans="1:6" x14ac:dyDescent="0.25">
      <c r="A467" t="s">
        <v>1521</v>
      </c>
      <c r="B467" t="s">
        <v>26</v>
      </c>
      <c r="C467" t="s">
        <v>798</v>
      </c>
      <c r="D467" t="str">
        <f>HYPERLINK("http://service.sap.com/sap/support/notes/1607933","1607933")</f>
        <v>1607933</v>
      </c>
      <c r="E467">
        <v>1</v>
      </c>
      <c r="F467" t="s">
        <v>800</v>
      </c>
    </row>
    <row r="468" spans="1:6" x14ac:dyDescent="0.25">
      <c r="A468" t="s">
        <v>1521</v>
      </c>
      <c r="B468" t="s">
        <v>26</v>
      </c>
      <c r="C468" t="s">
        <v>798</v>
      </c>
      <c r="D468" t="str">
        <f>HYPERLINK("http://service.sap.com/sap/support/notes/1612635","1612635")</f>
        <v>1612635</v>
      </c>
      <c r="E468">
        <v>2</v>
      </c>
      <c r="F468" t="s">
        <v>801</v>
      </c>
    </row>
    <row r="469" spans="1:6" x14ac:dyDescent="0.25">
      <c r="A469" t="s">
        <v>1521</v>
      </c>
      <c r="B469" t="s">
        <v>26</v>
      </c>
      <c r="C469" t="s">
        <v>798</v>
      </c>
      <c r="D469" t="str">
        <f>HYPERLINK("http://service.sap.com/sap/support/notes/1617517","1617517")</f>
        <v>1617517</v>
      </c>
      <c r="E469">
        <v>3</v>
      </c>
      <c r="F469" t="s">
        <v>802</v>
      </c>
    </row>
    <row r="470" spans="1:6" x14ac:dyDescent="0.25">
      <c r="A470" t="s">
        <v>1521</v>
      </c>
      <c r="B470" t="s">
        <v>26</v>
      </c>
      <c r="C470" t="s">
        <v>798</v>
      </c>
      <c r="D470" t="str">
        <f>HYPERLINK("http://service.sap.com/sap/support/notes/1618702","1618702")</f>
        <v>1618702</v>
      </c>
      <c r="E470">
        <v>2</v>
      </c>
      <c r="F470" t="s">
        <v>803</v>
      </c>
    </row>
    <row r="471" spans="1:6" x14ac:dyDescent="0.25">
      <c r="A471" t="s">
        <v>1521</v>
      </c>
      <c r="B471" t="s">
        <v>804</v>
      </c>
      <c r="C471" t="s">
        <v>805</v>
      </c>
      <c r="D471" t="str">
        <f>HYPERLINK("http://service.sap.com/sap/support/notes/1611278","1611278")</f>
        <v>1611278</v>
      </c>
      <c r="E471">
        <v>3</v>
      </c>
      <c r="F471" t="s">
        <v>806</v>
      </c>
    </row>
    <row r="472" spans="1:6" x14ac:dyDescent="0.25">
      <c r="A472" t="s">
        <v>1521</v>
      </c>
      <c r="B472" t="s">
        <v>807</v>
      </c>
      <c r="C472" t="s">
        <v>808</v>
      </c>
      <c r="D472" t="str">
        <f>HYPERLINK("http://service.sap.com/sap/support/notes/1603531","1603531")</f>
        <v>1603531</v>
      </c>
      <c r="E472">
        <v>4</v>
      </c>
      <c r="F472" t="s">
        <v>809</v>
      </c>
    </row>
    <row r="473" spans="1:6" x14ac:dyDescent="0.25">
      <c r="A473" t="s">
        <v>1521</v>
      </c>
      <c r="B473" t="s">
        <v>810</v>
      </c>
      <c r="C473" t="s">
        <v>811</v>
      </c>
      <c r="D473" t="str">
        <f>HYPERLINK("http://service.sap.com/sap/support/notes/1602689","1602689")</f>
        <v>1602689</v>
      </c>
      <c r="E473">
        <v>2</v>
      </c>
      <c r="F473" t="s">
        <v>812</v>
      </c>
    </row>
    <row r="474" spans="1:6" x14ac:dyDescent="0.25">
      <c r="A474" t="s">
        <v>1521</v>
      </c>
      <c r="B474" t="s">
        <v>813</v>
      </c>
      <c r="C474" t="s">
        <v>141</v>
      </c>
    </row>
    <row r="475" spans="1:6" x14ac:dyDescent="0.25">
      <c r="A475" t="s">
        <v>1521</v>
      </c>
      <c r="B475" t="s">
        <v>814</v>
      </c>
      <c r="C475" t="s">
        <v>143</v>
      </c>
    </row>
    <row r="476" spans="1:6" x14ac:dyDescent="0.25">
      <c r="A476" t="s">
        <v>1521</v>
      </c>
      <c r="B476" t="s">
        <v>815</v>
      </c>
      <c r="C476" t="s">
        <v>337</v>
      </c>
    </row>
    <row r="477" spans="1:6" x14ac:dyDescent="0.25">
      <c r="A477" t="s">
        <v>1521</v>
      </c>
      <c r="B477" t="s">
        <v>816</v>
      </c>
      <c r="C477" t="s">
        <v>817</v>
      </c>
      <c r="D477" t="str">
        <f>HYPERLINK("http://service.sap.com/sap/support/notes/1590390","1590390")</f>
        <v>1590390</v>
      </c>
      <c r="E477">
        <v>2</v>
      </c>
      <c r="F477" t="s">
        <v>818</v>
      </c>
    </row>
    <row r="478" spans="1:6" x14ac:dyDescent="0.25">
      <c r="A478" t="s">
        <v>1521</v>
      </c>
      <c r="B478" t="s">
        <v>819</v>
      </c>
      <c r="C478" t="s">
        <v>820</v>
      </c>
      <c r="D478" t="str">
        <f>HYPERLINK("http://service.sap.com/sap/support/notes/1609130","1609130")</f>
        <v>1609130</v>
      </c>
      <c r="E478">
        <v>1</v>
      </c>
      <c r="F478" t="s">
        <v>821</v>
      </c>
    </row>
    <row r="479" spans="1:6" x14ac:dyDescent="0.25">
      <c r="A479" t="s">
        <v>1521</v>
      </c>
      <c r="B479" t="s">
        <v>822</v>
      </c>
      <c r="C479" t="s">
        <v>823</v>
      </c>
      <c r="D479" t="str">
        <f>HYPERLINK("http://service.sap.com/sap/support/notes/1604977","1604977")</f>
        <v>1604977</v>
      </c>
      <c r="E479">
        <v>2</v>
      </c>
      <c r="F479" t="s">
        <v>824</v>
      </c>
    </row>
    <row r="480" spans="1:6" x14ac:dyDescent="0.25">
      <c r="A480" t="s">
        <v>1521</v>
      </c>
      <c r="B480" t="s">
        <v>822</v>
      </c>
      <c r="C480" t="s">
        <v>823</v>
      </c>
      <c r="D480" t="str">
        <f>HYPERLINK("http://service.sap.com/sap/support/notes/1611855","1611855")</f>
        <v>1611855</v>
      </c>
      <c r="E480">
        <v>2</v>
      </c>
      <c r="F480" t="s">
        <v>825</v>
      </c>
    </row>
    <row r="481" spans="1:6" x14ac:dyDescent="0.25">
      <c r="A481" t="s">
        <v>1521</v>
      </c>
      <c r="B481" t="s">
        <v>822</v>
      </c>
      <c r="C481" t="s">
        <v>823</v>
      </c>
      <c r="D481" t="str">
        <f>HYPERLINK("http://service.sap.com/sap/support/notes/1616998","1616998")</f>
        <v>1616998</v>
      </c>
      <c r="E481">
        <v>2</v>
      </c>
      <c r="F481" t="s">
        <v>826</v>
      </c>
    </row>
    <row r="482" spans="1:6" x14ac:dyDescent="0.25">
      <c r="A482" t="s">
        <v>1521</v>
      </c>
      <c r="B482" t="s">
        <v>822</v>
      </c>
      <c r="C482" t="s">
        <v>823</v>
      </c>
      <c r="D482" t="str">
        <f>HYPERLINK("http://service.sap.com/sap/support/notes/1617736","1617736")</f>
        <v>1617736</v>
      </c>
      <c r="E482">
        <v>2</v>
      </c>
      <c r="F482" t="s">
        <v>827</v>
      </c>
    </row>
    <row r="483" spans="1:6" x14ac:dyDescent="0.25">
      <c r="A483" t="s">
        <v>1521</v>
      </c>
      <c r="B483" t="s">
        <v>822</v>
      </c>
      <c r="C483" t="s">
        <v>823</v>
      </c>
      <c r="D483" t="str">
        <f>HYPERLINK("http://service.sap.com/sap/support/notes/1617739","1617739")</f>
        <v>1617739</v>
      </c>
      <c r="E483">
        <v>3</v>
      </c>
      <c r="F483" t="s">
        <v>828</v>
      </c>
    </row>
    <row r="484" spans="1:6" x14ac:dyDescent="0.25">
      <c r="A484" t="s">
        <v>1521</v>
      </c>
      <c r="B484" t="s">
        <v>829</v>
      </c>
      <c r="C484" t="s">
        <v>830</v>
      </c>
      <c r="D484" t="str">
        <f>HYPERLINK("http://service.sap.com/sap/support/notes/1604837","1604837")</f>
        <v>1604837</v>
      </c>
      <c r="E484">
        <v>2</v>
      </c>
      <c r="F484" t="s">
        <v>831</v>
      </c>
    </row>
    <row r="485" spans="1:6" x14ac:dyDescent="0.25">
      <c r="A485" t="s">
        <v>1521</v>
      </c>
      <c r="B485" t="s">
        <v>832</v>
      </c>
      <c r="C485" t="s">
        <v>833</v>
      </c>
      <c r="D485" t="str">
        <f>HYPERLINK("http://service.sap.com/sap/support/notes/1604106","1604106")</f>
        <v>1604106</v>
      </c>
      <c r="E485">
        <v>1</v>
      </c>
      <c r="F485" t="s">
        <v>834</v>
      </c>
    </row>
    <row r="486" spans="1:6" x14ac:dyDescent="0.25">
      <c r="A486" t="s">
        <v>1521</v>
      </c>
      <c r="B486" t="s">
        <v>835</v>
      </c>
      <c r="C486" t="s">
        <v>836</v>
      </c>
    </row>
    <row r="487" spans="1:6" x14ac:dyDescent="0.25">
      <c r="A487" t="s">
        <v>1521</v>
      </c>
      <c r="B487" t="s">
        <v>837</v>
      </c>
      <c r="C487" t="s">
        <v>838</v>
      </c>
      <c r="D487" t="str">
        <f>HYPERLINK("http://service.sap.com/sap/support/notes/1607379","1607379")</f>
        <v>1607379</v>
      </c>
      <c r="E487">
        <v>2</v>
      </c>
      <c r="F487" t="s">
        <v>839</v>
      </c>
    </row>
    <row r="488" spans="1:6" x14ac:dyDescent="0.25">
      <c r="A488" t="s">
        <v>1521</v>
      </c>
      <c r="B488" t="s">
        <v>840</v>
      </c>
      <c r="C488" t="s">
        <v>602</v>
      </c>
      <c r="D488" t="str">
        <f>HYPERLINK("http://service.sap.com/sap/support/notes/1604096","1604096")</f>
        <v>1604096</v>
      </c>
      <c r="E488">
        <v>1</v>
      </c>
      <c r="F488" t="s">
        <v>841</v>
      </c>
    </row>
    <row r="489" spans="1:6" x14ac:dyDescent="0.25">
      <c r="A489" t="s">
        <v>1521</v>
      </c>
      <c r="B489" t="s">
        <v>842</v>
      </c>
      <c r="C489" t="s">
        <v>843</v>
      </c>
      <c r="D489" t="str">
        <f>HYPERLINK("http://service.sap.com/sap/support/notes/1605541","1605541")</f>
        <v>1605541</v>
      </c>
      <c r="E489">
        <v>1</v>
      </c>
      <c r="F489" t="s">
        <v>844</v>
      </c>
    </row>
    <row r="490" spans="1:6" x14ac:dyDescent="0.25">
      <c r="A490" t="s">
        <v>1521</v>
      </c>
      <c r="B490" t="s">
        <v>842</v>
      </c>
      <c r="C490" t="s">
        <v>843</v>
      </c>
      <c r="D490" t="str">
        <f>HYPERLINK("http://service.sap.com/sap/support/notes/1611424","1611424")</f>
        <v>1611424</v>
      </c>
      <c r="E490">
        <v>1</v>
      </c>
      <c r="F490" t="s">
        <v>845</v>
      </c>
    </row>
    <row r="491" spans="1:6" x14ac:dyDescent="0.25">
      <c r="A491" t="s">
        <v>1521</v>
      </c>
      <c r="B491" t="s">
        <v>846</v>
      </c>
      <c r="C491" t="s">
        <v>847</v>
      </c>
      <c r="D491" t="str">
        <f>HYPERLINK("http://service.sap.com/sap/support/notes/1598283","1598283")</f>
        <v>1598283</v>
      </c>
      <c r="E491">
        <v>1</v>
      </c>
      <c r="F491" t="s">
        <v>848</v>
      </c>
    </row>
    <row r="492" spans="1:6" x14ac:dyDescent="0.25">
      <c r="A492" t="s">
        <v>1521</v>
      </c>
      <c r="B492" t="s">
        <v>849</v>
      </c>
      <c r="C492" t="s">
        <v>850</v>
      </c>
    </row>
    <row r="493" spans="1:6" x14ac:dyDescent="0.25">
      <c r="A493" t="s">
        <v>1521</v>
      </c>
      <c r="B493" t="s">
        <v>851</v>
      </c>
      <c r="C493" t="s">
        <v>852</v>
      </c>
      <c r="D493" t="str">
        <f>HYPERLINK("http://service.sap.com/sap/support/notes/1610260","1610260")</f>
        <v>1610260</v>
      </c>
      <c r="E493">
        <v>2</v>
      </c>
      <c r="F493" t="s">
        <v>853</v>
      </c>
    </row>
    <row r="494" spans="1:6" x14ac:dyDescent="0.25">
      <c r="A494" t="s">
        <v>1521</v>
      </c>
      <c r="B494" t="s">
        <v>854</v>
      </c>
      <c r="C494" t="s">
        <v>855</v>
      </c>
      <c r="D494" t="str">
        <f>HYPERLINK("http://service.sap.com/sap/support/notes/1422844","1422844")</f>
        <v>1422844</v>
      </c>
      <c r="E494">
        <v>1</v>
      </c>
      <c r="F494" t="s">
        <v>856</v>
      </c>
    </row>
    <row r="495" spans="1:6" x14ac:dyDescent="0.25">
      <c r="A495" t="s">
        <v>1521</v>
      </c>
      <c r="B495" t="s">
        <v>854</v>
      </c>
      <c r="C495" t="s">
        <v>855</v>
      </c>
      <c r="D495" t="str">
        <f>HYPERLINK("http://service.sap.com/sap/support/notes/1544018","1544018")</f>
        <v>1544018</v>
      </c>
      <c r="E495">
        <v>4</v>
      </c>
      <c r="F495" t="s">
        <v>857</v>
      </c>
    </row>
    <row r="496" spans="1:6" x14ac:dyDescent="0.25">
      <c r="A496" t="s">
        <v>1521</v>
      </c>
      <c r="B496" t="s">
        <v>858</v>
      </c>
      <c r="C496" t="s">
        <v>859</v>
      </c>
    </row>
    <row r="497" spans="1:6" x14ac:dyDescent="0.25">
      <c r="A497" t="s">
        <v>1521</v>
      </c>
      <c r="B497" t="s">
        <v>860</v>
      </c>
      <c r="C497" t="s">
        <v>861</v>
      </c>
      <c r="D497" t="str">
        <f>HYPERLINK("http://service.sap.com/sap/support/notes/1503947","1503947")</f>
        <v>1503947</v>
      </c>
      <c r="E497">
        <v>2</v>
      </c>
      <c r="F497" t="s">
        <v>862</v>
      </c>
    </row>
    <row r="498" spans="1:6" x14ac:dyDescent="0.25">
      <c r="A498" t="s">
        <v>1521</v>
      </c>
      <c r="B498" t="s">
        <v>860</v>
      </c>
      <c r="C498" t="s">
        <v>861</v>
      </c>
      <c r="D498" t="str">
        <f>HYPERLINK("http://service.sap.com/sap/support/notes/1606368","1606368")</f>
        <v>1606368</v>
      </c>
      <c r="E498">
        <v>1</v>
      </c>
      <c r="F498" t="s">
        <v>863</v>
      </c>
    </row>
    <row r="499" spans="1:6" x14ac:dyDescent="0.25">
      <c r="A499" t="s">
        <v>1521</v>
      </c>
      <c r="B499" t="s">
        <v>864</v>
      </c>
      <c r="C499" t="s">
        <v>337</v>
      </c>
    </row>
    <row r="500" spans="1:6" x14ac:dyDescent="0.25">
      <c r="A500" t="s">
        <v>1521</v>
      </c>
      <c r="B500" t="s">
        <v>865</v>
      </c>
      <c r="C500" t="s">
        <v>866</v>
      </c>
      <c r="D500" t="str">
        <f>HYPERLINK("http://service.sap.com/sap/support/notes/1598879","1598879")</f>
        <v>1598879</v>
      </c>
      <c r="E500">
        <v>2</v>
      </c>
      <c r="F500" t="s">
        <v>867</v>
      </c>
    </row>
    <row r="501" spans="1:6" x14ac:dyDescent="0.25">
      <c r="A501" t="s">
        <v>1521</v>
      </c>
      <c r="B501" t="s">
        <v>868</v>
      </c>
      <c r="C501" t="s">
        <v>869</v>
      </c>
      <c r="D501" t="str">
        <f>HYPERLINK("http://service.sap.com/sap/support/notes/1602716","1602716")</f>
        <v>1602716</v>
      </c>
      <c r="E501">
        <v>4</v>
      </c>
      <c r="F501" t="s">
        <v>870</v>
      </c>
    </row>
    <row r="502" spans="1:6" x14ac:dyDescent="0.25">
      <c r="A502" t="s">
        <v>1521</v>
      </c>
      <c r="B502" t="s">
        <v>868</v>
      </c>
      <c r="C502" t="s">
        <v>869</v>
      </c>
      <c r="D502" t="str">
        <f>HYPERLINK("http://service.sap.com/sap/support/notes/1606284","1606284")</f>
        <v>1606284</v>
      </c>
      <c r="E502">
        <v>1</v>
      </c>
      <c r="F502" t="s">
        <v>871</v>
      </c>
    </row>
    <row r="503" spans="1:6" x14ac:dyDescent="0.25">
      <c r="A503" t="s">
        <v>1521</v>
      </c>
      <c r="B503" t="s">
        <v>872</v>
      </c>
      <c r="C503" t="s">
        <v>873</v>
      </c>
      <c r="D503" t="str">
        <f>HYPERLINK("http://service.sap.com/sap/support/notes/1090086","1090086")</f>
        <v>1090086</v>
      </c>
      <c r="E503">
        <v>1</v>
      </c>
      <c r="F503" t="s">
        <v>874</v>
      </c>
    </row>
    <row r="504" spans="1:6" x14ac:dyDescent="0.25">
      <c r="A504" t="s">
        <v>1521</v>
      </c>
      <c r="B504" t="s">
        <v>875</v>
      </c>
      <c r="C504" t="s">
        <v>876</v>
      </c>
      <c r="D504" t="str">
        <f>HYPERLINK("http://service.sap.com/sap/support/notes/1597782","1597782")</f>
        <v>1597782</v>
      </c>
      <c r="E504">
        <v>2</v>
      </c>
      <c r="F504" t="s">
        <v>877</v>
      </c>
    </row>
    <row r="505" spans="1:6" x14ac:dyDescent="0.25">
      <c r="A505" t="s">
        <v>1521</v>
      </c>
      <c r="B505" t="s">
        <v>875</v>
      </c>
      <c r="C505" t="s">
        <v>876</v>
      </c>
      <c r="D505" t="str">
        <f>HYPERLINK("http://service.sap.com/sap/support/notes/1610930","1610930")</f>
        <v>1610930</v>
      </c>
      <c r="E505">
        <v>1</v>
      </c>
      <c r="F505" t="s">
        <v>878</v>
      </c>
    </row>
    <row r="506" spans="1:6" x14ac:dyDescent="0.25">
      <c r="A506" t="s">
        <v>1521</v>
      </c>
      <c r="B506" t="s">
        <v>879</v>
      </c>
      <c r="C506" t="s">
        <v>880</v>
      </c>
      <c r="D506" t="str">
        <f>HYPERLINK("http://service.sap.com/sap/support/notes/1604399","1604399")</f>
        <v>1604399</v>
      </c>
      <c r="E506">
        <v>3</v>
      </c>
      <c r="F506" t="s">
        <v>881</v>
      </c>
    </row>
    <row r="507" spans="1:6" x14ac:dyDescent="0.25">
      <c r="A507" t="s">
        <v>1521</v>
      </c>
      <c r="B507" t="s">
        <v>879</v>
      </c>
      <c r="C507" t="s">
        <v>880</v>
      </c>
      <c r="D507" t="str">
        <f>HYPERLINK("http://service.sap.com/sap/support/notes/1605391","1605391")</f>
        <v>1605391</v>
      </c>
      <c r="E507">
        <v>1</v>
      </c>
      <c r="F507" t="s">
        <v>882</v>
      </c>
    </row>
    <row r="508" spans="1:6" x14ac:dyDescent="0.25">
      <c r="A508" t="s">
        <v>1521</v>
      </c>
      <c r="B508" t="s">
        <v>879</v>
      </c>
      <c r="C508" t="s">
        <v>880</v>
      </c>
      <c r="D508" t="str">
        <f>HYPERLINK("http://service.sap.com/sap/support/notes/1605479","1605479")</f>
        <v>1605479</v>
      </c>
      <c r="E508">
        <v>1</v>
      </c>
      <c r="F508" t="s">
        <v>883</v>
      </c>
    </row>
    <row r="509" spans="1:6" x14ac:dyDescent="0.25">
      <c r="A509" t="s">
        <v>1521</v>
      </c>
      <c r="B509" t="s">
        <v>879</v>
      </c>
      <c r="C509" t="s">
        <v>880</v>
      </c>
      <c r="D509" t="str">
        <f>HYPERLINK("http://service.sap.com/sap/support/notes/1608292","1608292")</f>
        <v>1608292</v>
      </c>
      <c r="E509">
        <v>1</v>
      </c>
      <c r="F509" t="s">
        <v>884</v>
      </c>
    </row>
    <row r="510" spans="1:6" x14ac:dyDescent="0.25">
      <c r="A510" t="s">
        <v>1521</v>
      </c>
      <c r="B510" t="s">
        <v>879</v>
      </c>
      <c r="C510" t="s">
        <v>880</v>
      </c>
      <c r="D510" t="str">
        <f>HYPERLINK("http://service.sap.com/sap/support/notes/1609622","1609622")</f>
        <v>1609622</v>
      </c>
      <c r="E510">
        <v>1</v>
      </c>
      <c r="F510" t="s">
        <v>885</v>
      </c>
    </row>
    <row r="511" spans="1:6" x14ac:dyDescent="0.25">
      <c r="A511" t="s">
        <v>1521</v>
      </c>
      <c r="B511" t="s">
        <v>886</v>
      </c>
      <c r="C511" t="s">
        <v>887</v>
      </c>
      <c r="D511" t="str">
        <f>HYPERLINK("http://service.sap.com/sap/support/notes/1606820","1606820")</f>
        <v>1606820</v>
      </c>
      <c r="E511">
        <v>1</v>
      </c>
      <c r="F511" t="s">
        <v>888</v>
      </c>
    </row>
    <row r="512" spans="1:6" x14ac:dyDescent="0.25">
      <c r="A512" t="s">
        <v>1521</v>
      </c>
      <c r="B512" t="s">
        <v>886</v>
      </c>
      <c r="C512" t="s">
        <v>887</v>
      </c>
      <c r="D512" t="str">
        <f>HYPERLINK("http://service.sap.com/sap/support/notes/1608815","1608815")</f>
        <v>1608815</v>
      </c>
      <c r="E512">
        <v>4</v>
      </c>
      <c r="F512" t="s">
        <v>889</v>
      </c>
    </row>
    <row r="513" spans="1:6" x14ac:dyDescent="0.25">
      <c r="A513" t="s">
        <v>1521</v>
      </c>
      <c r="B513" t="s">
        <v>886</v>
      </c>
      <c r="C513" t="s">
        <v>887</v>
      </c>
      <c r="D513" t="str">
        <f>HYPERLINK("http://service.sap.com/sap/support/notes/1613164","1613164")</f>
        <v>1613164</v>
      </c>
      <c r="E513">
        <v>2</v>
      </c>
      <c r="F513" t="s">
        <v>890</v>
      </c>
    </row>
    <row r="514" spans="1:6" x14ac:dyDescent="0.25">
      <c r="A514" t="s">
        <v>1521</v>
      </c>
      <c r="B514" t="s">
        <v>891</v>
      </c>
      <c r="C514" t="s">
        <v>651</v>
      </c>
    </row>
    <row r="515" spans="1:6" x14ac:dyDescent="0.25">
      <c r="A515" t="s">
        <v>1521</v>
      </c>
      <c r="B515" t="s">
        <v>892</v>
      </c>
      <c r="C515" t="s">
        <v>337</v>
      </c>
    </row>
    <row r="516" spans="1:6" x14ac:dyDescent="0.25">
      <c r="A516" t="s">
        <v>1521</v>
      </c>
      <c r="B516" t="s">
        <v>893</v>
      </c>
      <c r="C516" t="s">
        <v>894</v>
      </c>
      <c r="D516" t="str">
        <f>HYPERLINK("http://service.sap.com/sap/support/notes/1605930","1605930")</f>
        <v>1605930</v>
      </c>
      <c r="E516">
        <v>5</v>
      </c>
      <c r="F516" t="s">
        <v>895</v>
      </c>
    </row>
    <row r="517" spans="1:6" x14ac:dyDescent="0.25">
      <c r="A517" t="s">
        <v>1521</v>
      </c>
      <c r="B517" t="s">
        <v>896</v>
      </c>
      <c r="C517" t="s">
        <v>897</v>
      </c>
      <c r="D517" t="str">
        <f>HYPERLINK("http://service.sap.com/sap/support/notes/1595029","1595029")</f>
        <v>1595029</v>
      </c>
      <c r="E517">
        <v>4</v>
      </c>
      <c r="F517" t="s">
        <v>898</v>
      </c>
    </row>
    <row r="518" spans="1:6" x14ac:dyDescent="0.25">
      <c r="A518" t="s">
        <v>1521</v>
      </c>
      <c r="B518" t="s">
        <v>899</v>
      </c>
      <c r="C518" t="s">
        <v>900</v>
      </c>
      <c r="D518" t="str">
        <f>HYPERLINK("http://service.sap.com/sap/support/notes/1607283","1607283")</f>
        <v>1607283</v>
      </c>
      <c r="E518">
        <v>2</v>
      </c>
      <c r="F518" t="s">
        <v>901</v>
      </c>
    </row>
    <row r="519" spans="1:6" x14ac:dyDescent="0.25">
      <c r="A519" t="s">
        <v>1521</v>
      </c>
      <c r="B519" t="s">
        <v>902</v>
      </c>
      <c r="C519" t="s">
        <v>903</v>
      </c>
      <c r="D519" t="str">
        <f>HYPERLINK("http://service.sap.com/sap/support/notes/1548156","1548156")</f>
        <v>1548156</v>
      </c>
      <c r="E519">
        <v>4</v>
      </c>
      <c r="F519" t="s">
        <v>904</v>
      </c>
    </row>
    <row r="520" spans="1:6" x14ac:dyDescent="0.25">
      <c r="A520" t="s">
        <v>1521</v>
      </c>
      <c r="B520" t="s">
        <v>902</v>
      </c>
      <c r="C520" t="s">
        <v>903</v>
      </c>
      <c r="D520" t="str">
        <f>HYPERLINK("http://service.sap.com/sap/support/notes/1551880","1551880")</f>
        <v>1551880</v>
      </c>
      <c r="E520">
        <v>2</v>
      </c>
      <c r="F520" t="s">
        <v>905</v>
      </c>
    </row>
    <row r="521" spans="1:6" x14ac:dyDescent="0.25">
      <c r="A521" t="s">
        <v>1521</v>
      </c>
      <c r="B521" t="s">
        <v>906</v>
      </c>
      <c r="C521" t="s">
        <v>907</v>
      </c>
      <c r="D521" t="str">
        <f>HYPERLINK("http://service.sap.com/sap/support/notes/1611564","1611564")</f>
        <v>1611564</v>
      </c>
      <c r="E521">
        <v>3</v>
      </c>
      <c r="F521" t="s">
        <v>908</v>
      </c>
    </row>
    <row r="522" spans="1:6" x14ac:dyDescent="0.25">
      <c r="A522" t="s">
        <v>1521</v>
      </c>
      <c r="B522" t="s">
        <v>909</v>
      </c>
      <c r="C522" t="s">
        <v>869</v>
      </c>
      <c r="D522" t="str">
        <f>HYPERLINK("http://service.sap.com/sap/support/notes/1437898","1437898")</f>
        <v>1437898</v>
      </c>
      <c r="E522">
        <v>4</v>
      </c>
      <c r="F522" t="s">
        <v>910</v>
      </c>
    </row>
    <row r="523" spans="1:6" x14ac:dyDescent="0.25">
      <c r="A523" t="s">
        <v>1521</v>
      </c>
      <c r="B523" t="s">
        <v>909</v>
      </c>
      <c r="C523" t="s">
        <v>869</v>
      </c>
      <c r="D523" t="str">
        <f>HYPERLINK("http://service.sap.com/sap/support/notes/1522186","1522186")</f>
        <v>1522186</v>
      </c>
      <c r="E523">
        <v>25</v>
      </c>
      <c r="F523" t="s">
        <v>911</v>
      </c>
    </row>
    <row r="524" spans="1:6" x14ac:dyDescent="0.25">
      <c r="A524" t="s">
        <v>1521</v>
      </c>
      <c r="B524" t="s">
        <v>909</v>
      </c>
      <c r="C524" t="s">
        <v>869</v>
      </c>
      <c r="D524" t="str">
        <f>HYPERLINK("http://service.sap.com/sap/support/notes/1598022","1598022")</f>
        <v>1598022</v>
      </c>
      <c r="E524">
        <v>3</v>
      </c>
      <c r="F524" t="s">
        <v>912</v>
      </c>
    </row>
    <row r="525" spans="1:6" x14ac:dyDescent="0.25">
      <c r="A525" t="s">
        <v>1521</v>
      </c>
      <c r="B525" t="s">
        <v>909</v>
      </c>
      <c r="C525" t="s">
        <v>869</v>
      </c>
      <c r="D525" t="str">
        <f>HYPERLINK("http://service.sap.com/sap/support/notes/1601634","1601634")</f>
        <v>1601634</v>
      </c>
      <c r="E525">
        <v>2</v>
      </c>
      <c r="F525" t="s">
        <v>913</v>
      </c>
    </row>
    <row r="526" spans="1:6" x14ac:dyDescent="0.25">
      <c r="A526" t="s">
        <v>1521</v>
      </c>
      <c r="B526" t="s">
        <v>909</v>
      </c>
      <c r="C526" t="s">
        <v>869</v>
      </c>
      <c r="D526" t="str">
        <f>HYPERLINK("http://service.sap.com/sap/support/notes/1602240","1602240")</f>
        <v>1602240</v>
      </c>
      <c r="E526">
        <v>5</v>
      </c>
      <c r="F526" t="s">
        <v>914</v>
      </c>
    </row>
    <row r="527" spans="1:6" x14ac:dyDescent="0.25">
      <c r="A527" t="s">
        <v>1521</v>
      </c>
      <c r="B527" t="s">
        <v>909</v>
      </c>
      <c r="C527" t="s">
        <v>869</v>
      </c>
      <c r="D527" t="str">
        <f>HYPERLINK("http://service.sap.com/sap/support/notes/1604359","1604359")</f>
        <v>1604359</v>
      </c>
      <c r="E527">
        <v>1</v>
      </c>
      <c r="F527" t="s">
        <v>915</v>
      </c>
    </row>
    <row r="528" spans="1:6" x14ac:dyDescent="0.25">
      <c r="A528" t="s">
        <v>1521</v>
      </c>
      <c r="B528" t="s">
        <v>909</v>
      </c>
      <c r="C528" t="s">
        <v>869</v>
      </c>
      <c r="D528" t="str">
        <f>HYPERLINK("http://service.sap.com/sap/support/notes/1606148","1606148")</f>
        <v>1606148</v>
      </c>
      <c r="E528">
        <v>4</v>
      </c>
      <c r="F528" t="s">
        <v>916</v>
      </c>
    </row>
    <row r="529" spans="1:6" x14ac:dyDescent="0.25">
      <c r="A529" t="s">
        <v>1521</v>
      </c>
      <c r="B529" t="s">
        <v>909</v>
      </c>
      <c r="C529" t="s">
        <v>869</v>
      </c>
      <c r="D529" t="str">
        <f>HYPERLINK("http://service.sap.com/sap/support/notes/1607726","1607726")</f>
        <v>1607726</v>
      </c>
      <c r="E529">
        <v>4</v>
      </c>
      <c r="F529" t="s">
        <v>917</v>
      </c>
    </row>
    <row r="530" spans="1:6" x14ac:dyDescent="0.25">
      <c r="A530" t="s">
        <v>1521</v>
      </c>
      <c r="B530" t="s">
        <v>909</v>
      </c>
      <c r="C530" t="s">
        <v>869</v>
      </c>
      <c r="D530" t="str">
        <f>HYPERLINK("http://service.sap.com/sap/support/notes/1608236","1608236")</f>
        <v>1608236</v>
      </c>
      <c r="E530">
        <v>2</v>
      </c>
      <c r="F530" t="s">
        <v>918</v>
      </c>
    </row>
    <row r="531" spans="1:6" x14ac:dyDescent="0.25">
      <c r="A531" t="s">
        <v>1521</v>
      </c>
      <c r="B531" t="s">
        <v>909</v>
      </c>
      <c r="C531" t="s">
        <v>869</v>
      </c>
      <c r="D531" t="str">
        <f>HYPERLINK("http://service.sap.com/sap/support/notes/1612176","1612176")</f>
        <v>1612176</v>
      </c>
      <c r="E531">
        <v>1</v>
      </c>
      <c r="F531" t="s">
        <v>919</v>
      </c>
    </row>
    <row r="532" spans="1:6" x14ac:dyDescent="0.25">
      <c r="A532" t="s">
        <v>1521</v>
      </c>
      <c r="B532" t="s">
        <v>920</v>
      </c>
      <c r="C532" t="s">
        <v>921</v>
      </c>
      <c r="D532" t="str">
        <f>HYPERLINK("http://service.sap.com/sap/support/notes/1586190","1586190")</f>
        <v>1586190</v>
      </c>
      <c r="E532">
        <v>2</v>
      </c>
      <c r="F532" t="s">
        <v>922</v>
      </c>
    </row>
    <row r="533" spans="1:6" x14ac:dyDescent="0.25">
      <c r="A533" t="s">
        <v>1521</v>
      </c>
      <c r="B533" t="s">
        <v>923</v>
      </c>
      <c r="C533" t="s">
        <v>924</v>
      </c>
      <c r="D533" t="str">
        <f>HYPERLINK("http://service.sap.com/sap/support/notes/1605638","1605638")</f>
        <v>1605638</v>
      </c>
      <c r="E533">
        <v>3</v>
      </c>
      <c r="F533" t="s">
        <v>925</v>
      </c>
    </row>
    <row r="534" spans="1:6" x14ac:dyDescent="0.25">
      <c r="A534" t="s">
        <v>1521</v>
      </c>
      <c r="B534" t="s">
        <v>926</v>
      </c>
      <c r="C534" t="s">
        <v>927</v>
      </c>
      <c r="D534" t="str">
        <f>HYPERLINK("http://service.sap.com/sap/support/notes/1580513","1580513")</f>
        <v>1580513</v>
      </c>
      <c r="E534">
        <v>3</v>
      </c>
      <c r="F534" t="s">
        <v>928</v>
      </c>
    </row>
    <row r="535" spans="1:6" x14ac:dyDescent="0.25">
      <c r="A535" t="s">
        <v>1521</v>
      </c>
      <c r="B535" t="s">
        <v>926</v>
      </c>
      <c r="C535" t="s">
        <v>927</v>
      </c>
      <c r="D535" t="str">
        <f>HYPERLINK("http://service.sap.com/sap/support/notes/1601804","1601804")</f>
        <v>1601804</v>
      </c>
      <c r="E535">
        <v>4</v>
      </c>
      <c r="F535" t="s">
        <v>929</v>
      </c>
    </row>
    <row r="536" spans="1:6" x14ac:dyDescent="0.25">
      <c r="A536" t="s">
        <v>1521</v>
      </c>
      <c r="B536" t="s">
        <v>930</v>
      </c>
      <c r="C536" t="s">
        <v>931</v>
      </c>
      <c r="D536" t="str">
        <f>HYPERLINK("http://service.sap.com/sap/support/notes/1484072","1484072")</f>
        <v>1484072</v>
      </c>
      <c r="E536">
        <v>3</v>
      </c>
      <c r="F536" t="s">
        <v>932</v>
      </c>
    </row>
    <row r="537" spans="1:6" x14ac:dyDescent="0.25">
      <c r="A537" t="s">
        <v>1521</v>
      </c>
      <c r="B537" t="s">
        <v>933</v>
      </c>
      <c r="C537" t="s">
        <v>934</v>
      </c>
    </row>
    <row r="538" spans="1:6" x14ac:dyDescent="0.25">
      <c r="A538" t="s">
        <v>1521</v>
      </c>
      <c r="B538" t="s">
        <v>935</v>
      </c>
      <c r="C538" t="s">
        <v>936</v>
      </c>
      <c r="D538" t="str">
        <f>HYPERLINK("http://service.sap.com/sap/support/notes/1562075","1562075")</f>
        <v>1562075</v>
      </c>
      <c r="E538">
        <v>7</v>
      </c>
      <c r="F538" t="s">
        <v>937</v>
      </c>
    </row>
    <row r="539" spans="1:6" x14ac:dyDescent="0.25">
      <c r="A539" t="s">
        <v>1521</v>
      </c>
      <c r="B539" t="s">
        <v>938</v>
      </c>
      <c r="C539" t="s">
        <v>939</v>
      </c>
      <c r="D539" t="str">
        <f>HYPERLINK("http://service.sap.com/sap/support/notes/1607778","1607778")</f>
        <v>1607778</v>
      </c>
      <c r="E539">
        <v>1</v>
      </c>
      <c r="F539" t="s">
        <v>940</v>
      </c>
    </row>
    <row r="540" spans="1:6" x14ac:dyDescent="0.25">
      <c r="A540" t="s">
        <v>1521</v>
      </c>
      <c r="B540" t="s">
        <v>938</v>
      </c>
      <c r="C540" t="s">
        <v>939</v>
      </c>
      <c r="D540" t="str">
        <f>HYPERLINK("http://service.sap.com/sap/support/notes/1613523","1613523")</f>
        <v>1613523</v>
      </c>
      <c r="E540">
        <v>2</v>
      </c>
      <c r="F540" t="s">
        <v>941</v>
      </c>
    </row>
    <row r="541" spans="1:6" x14ac:dyDescent="0.25">
      <c r="A541" t="s">
        <v>1521</v>
      </c>
      <c r="B541" t="s">
        <v>942</v>
      </c>
      <c r="C541" t="s">
        <v>943</v>
      </c>
      <c r="D541" t="str">
        <f>HYPERLINK("http://service.sap.com/sap/support/notes/1598811","1598811")</f>
        <v>1598811</v>
      </c>
      <c r="E541">
        <v>1</v>
      </c>
      <c r="F541" t="s">
        <v>944</v>
      </c>
    </row>
    <row r="542" spans="1:6" x14ac:dyDescent="0.25">
      <c r="A542" t="s">
        <v>1521</v>
      </c>
      <c r="B542" t="s">
        <v>942</v>
      </c>
      <c r="C542" t="s">
        <v>943</v>
      </c>
      <c r="D542" t="str">
        <f>HYPERLINK("http://service.sap.com/sap/support/notes/1606901","1606901")</f>
        <v>1606901</v>
      </c>
      <c r="E542">
        <v>2</v>
      </c>
      <c r="F542" t="s">
        <v>945</v>
      </c>
    </row>
    <row r="543" spans="1:6" x14ac:dyDescent="0.25">
      <c r="A543" t="s">
        <v>1521</v>
      </c>
      <c r="B543" t="s">
        <v>946</v>
      </c>
      <c r="C543" t="s">
        <v>947</v>
      </c>
      <c r="D543" t="str">
        <f>HYPERLINK("http://service.sap.com/sap/support/notes/1566243","1566243")</f>
        <v>1566243</v>
      </c>
      <c r="E543">
        <v>1</v>
      </c>
      <c r="F543" t="s">
        <v>948</v>
      </c>
    </row>
    <row r="544" spans="1:6" x14ac:dyDescent="0.25">
      <c r="A544" t="s">
        <v>1521</v>
      </c>
      <c r="B544" t="s">
        <v>946</v>
      </c>
      <c r="C544" t="s">
        <v>947</v>
      </c>
      <c r="D544" t="str">
        <f>HYPERLINK("http://service.sap.com/sap/support/notes/1610553","1610553")</f>
        <v>1610553</v>
      </c>
      <c r="E544">
        <v>4</v>
      </c>
      <c r="F544" t="s">
        <v>949</v>
      </c>
    </row>
    <row r="545" spans="1:6" x14ac:dyDescent="0.25">
      <c r="A545" t="s">
        <v>1521</v>
      </c>
      <c r="B545" t="s">
        <v>950</v>
      </c>
      <c r="C545" t="s">
        <v>951</v>
      </c>
      <c r="D545" t="str">
        <f>HYPERLINK("http://service.sap.com/sap/support/notes/1601950","1601950")</f>
        <v>1601950</v>
      </c>
      <c r="E545">
        <v>1</v>
      </c>
      <c r="F545" t="s">
        <v>952</v>
      </c>
    </row>
    <row r="546" spans="1:6" x14ac:dyDescent="0.25">
      <c r="A546" t="s">
        <v>1521</v>
      </c>
      <c r="B546" t="s">
        <v>950</v>
      </c>
      <c r="C546" t="s">
        <v>951</v>
      </c>
      <c r="D546" t="str">
        <f>HYPERLINK("http://service.sap.com/sap/support/notes/1607505","1607505")</f>
        <v>1607505</v>
      </c>
      <c r="E546">
        <v>2</v>
      </c>
      <c r="F546" t="s">
        <v>953</v>
      </c>
    </row>
    <row r="547" spans="1:6" x14ac:dyDescent="0.25">
      <c r="A547" t="s">
        <v>1521</v>
      </c>
      <c r="B547" t="s">
        <v>950</v>
      </c>
      <c r="C547" t="s">
        <v>951</v>
      </c>
      <c r="D547" t="str">
        <f>HYPERLINK("http://service.sap.com/sap/support/notes/1608419","1608419")</f>
        <v>1608419</v>
      </c>
      <c r="E547">
        <v>1</v>
      </c>
      <c r="F547" t="s">
        <v>954</v>
      </c>
    </row>
    <row r="548" spans="1:6" x14ac:dyDescent="0.25">
      <c r="A548" t="s">
        <v>1521</v>
      </c>
      <c r="B548" t="s">
        <v>955</v>
      </c>
      <c r="C548" t="s">
        <v>956</v>
      </c>
    </row>
    <row r="549" spans="1:6" x14ac:dyDescent="0.25">
      <c r="A549" t="s">
        <v>1521</v>
      </c>
      <c r="B549" t="s">
        <v>957</v>
      </c>
      <c r="C549" t="s">
        <v>958</v>
      </c>
      <c r="D549" t="str">
        <f>HYPERLINK("http://service.sap.com/sap/support/notes/1608543","1608543")</f>
        <v>1608543</v>
      </c>
      <c r="E549">
        <v>2</v>
      </c>
      <c r="F549" t="s">
        <v>959</v>
      </c>
    </row>
    <row r="550" spans="1:6" x14ac:dyDescent="0.25">
      <c r="A550" t="s">
        <v>1521</v>
      </c>
      <c r="B550" t="s">
        <v>960</v>
      </c>
      <c r="C550" t="s">
        <v>961</v>
      </c>
    </row>
    <row r="551" spans="1:6" x14ac:dyDescent="0.25">
      <c r="A551" t="s">
        <v>1521</v>
      </c>
      <c r="B551" t="s">
        <v>962</v>
      </c>
      <c r="C551" t="s">
        <v>963</v>
      </c>
      <c r="D551" t="str">
        <f>HYPERLINK("http://service.sap.com/sap/support/notes/1246157","1246157")</f>
        <v>1246157</v>
      </c>
      <c r="E551">
        <v>5</v>
      </c>
      <c r="F551" t="s">
        <v>964</v>
      </c>
    </row>
    <row r="552" spans="1:6" x14ac:dyDescent="0.25">
      <c r="A552" t="s">
        <v>1521</v>
      </c>
      <c r="B552" t="s">
        <v>965</v>
      </c>
      <c r="C552" t="s">
        <v>966</v>
      </c>
      <c r="D552" t="str">
        <f>HYPERLINK("http://service.sap.com/sap/support/notes/1606510","1606510")</f>
        <v>1606510</v>
      </c>
      <c r="E552">
        <v>1</v>
      </c>
      <c r="F552" t="s">
        <v>967</v>
      </c>
    </row>
    <row r="553" spans="1:6" x14ac:dyDescent="0.25">
      <c r="A553" t="s">
        <v>1521</v>
      </c>
      <c r="B553" t="s">
        <v>968</v>
      </c>
      <c r="C553" t="s">
        <v>969</v>
      </c>
      <c r="D553" t="str">
        <f>HYPERLINK("http://service.sap.com/sap/support/notes/1459739","1459739")</f>
        <v>1459739</v>
      </c>
      <c r="E553">
        <v>3</v>
      </c>
      <c r="F553" t="s">
        <v>970</v>
      </c>
    </row>
    <row r="554" spans="1:6" x14ac:dyDescent="0.25">
      <c r="A554" t="s">
        <v>1521</v>
      </c>
      <c r="B554" t="s">
        <v>968</v>
      </c>
      <c r="C554" t="s">
        <v>969</v>
      </c>
      <c r="D554" t="str">
        <f>HYPERLINK("http://service.sap.com/sap/support/notes/1604835","1604835")</f>
        <v>1604835</v>
      </c>
      <c r="E554">
        <v>1</v>
      </c>
      <c r="F554" t="s">
        <v>971</v>
      </c>
    </row>
    <row r="555" spans="1:6" x14ac:dyDescent="0.25">
      <c r="A555" t="s">
        <v>1521</v>
      </c>
      <c r="B555" t="s">
        <v>972</v>
      </c>
      <c r="C555" t="s">
        <v>869</v>
      </c>
      <c r="D555" t="str">
        <f>HYPERLINK("http://service.sap.com/sap/support/notes/1532193","1532193")</f>
        <v>1532193</v>
      </c>
      <c r="E555">
        <v>1</v>
      </c>
      <c r="F555" t="s">
        <v>973</v>
      </c>
    </row>
    <row r="556" spans="1:6" x14ac:dyDescent="0.25">
      <c r="A556" t="s">
        <v>1521</v>
      </c>
      <c r="B556" t="s">
        <v>972</v>
      </c>
      <c r="C556" t="s">
        <v>869</v>
      </c>
      <c r="D556" t="str">
        <f>HYPERLINK("http://service.sap.com/sap/support/notes/1600706","1600706")</f>
        <v>1600706</v>
      </c>
      <c r="E556">
        <v>2</v>
      </c>
      <c r="F556" t="s">
        <v>974</v>
      </c>
    </row>
    <row r="557" spans="1:6" x14ac:dyDescent="0.25">
      <c r="A557" t="s">
        <v>1521</v>
      </c>
      <c r="B557" t="s">
        <v>972</v>
      </c>
      <c r="C557" t="s">
        <v>869</v>
      </c>
      <c r="D557" t="str">
        <f>HYPERLINK("http://service.sap.com/sap/support/notes/1614640","1614640")</f>
        <v>1614640</v>
      </c>
      <c r="E557">
        <v>2</v>
      </c>
      <c r="F557" t="s">
        <v>975</v>
      </c>
    </row>
    <row r="558" spans="1:6" x14ac:dyDescent="0.25">
      <c r="A558" t="s">
        <v>1521</v>
      </c>
      <c r="B558" t="s">
        <v>976</v>
      </c>
      <c r="C558" t="s">
        <v>337</v>
      </c>
      <c r="D558" t="str">
        <f>HYPERLINK("http://service.sap.com/sap/support/notes/1604816","1604816")</f>
        <v>1604816</v>
      </c>
      <c r="E558">
        <v>3</v>
      </c>
      <c r="F558" t="s">
        <v>977</v>
      </c>
    </row>
    <row r="559" spans="1:6" x14ac:dyDescent="0.25">
      <c r="A559" t="s">
        <v>1521</v>
      </c>
      <c r="B559" t="s">
        <v>978</v>
      </c>
      <c r="C559" t="s">
        <v>979</v>
      </c>
    </row>
    <row r="560" spans="1:6" x14ac:dyDescent="0.25">
      <c r="A560" t="s">
        <v>1521</v>
      </c>
      <c r="B560" t="s">
        <v>980</v>
      </c>
      <c r="C560" t="s">
        <v>981</v>
      </c>
    </row>
    <row r="561" spans="1:6" x14ac:dyDescent="0.25">
      <c r="A561" t="s">
        <v>1521</v>
      </c>
      <c r="B561" t="s">
        <v>982</v>
      </c>
      <c r="C561" t="s">
        <v>983</v>
      </c>
    </row>
    <row r="562" spans="1:6" x14ac:dyDescent="0.25">
      <c r="A562" t="s">
        <v>1521</v>
      </c>
      <c r="B562" t="s">
        <v>984</v>
      </c>
      <c r="C562" t="s">
        <v>985</v>
      </c>
    </row>
    <row r="563" spans="1:6" x14ac:dyDescent="0.25">
      <c r="A563" t="s">
        <v>1521</v>
      </c>
      <c r="B563" t="s">
        <v>986</v>
      </c>
      <c r="C563" t="s">
        <v>987</v>
      </c>
      <c r="D563" t="str">
        <f>HYPERLINK("http://service.sap.com/sap/support/notes/1611303","1611303")</f>
        <v>1611303</v>
      </c>
      <c r="E563">
        <v>1</v>
      </c>
      <c r="F563" t="s">
        <v>988</v>
      </c>
    </row>
    <row r="564" spans="1:6" x14ac:dyDescent="0.25">
      <c r="A564" t="s">
        <v>1521</v>
      </c>
      <c r="B564" t="s">
        <v>989</v>
      </c>
      <c r="C564" t="s">
        <v>990</v>
      </c>
      <c r="D564" t="str">
        <f>HYPERLINK("http://service.sap.com/sap/support/notes/1610147","1610147")</f>
        <v>1610147</v>
      </c>
      <c r="E564">
        <v>1</v>
      </c>
      <c r="F564" t="s">
        <v>991</v>
      </c>
    </row>
    <row r="565" spans="1:6" x14ac:dyDescent="0.25">
      <c r="A565" t="s">
        <v>1521</v>
      </c>
      <c r="B565" t="s">
        <v>992</v>
      </c>
      <c r="C565" t="s">
        <v>993</v>
      </c>
      <c r="D565" t="str">
        <f>HYPERLINK("http://service.sap.com/sap/support/notes/1606813","1606813")</f>
        <v>1606813</v>
      </c>
      <c r="E565">
        <v>1</v>
      </c>
      <c r="F565" t="s">
        <v>994</v>
      </c>
    </row>
    <row r="566" spans="1:6" x14ac:dyDescent="0.25">
      <c r="A566" t="s">
        <v>1521</v>
      </c>
      <c r="B566" t="s">
        <v>992</v>
      </c>
      <c r="C566" t="s">
        <v>993</v>
      </c>
      <c r="D566" t="str">
        <f>HYPERLINK("http://service.sap.com/sap/support/notes/1608800","1608800")</f>
        <v>1608800</v>
      </c>
      <c r="E566">
        <v>1</v>
      </c>
      <c r="F566" t="s">
        <v>995</v>
      </c>
    </row>
    <row r="567" spans="1:6" x14ac:dyDescent="0.25">
      <c r="A567" t="s">
        <v>1521</v>
      </c>
      <c r="B567" t="s">
        <v>992</v>
      </c>
      <c r="C567" t="s">
        <v>993</v>
      </c>
      <c r="D567" t="str">
        <f>HYPERLINK("http://service.sap.com/sap/support/notes/1609549","1609549")</f>
        <v>1609549</v>
      </c>
      <c r="E567">
        <v>1</v>
      </c>
      <c r="F567" t="s">
        <v>996</v>
      </c>
    </row>
    <row r="568" spans="1:6" x14ac:dyDescent="0.25">
      <c r="A568" t="s">
        <v>1521</v>
      </c>
      <c r="B568" t="s">
        <v>997</v>
      </c>
      <c r="C568" t="s">
        <v>998</v>
      </c>
      <c r="D568" t="str">
        <f>HYPERLINK("http://service.sap.com/sap/support/notes/1615988","1615988")</f>
        <v>1615988</v>
      </c>
      <c r="E568">
        <v>2</v>
      </c>
      <c r="F568" t="s">
        <v>999</v>
      </c>
    </row>
    <row r="569" spans="1:6" x14ac:dyDescent="0.25">
      <c r="A569" t="s">
        <v>1521</v>
      </c>
      <c r="B569" t="s">
        <v>1000</v>
      </c>
      <c r="C569" t="s">
        <v>1001</v>
      </c>
      <c r="D569" t="str">
        <f>HYPERLINK("http://service.sap.com/sap/support/notes/1608828","1608828")</f>
        <v>1608828</v>
      </c>
      <c r="E569">
        <v>1</v>
      </c>
      <c r="F569" t="s">
        <v>1002</v>
      </c>
    </row>
    <row r="570" spans="1:6" x14ac:dyDescent="0.25">
      <c r="A570" t="s">
        <v>1521</v>
      </c>
      <c r="B570" t="s">
        <v>1003</v>
      </c>
      <c r="C570" t="s">
        <v>1004</v>
      </c>
      <c r="D570" t="str">
        <f>HYPERLINK("http://service.sap.com/sap/support/notes/1605393","1605393")</f>
        <v>1605393</v>
      </c>
      <c r="E570">
        <v>1</v>
      </c>
      <c r="F570" t="s">
        <v>1005</v>
      </c>
    </row>
    <row r="571" spans="1:6" x14ac:dyDescent="0.25">
      <c r="A571" t="s">
        <v>1521</v>
      </c>
      <c r="B571" t="s">
        <v>1006</v>
      </c>
      <c r="C571" t="s">
        <v>1007</v>
      </c>
      <c r="D571" t="str">
        <f>HYPERLINK("http://service.sap.com/sap/support/notes/1577083","1577083")</f>
        <v>1577083</v>
      </c>
      <c r="E571">
        <v>3</v>
      </c>
      <c r="F571" t="s">
        <v>1008</v>
      </c>
    </row>
    <row r="572" spans="1:6" x14ac:dyDescent="0.25">
      <c r="A572" t="s">
        <v>1521</v>
      </c>
      <c r="B572" t="s">
        <v>1006</v>
      </c>
      <c r="C572" t="s">
        <v>1007</v>
      </c>
      <c r="D572" t="str">
        <f>HYPERLINK("http://service.sap.com/sap/support/notes/1614591","1614591")</f>
        <v>1614591</v>
      </c>
      <c r="E572">
        <v>2</v>
      </c>
      <c r="F572" t="s">
        <v>1009</v>
      </c>
    </row>
    <row r="573" spans="1:6" x14ac:dyDescent="0.25">
      <c r="A573" t="s">
        <v>1521</v>
      </c>
      <c r="B573" t="s">
        <v>1010</v>
      </c>
      <c r="C573" t="s">
        <v>1011</v>
      </c>
      <c r="D573" t="str">
        <f>HYPERLINK("http://service.sap.com/sap/support/notes/1124439","1124439")</f>
        <v>1124439</v>
      </c>
      <c r="E573">
        <v>5</v>
      </c>
      <c r="F573" t="s">
        <v>1012</v>
      </c>
    </row>
    <row r="574" spans="1:6" x14ac:dyDescent="0.25">
      <c r="A574" t="s">
        <v>1521</v>
      </c>
      <c r="B574" t="s">
        <v>1010</v>
      </c>
      <c r="C574" t="s">
        <v>1011</v>
      </c>
      <c r="D574" t="str">
        <f>HYPERLINK("http://service.sap.com/sap/support/notes/1614615","1614615")</f>
        <v>1614615</v>
      </c>
      <c r="E574">
        <v>2</v>
      </c>
      <c r="F574" t="s">
        <v>1013</v>
      </c>
    </row>
    <row r="575" spans="1:6" x14ac:dyDescent="0.25">
      <c r="A575" t="s">
        <v>1521</v>
      </c>
      <c r="B575" t="s">
        <v>1014</v>
      </c>
      <c r="C575" t="s">
        <v>1015</v>
      </c>
      <c r="D575" t="str">
        <f>HYPERLINK("http://service.sap.com/sap/support/notes/1582742","1582742")</f>
        <v>1582742</v>
      </c>
      <c r="E575">
        <v>5</v>
      </c>
      <c r="F575" t="s">
        <v>1016</v>
      </c>
    </row>
    <row r="576" spans="1:6" x14ac:dyDescent="0.25">
      <c r="A576" t="s">
        <v>1521</v>
      </c>
      <c r="B576" t="s">
        <v>1014</v>
      </c>
      <c r="C576" t="s">
        <v>1015</v>
      </c>
      <c r="D576" t="str">
        <f>HYPERLINK("http://service.sap.com/sap/support/notes/1598178","1598178")</f>
        <v>1598178</v>
      </c>
      <c r="E576">
        <v>2</v>
      </c>
      <c r="F576" t="s">
        <v>1017</v>
      </c>
    </row>
    <row r="577" spans="1:6" x14ac:dyDescent="0.25">
      <c r="A577" t="s">
        <v>1521</v>
      </c>
      <c r="B577" t="s">
        <v>1014</v>
      </c>
      <c r="C577" t="s">
        <v>1015</v>
      </c>
      <c r="D577" t="str">
        <f>HYPERLINK("http://service.sap.com/sap/support/notes/1604646","1604646")</f>
        <v>1604646</v>
      </c>
      <c r="E577">
        <v>6</v>
      </c>
      <c r="F577" t="s">
        <v>1018</v>
      </c>
    </row>
    <row r="578" spans="1:6" x14ac:dyDescent="0.25">
      <c r="A578" t="s">
        <v>1521</v>
      </c>
      <c r="B578" t="s">
        <v>1014</v>
      </c>
      <c r="C578" t="s">
        <v>1015</v>
      </c>
      <c r="D578" t="str">
        <f>HYPERLINK("http://service.sap.com/sap/support/notes/1605400","1605400")</f>
        <v>1605400</v>
      </c>
      <c r="E578">
        <v>2</v>
      </c>
      <c r="F578" t="s">
        <v>1019</v>
      </c>
    </row>
    <row r="579" spans="1:6" x14ac:dyDescent="0.25">
      <c r="A579" t="s">
        <v>1521</v>
      </c>
      <c r="B579" t="s">
        <v>1014</v>
      </c>
      <c r="C579" t="s">
        <v>1015</v>
      </c>
      <c r="D579" t="str">
        <f>HYPERLINK("http://service.sap.com/sap/support/notes/1607768","1607768")</f>
        <v>1607768</v>
      </c>
      <c r="E579">
        <v>1</v>
      </c>
      <c r="F579" t="s">
        <v>1020</v>
      </c>
    </row>
    <row r="580" spans="1:6" x14ac:dyDescent="0.25">
      <c r="A580" t="s">
        <v>1521</v>
      </c>
      <c r="B580" t="s">
        <v>1014</v>
      </c>
      <c r="C580" t="s">
        <v>1015</v>
      </c>
      <c r="D580" t="str">
        <f>HYPERLINK("http://service.sap.com/sap/support/notes/1610051","1610051")</f>
        <v>1610051</v>
      </c>
      <c r="E580">
        <v>1</v>
      </c>
      <c r="F580" t="s">
        <v>1021</v>
      </c>
    </row>
    <row r="581" spans="1:6" x14ac:dyDescent="0.25">
      <c r="A581" t="s">
        <v>1521</v>
      </c>
      <c r="B581" t="s">
        <v>1022</v>
      </c>
      <c r="C581" t="s">
        <v>126</v>
      </c>
      <c r="D581" t="str">
        <f>HYPERLINK("http://service.sap.com/sap/support/notes/1609072","1609072")</f>
        <v>1609072</v>
      </c>
      <c r="E581">
        <v>2</v>
      </c>
      <c r="F581" t="s">
        <v>1023</v>
      </c>
    </row>
    <row r="582" spans="1:6" x14ac:dyDescent="0.25">
      <c r="A582" t="s">
        <v>1521</v>
      </c>
      <c r="B582" t="s">
        <v>1024</v>
      </c>
      <c r="C582" t="s">
        <v>1025</v>
      </c>
      <c r="D582" t="str">
        <f>HYPERLINK("http://service.sap.com/sap/support/notes/1604673","1604673")</f>
        <v>1604673</v>
      </c>
      <c r="E582">
        <v>4</v>
      </c>
      <c r="F582" t="s">
        <v>1026</v>
      </c>
    </row>
    <row r="583" spans="1:6" x14ac:dyDescent="0.25">
      <c r="A583" t="s">
        <v>1521</v>
      </c>
      <c r="B583" t="s">
        <v>1027</v>
      </c>
      <c r="C583" t="s">
        <v>1028</v>
      </c>
      <c r="D583" t="str">
        <f>HYPERLINK("http://service.sap.com/sap/support/notes/1609070","1609070")</f>
        <v>1609070</v>
      </c>
      <c r="E583">
        <v>4</v>
      </c>
      <c r="F583" t="s">
        <v>1029</v>
      </c>
    </row>
    <row r="584" spans="1:6" x14ac:dyDescent="0.25">
      <c r="A584" t="s">
        <v>1521</v>
      </c>
      <c r="B584" t="s">
        <v>1030</v>
      </c>
      <c r="C584" t="s">
        <v>163</v>
      </c>
    </row>
    <row r="585" spans="1:6" x14ac:dyDescent="0.25">
      <c r="A585" t="s">
        <v>1521</v>
      </c>
      <c r="B585" t="s">
        <v>1031</v>
      </c>
      <c r="C585" t="s">
        <v>1032</v>
      </c>
    </row>
    <row r="586" spans="1:6" x14ac:dyDescent="0.25">
      <c r="A586" t="s">
        <v>1521</v>
      </c>
      <c r="B586" t="s">
        <v>1033</v>
      </c>
      <c r="C586" t="s">
        <v>1034</v>
      </c>
      <c r="D586" t="str">
        <f>HYPERLINK("http://service.sap.com/sap/support/notes/1609461","1609461")</f>
        <v>1609461</v>
      </c>
      <c r="E586">
        <v>1</v>
      </c>
      <c r="F586" t="s">
        <v>1035</v>
      </c>
    </row>
    <row r="587" spans="1:6" x14ac:dyDescent="0.25">
      <c r="A587" t="s">
        <v>1521</v>
      </c>
      <c r="B587" t="s">
        <v>1036</v>
      </c>
      <c r="C587" t="s">
        <v>350</v>
      </c>
      <c r="D587" t="str">
        <f>HYPERLINK("http://service.sap.com/sap/support/notes/1563809","1563809")</f>
        <v>1563809</v>
      </c>
      <c r="E587">
        <v>2</v>
      </c>
      <c r="F587" t="s">
        <v>1037</v>
      </c>
    </row>
    <row r="588" spans="1:6" x14ac:dyDescent="0.25">
      <c r="A588" t="s">
        <v>1521</v>
      </c>
      <c r="B588" t="s">
        <v>1036</v>
      </c>
      <c r="C588" t="s">
        <v>350</v>
      </c>
      <c r="D588" t="str">
        <f>HYPERLINK("http://service.sap.com/sap/support/notes/1588598","1588598")</f>
        <v>1588598</v>
      </c>
      <c r="E588">
        <v>3</v>
      </c>
      <c r="F588" t="s">
        <v>1038</v>
      </c>
    </row>
    <row r="589" spans="1:6" x14ac:dyDescent="0.25">
      <c r="A589" t="s">
        <v>1521</v>
      </c>
      <c r="B589" t="s">
        <v>1036</v>
      </c>
      <c r="C589" t="s">
        <v>350</v>
      </c>
      <c r="D589" t="str">
        <f>HYPERLINK("http://service.sap.com/sap/support/notes/1599025","1599025")</f>
        <v>1599025</v>
      </c>
      <c r="E589">
        <v>2</v>
      </c>
      <c r="F589" t="s">
        <v>1039</v>
      </c>
    </row>
    <row r="590" spans="1:6" x14ac:dyDescent="0.25">
      <c r="A590" t="s">
        <v>1521</v>
      </c>
      <c r="B590" t="s">
        <v>1040</v>
      </c>
      <c r="C590" t="s">
        <v>1041</v>
      </c>
      <c r="D590" t="str">
        <f>HYPERLINK("http://service.sap.com/sap/support/notes/1602785","1602785")</f>
        <v>1602785</v>
      </c>
      <c r="E590">
        <v>4</v>
      </c>
      <c r="F590" t="s">
        <v>1042</v>
      </c>
    </row>
    <row r="591" spans="1:6" x14ac:dyDescent="0.25">
      <c r="A591" t="s">
        <v>1521</v>
      </c>
      <c r="B591" t="s">
        <v>1043</v>
      </c>
      <c r="C591" t="s">
        <v>1044</v>
      </c>
    </row>
    <row r="592" spans="1:6" x14ac:dyDescent="0.25">
      <c r="A592" t="s">
        <v>1521</v>
      </c>
      <c r="B592" t="s">
        <v>1045</v>
      </c>
      <c r="C592" t="s">
        <v>1046</v>
      </c>
      <c r="D592" t="str">
        <f>HYPERLINK("http://service.sap.com/sap/support/notes/1612568","1612568")</f>
        <v>1612568</v>
      </c>
      <c r="E592">
        <v>2</v>
      </c>
      <c r="F592" t="s">
        <v>1047</v>
      </c>
    </row>
    <row r="593" spans="1:6" x14ac:dyDescent="0.25">
      <c r="A593" t="s">
        <v>1521</v>
      </c>
      <c r="B593" t="s">
        <v>1048</v>
      </c>
      <c r="C593" t="s">
        <v>1049</v>
      </c>
    </row>
    <row r="594" spans="1:6" x14ac:dyDescent="0.25">
      <c r="A594" t="s">
        <v>1521</v>
      </c>
      <c r="B594" t="s">
        <v>1050</v>
      </c>
      <c r="C594" t="s">
        <v>1051</v>
      </c>
      <c r="D594" t="str">
        <f>HYPERLINK("http://service.sap.com/sap/support/notes/1607598","1607598")</f>
        <v>1607598</v>
      </c>
      <c r="E594">
        <v>2</v>
      </c>
      <c r="F594" t="s">
        <v>1052</v>
      </c>
    </row>
    <row r="595" spans="1:6" x14ac:dyDescent="0.25">
      <c r="A595" t="s">
        <v>1521</v>
      </c>
      <c r="B595" t="s">
        <v>1050</v>
      </c>
      <c r="C595" t="s">
        <v>1051</v>
      </c>
      <c r="D595" t="str">
        <f>HYPERLINK("http://service.sap.com/sap/support/notes/1609665","1609665")</f>
        <v>1609665</v>
      </c>
      <c r="E595">
        <v>1</v>
      </c>
      <c r="F595" t="s">
        <v>1053</v>
      </c>
    </row>
    <row r="596" spans="1:6" x14ac:dyDescent="0.25">
      <c r="A596" t="s">
        <v>1521</v>
      </c>
      <c r="B596" t="s">
        <v>1054</v>
      </c>
      <c r="C596" t="s">
        <v>1055</v>
      </c>
      <c r="D596" t="str">
        <f>HYPERLINK("http://service.sap.com/sap/support/notes/1615099","1615099")</f>
        <v>1615099</v>
      </c>
      <c r="E596">
        <v>2</v>
      </c>
      <c r="F596" t="s">
        <v>1056</v>
      </c>
    </row>
    <row r="597" spans="1:6" x14ac:dyDescent="0.25">
      <c r="A597" t="s">
        <v>1521</v>
      </c>
      <c r="B597" t="s">
        <v>1057</v>
      </c>
      <c r="C597" t="s">
        <v>1058</v>
      </c>
    </row>
    <row r="598" spans="1:6" x14ac:dyDescent="0.25">
      <c r="A598" t="s">
        <v>1521</v>
      </c>
      <c r="B598" t="s">
        <v>1059</v>
      </c>
      <c r="C598" t="s">
        <v>632</v>
      </c>
    </row>
    <row r="599" spans="1:6" x14ac:dyDescent="0.25">
      <c r="A599" t="s">
        <v>1521</v>
      </c>
      <c r="B599" t="s">
        <v>1060</v>
      </c>
      <c r="C599" t="s">
        <v>1061</v>
      </c>
      <c r="D599" t="str">
        <f>HYPERLINK("http://service.sap.com/sap/support/notes/1612072","1612072")</f>
        <v>1612072</v>
      </c>
      <c r="E599">
        <v>2</v>
      </c>
      <c r="F599" t="s">
        <v>1062</v>
      </c>
    </row>
    <row r="600" spans="1:6" x14ac:dyDescent="0.25">
      <c r="A600" t="s">
        <v>1521</v>
      </c>
      <c r="B600" t="s">
        <v>1063</v>
      </c>
      <c r="C600" t="s">
        <v>1064</v>
      </c>
      <c r="D600" t="str">
        <f>HYPERLINK("http://service.sap.com/sap/support/notes/1567120","1567120")</f>
        <v>1567120</v>
      </c>
      <c r="E600">
        <v>2</v>
      </c>
      <c r="F600" t="s">
        <v>1065</v>
      </c>
    </row>
    <row r="601" spans="1:6" x14ac:dyDescent="0.25">
      <c r="A601" t="s">
        <v>1521</v>
      </c>
      <c r="B601" t="s">
        <v>1066</v>
      </c>
      <c r="C601" t="s">
        <v>1067</v>
      </c>
    </row>
    <row r="602" spans="1:6" x14ac:dyDescent="0.25">
      <c r="A602" t="s">
        <v>1521</v>
      </c>
      <c r="B602" t="s">
        <v>1068</v>
      </c>
      <c r="C602" t="s">
        <v>1069</v>
      </c>
      <c r="D602" t="str">
        <f>HYPERLINK("http://service.sap.com/sap/support/notes/1608042","1608042")</f>
        <v>1608042</v>
      </c>
      <c r="E602">
        <v>1</v>
      </c>
      <c r="F602" t="s">
        <v>1070</v>
      </c>
    </row>
    <row r="603" spans="1:6" x14ac:dyDescent="0.25">
      <c r="A603" t="s">
        <v>1521</v>
      </c>
      <c r="B603" t="s">
        <v>1071</v>
      </c>
      <c r="C603" t="s">
        <v>1072</v>
      </c>
      <c r="D603" t="str">
        <f>HYPERLINK("http://service.sap.com/sap/support/notes/1605973","1605973")</f>
        <v>1605973</v>
      </c>
      <c r="E603">
        <v>2</v>
      </c>
      <c r="F603" t="s">
        <v>1073</v>
      </c>
    </row>
    <row r="604" spans="1:6" x14ac:dyDescent="0.25">
      <c r="A604" t="s">
        <v>1521</v>
      </c>
      <c r="B604" t="s">
        <v>1074</v>
      </c>
      <c r="C604" t="s">
        <v>1075</v>
      </c>
      <c r="D604" t="str">
        <f>HYPERLINK("http://service.sap.com/sap/support/notes/1607091","1607091")</f>
        <v>1607091</v>
      </c>
      <c r="E604">
        <v>1</v>
      </c>
      <c r="F604" t="s">
        <v>1076</v>
      </c>
    </row>
    <row r="605" spans="1:6" x14ac:dyDescent="0.25">
      <c r="A605" t="s">
        <v>1521</v>
      </c>
      <c r="B605" t="s">
        <v>1077</v>
      </c>
      <c r="C605" t="s">
        <v>1078</v>
      </c>
      <c r="D605" t="str">
        <f>HYPERLINK("http://service.sap.com/sap/support/notes/1470622","1470622")</f>
        <v>1470622</v>
      </c>
      <c r="E605">
        <v>1</v>
      </c>
      <c r="F605" t="s">
        <v>1079</v>
      </c>
    </row>
    <row r="606" spans="1:6" x14ac:dyDescent="0.25">
      <c r="A606" t="s">
        <v>1521</v>
      </c>
      <c r="B606" t="s">
        <v>1080</v>
      </c>
      <c r="C606" t="s">
        <v>1081</v>
      </c>
      <c r="D606" t="str">
        <f>HYPERLINK("http://service.sap.com/sap/support/notes/1606600","1606600")</f>
        <v>1606600</v>
      </c>
      <c r="E606">
        <v>1</v>
      </c>
      <c r="F606" t="s">
        <v>1082</v>
      </c>
    </row>
    <row r="607" spans="1:6" x14ac:dyDescent="0.25">
      <c r="A607" t="s">
        <v>1521</v>
      </c>
      <c r="B607" t="s">
        <v>1083</v>
      </c>
      <c r="C607" t="s">
        <v>1084</v>
      </c>
      <c r="D607" t="str">
        <f>HYPERLINK("http://service.sap.com/sap/support/notes/1607967","1607967")</f>
        <v>1607967</v>
      </c>
      <c r="E607">
        <v>1</v>
      </c>
      <c r="F607" t="s">
        <v>1085</v>
      </c>
    </row>
    <row r="608" spans="1:6" x14ac:dyDescent="0.25">
      <c r="A608" t="s">
        <v>1521</v>
      </c>
      <c r="B608" t="s">
        <v>1083</v>
      </c>
      <c r="C608" t="s">
        <v>1084</v>
      </c>
      <c r="D608" t="str">
        <f>HYPERLINK("http://service.sap.com/sap/support/notes/1619197","1619197")</f>
        <v>1619197</v>
      </c>
      <c r="E608">
        <v>2</v>
      </c>
      <c r="F608" t="s">
        <v>1086</v>
      </c>
    </row>
    <row r="609" spans="1:6" x14ac:dyDescent="0.25">
      <c r="A609" t="s">
        <v>1521</v>
      </c>
      <c r="B609" t="s">
        <v>1087</v>
      </c>
      <c r="C609" t="s">
        <v>1088</v>
      </c>
    </row>
    <row r="610" spans="1:6" x14ac:dyDescent="0.25">
      <c r="A610" t="s">
        <v>1521</v>
      </c>
      <c r="B610" t="s">
        <v>1089</v>
      </c>
      <c r="C610" t="s">
        <v>1090</v>
      </c>
      <c r="D610" t="str">
        <f>HYPERLINK("http://service.sap.com/sap/support/notes/1605870","1605870")</f>
        <v>1605870</v>
      </c>
      <c r="E610">
        <v>2</v>
      </c>
      <c r="F610" t="s">
        <v>1091</v>
      </c>
    </row>
    <row r="611" spans="1:6" x14ac:dyDescent="0.25">
      <c r="A611" t="s">
        <v>1521</v>
      </c>
      <c r="B611" t="s">
        <v>1089</v>
      </c>
      <c r="C611" t="s">
        <v>1090</v>
      </c>
      <c r="D611" t="str">
        <f>HYPERLINK("http://service.sap.com/sap/support/notes/1612398","1612398")</f>
        <v>1612398</v>
      </c>
      <c r="E611">
        <v>2</v>
      </c>
      <c r="F611" t="s">
        <v>1092</v>
      </c>
    </row>
    <row r="612" spans="1:6" x14ac:dyDescent="0.25">
      <c r="A612" t="s">
        <v>1521</v>
      </c>
      <c r="B612" t="s">
        <v>1089</v>
      </c>
      <c r="C612" t="s">
        <v>1090</v>
      </c>
      <c r="D612" t="str">
        <f>HYPERLINK("http://service.sap.com/sap/support/notes/1616606","1616606")</f>
        <v>1616606</v>
      </c>
      <c r="E612">
        <v>3</v>
      </c>
      <c r="F612" t="s">
        <v>1093</v>
      </c>
    </row>
    <row r="613" spans="1:6" x14ac:dyDescent="0.25">
      <c r="A613" t="s">
        <v>1521</v>
      </c>
      <c r="B613" t="s">
        <v>1094</v>
      </c>
      <c r="C613" t="s">
        <v>1095</v>
      </c>
      <c r="D613" t="str">
        <f>HYPERLINK("http://service.sap.com/sap/support/notes/1604525","1604525")</f>
        <v>1604525</v>
      </c>
      <c r="E613">
        <v>2</v>
      </c>
      <c r="F613" t="s">
        <v>1096</v>
      </c>
    </row>
    <row r="614" spans="1:6" x14ac:dyDescent="0.25">
      <c r="A614" t="s">
        <v>1521</v>
      </c>
      <c r="B614" t="s">
        <v>1097</v>
      </c>
      <c r="C614" t="s">
        <v>1098</v>
      </c>
      <c r="D614" t="str">
        <f>HYPERLINK("http://service.sap.com/sap/support/notes/1596739","1596739")</f>
        <v>1596739</v>
      </c>
      <c r="E614">
        <v>1</v>
      </c>
      <c r="F614" t="s">
        <v>1099</v>
      </c>
    </row>
    <row r="615" spans="1:6" x14ac:dyDescent="0.25">
      <c r="A615" t="s">
        <v>1521</v>
      </c>
      <c r="B615" t="s">
        <v>1100</v>
      </c>
      <c r="C615" t="s">
        <v>1101</v>
      </c>
      <c r="D615" t="str">
        <f>HYPERLINK("http://service.sap.com/sap/support/notes/1601390","1601390")</f>
        <v>1601390</v>
      </c>
      <c r="E615">
        <v>2</v>
      </c>
      <c r="F615" t="s">
        <v>1102</v>
      </c>
    </row>
    <row r="616" spans="1:6" x14ac:dyDescent="0.25">
      <c r="A616" t="s">
        <v>1521</v>
      </c>
      <c r="B616" t="s">
        <v>1100</v>
      </c>
      <c r="C616" t="s">
        <v>1101</v>
      </c>
      <c r="D616" t="str">
        <f>HYPERLINK("http://service.sap.com/sap/support/notes/1608139","1608139")</f>
        <v>1608139</v>
      </c>
      <c r="E616">
        <v>1</v>
      </c>
      <c r="F616" t="s">
        <v>1103</v>
      </c>
    </row>
    <row r="617" spans="1:6" x14ac:dyDescent="0.25">
      <c r="A617" t="s">
        <v>1521</v>
      </c>
      <c r="B617" t="s">
        <v>1100</v>
      </c>
      <c r="C617" t="s">
        <v>1101</v>
      </c>
      <c r="D617" t="str">
        <f>HYPERLINK("http://service.sap.com/sap/support/notes/1610495","1610495")</f>
        <v>1610495</v>
      </c>
      <c r="E617">
        <v>1</v>
      </c>
      <c r="F617" t="s">
        <v>1104</v>
      </c>
    </row>
    <row r="618" spans="1:6" x14ac:dyDescent="0.25">
      <c r="A618" t="s">
        <v>1521</v>
      </c>
      <c r="B618" t="s">
        <v>1105</v>
      </c>
      <c r="C618" t="s">
        <v>1106</v>
      </c>
    </row>
    <row r="619" spans="1:6" x14ac:dyDescent="0.25">
      <c r="A619" t="s">
        <v>1521</v>
      </c>
      <c r="B619" t="s">
        <v>1107</v>
      </c>
      <c r="C619" t="s">
        <v>350</v>
      </c>
      <c r="D619" t="str">
        <f>HYPERLINK("http://service.sap.com/sap/support/notes/1601731","1601731")</f>
        <v>1601731</v>
      </c>
      <c r="E619">
        <v>4</v>
      </c>
      <c r="F619" t="s">
        <v>1108</v>
      </c>
    </row>
    <row r="620" spans="1:6" x14ac:dyDescent="0.25">
      <c r="A620" t="s">
        <v>1521</v>
      </c>
      <c r="B620" t="s">
        <v>1109</v>
      </c>
      <c r="C620" t="s">
        <v>1110</v>
      </c>
      <c r="D620" t="str">
        <f>HYPERLINK("http://service.sap.com/sap/support/notes/1577522","1577522")</f>
        <v>1577522</v>
      </c>
      <c r="E620">
        <v>3</v>
      </c>
      <c r="F620" t="s">
        <v>1111</v>
      </c>
    </row>
    <row r="621" spans="1:6" x14ac:dyDescent="0.25">
      <c r="A621" t="s">
        <v>1521</v>
      </c>
      <c r="B621" t="s">
        <v>1109</v>
      </c>
      <c r="C621" t="s">
        <v>1110</v>
      </c>
      <c r="D621" t="str">
        <f>HYPERLINK("http://service.sap.com/sap/support/notes/1585319","1585319")</f>
        <v>1585319</v>
      </c>
      <c r="E621">
        <v>3</v>
      </c>
      <c r="F621" t="s">
        <v>1112</v>
      </c>
    </row>
    <row r="622" spans="1:6" x14ac:dyDescent="0.25">
      <c r="A622" t="s">
        <v>1521</v>
      </c>
      <c r="B622" t="s">
        <v>1113</v>
      </c>
      <c r="C622" t="s">
        <v>1114</v>
      </c>
      <c r="D622" t="str">
        <f>HYPERLINK("http://service.sap.com/sap/support/notes/1555325","1555325")</f>
        <v>1555325</v>
      </c>
      <c r="E622">
        <v>4</v>
      </c>
      <c r="F622" t="s">
        <v>1115</v>
      </c>
    </row>
    <row r="623" spans="1:6" x14ac:dyDescent="0.25">
      <c r="A623" t="s">
        <v>1521</v>
      </c>
      <c r="B623" t="s">
        <v>1116</v>
      </c>
      <c r="C623" t="s">
        <v>1117</v>
      </c>
    </row>
    <row r="624" spans="1:6" x14ac:dyDescent="0.25">
      <c r="A624" t="s">
        <v>1521</v>
      </c>
      <c r="B624" t="s">
        <v>1118</v>
      </c>
      <c r="C624" t="s">
        <v>1119</v>
      </c>
      <c r="D624" t="str">
        <f>HYPERLINK("http://service.sap.com/sap/support/notes/1603648","1603648")</f>
        <v>1603648</v>
      </c>
      <c r="E624">
        <v>4</v>
      </c>
      <c r="F624" t="s">
        <v>1120</v>
      </c>
    </row>
    <row r="625" spans="1:6" x14ac:dyDescent="0.25">
      <c r="A625" t="s">
        <v>1521</v>
      </c>
      <c r="B625" t="s">
        <v>1121</v>
      </c>
      <c r="C625" t="s">
        <v>1122</v>
      </c>
      <c r="D625" t="str">
        <f>HYPERLINK("http://service.sap.com/sap/support/notes/1600681","1600681")</f>
        <v>1600681</v>
      </c>
      <c r="E625">
        <v>2</v>
      </c>
      <c r="F625" t="s">
        <v>1123</v>
      </c>
    </row>
    <row r="626" spans="1:6" x14ac:dyDescent="0.25">
      <c r="A626" t="s">
        <v>1521</v>
      </c>
      <c r="B626" t="s">
        <v>1121</v>
      </c>
      <c r="C626" t="s">
        <v>1122</v>
      </c>
      <c r="D626" t="str">
        <f>HYPERLINK("http://service.sap.com/sap/support/notes/1608919","1608919")</f>
        <v>1608919</v>
      </c>
      <c r="E626">
        <v>1</v>
      </c>
      <c r="F626" t="s">
        <v>1124</v>
      </c>
    </row>
    <row r="627" spans="1:6" x14ac:dyDescent="0.25">
      <c r="A627" t="s">
        <v>1521</v>
      </c>
      <c r="B627" t="s">
        <v>1125</v>
      </c>
      <c r="C627" t="s">
        <v>1126</v>
      </c>
      <c r="D627" t="str">
        <f>HYPERLINK("http://service.sap.com/sap/support/notes/1605701","1605701")</f>
        <v>1605701</v>
      </c>
      <c r="E627">
        <v>1</v>
      </c>
      <c r="F627" t="s">
        <v>1127</v>
      </c>
    </row>
    <row r="628" spans="1:6" x14ac:dyDescent="0.25">
      <c r="A628" t="s">
        <v>1521</v>
      </c>
      <c r="B628" t="s">
        <v>1128</v>
      </c>
      <c r="C628" t="s">
        <v>1129</v>
      </c>
      <c r="D628" t="str">
        <f>HYPERLINK("http://service.sap.com/sap/support/notes/1513869","1513869")</f>
        <v>1513869</v>
      </c>
      <c r="E628">
        <v>2</v>
      </c>
      <c r="F628" t="s">
        <v>1130</v>
      </c>
    </row>
    <row r="629" spans="1:6" x14ac:dyDescent="0.25">
      <c r="A629" t="s">
        <v>1521</v>
      </c>
      <c r="B629" t="s">
        <v>1131</v>
      </c>
      <c r="C629" t="s">
        <v>1132</v>
      </c>
    </row>
    <row r="630" spans="1:6" x14ac:dyDescent="0.25">
      <c r="A630" t="s">
        <v>1521</v>
      </c>
      <c r="B630" t="s">
        <v>1133</v>
      </c>
      <c r="C630" t="s">
        <v>1134</v>
      </c>
      <c r="D630" t="str">
        <f>HYPERLINK("http://service.sap.com/sap/support/notes/1593715","1593715")</f>
        <v>1593715</v>
      </c>
      <c r="E630">
        <v>3</v>
      </c>
      <c r="F630" t="s">
        <v>1135</v>
      </c>
    </row>
    <row r="631" spans="1:6" x14ac:dyDescent="0.25">
      <c r="A631" t="s">
        <v>1521</v>
      </c>
      <c r="B631" t="s">
        <v>1136</v>
      </c>
      <c r="C631" t="s">
        <v>1137</v>
      </c>
    </row>
    <row r="632" spans="1:6" x14ac:dyDescent="0.25">
      <c r="A632" t="s">
        <v>1521</v>
      </c>
      <c r="B632" t="s">
        <v>1138</v>
      </c>
      <c r="C632" t="s">
        <v>1139</v>
      </c>
      <c r="D632" t="str">
        <f>HYPERLINK("http://service.sap.com/sap/support/notes/1590917","1590917")</f>
        <v>1590917</v>
      </c>
      <c r="E632">
        <v>5</v>
      </c>
      <c r="F632" t="s">
        <v>1140</v>
      </c>
    </row>
    <row r="633" spans="1:6" x14ac:dyDescent="0.25">
      <c r="A633" t="s">
        <v>1521</v>
      </c>
      <c r="B633" t="s">
        <v>1138</v>
      </c>
      <c r="C633" t="s">
        <v>1139</v>
      </c>
      <c r="D633" t="str">
        <f>HYPERLINK("http://service.sap.com/sap/support/notes/1601948","1601948")</f>
        <v>1601948</v>
      </c>
      <c r="E633">
        <v>3</v>
      </c>
      <c r="F633" t="s">
        <v>1141</v>
      </c>
    </row>
    <row r="634" spans="1:6" x14ac:dyDescent="0.25">
      <c r="A634" t="s">
        <v>1521</v>
      </c>
      <c r="B634" t="s">
        <v>1142</v>
      </c>
      <c r="C634" t="s">
        <v>1143</v>
      </c>
    </row>
    <row r="635" spans="1:6" x14ac:dyDescent="0.25">
      <c r="A635" t="s">
        <v>1521</v>
      </c>
      <c r="B635" t="s">
        <v>1144</v>
      </c>
      <c r="C635" t="s">
        <v>1145</v>
      </c>
      <c r="D635" t="str">
        <f>HYPERLINK("http://service.sap.com/sap/support/notes/1438812","1438812")</f>
        <v>1438812</v>
      </c>
      <c r="E635">
        <v>8</v>
      </c>
      <c r="F635" t="s">
        <v>1146</v>
      </c>
    </row>
    <row r="636" spans="1:6" x14ac:dyDescent="0.25">
      <c r="A636" t="s">
        <v>1521</v>
      </c>
      <c r="B636" t="s">
        <v>1144</v>
      </c>
      <c r="C636" t="s">
        <v>1145</v>
      </c>
      <c r="D636" t="str">
        <f>HYPERLINK("http://service.sap.com/sap/support/notes/1445374","1445374")</f>
        <v>1445374</v>
      </c>
      <c r="E636">
        <v>5</v>
      </c>
      <c r="F636" t="s">
        <v>1147</v>
      </c>
    </row>
    <row r="637" spans="1:6" x14ac:dyDescent="0.25">
      <c r="A637" t="s">
        <v>1521</v>
      </c>
      <c r="B637" t="s">
        <v>1144</v>
      </c>
      <c r="C637" t="s">
        <v>1145</v>
      </c>
      <c r="D637" t="str">
        <f>HYPERLINK("http://service.sap.com/sap/support/notes/1606463","1606463")</f>
        <v>1606463</v>
      </c>
      <c r="E637">
        <v>1</v>
      </c>
      <c r="F637" t="s">
        <v>1148</v>
      </c>
    </row>
    <row r="638" spans="1:6" x14ac:dyDescent="0.25">
      <c r="A638" t="s">
        <v>1521</v>
      </c>
      <c r="B638" t="s">
        <v>1149</v>
      </c>
      <c r="C638" t="s">
        <v>1150</v>
      </c>
    </row>
    <row r="639" spans="1:6" x14ac:dyDescent="0.25">
      <c r="A639" t="s">
        <v>1521</v>
      </c>
      <c r="B639" t="s">
        <v>1151</v>
      </c>
      <c r="C639" t="s">
        <v>894</v>
      </c>
      <c r="D639" t="str">
        <f>HYPERLINK("http://service.sap.com/sap/support/notes/1576776","1576776")</f>
        <v>1576776</v>
      </c>
      <c r="E639">
        <v>3</v>
      </c>
      <c r="F639" t="s">
        <v>1152</v>
      </c>
    </row>
    <row r="640" spans="1:6" x14ac:dyDescent="0.25">
      <c r="A640" t="s">
        <v>1521</v>
      </c>
      <c r="B640" t="s">
        <v>1151</v>
      </c>
      <c r="C640" t="s">
        <v>894</v>
      </c>
      <c r="D640" t="str">
        <f>HYPERLINK("http://service.sap.com/sap/support/notes/1597730","1597730")</f>
        <v>1597730</v>
      </c>
      <c r="E640">
        <v>7</v>
      </c>
      <c r="F640" t="s">
        <v>1153</v>
      </c>
    </row>
    <row r="641" spans="1:6" x14ac:dyDescent="0.25">
      <c r="A641" t="s">
        <v>1521</v>
      </c>
      <c r="B641" t="s">
        <v>1154</v>
      </c>
      <c r="C641" t="s">
        <v>231</v>
      </c>
      <c r="D641" t="str">
        <f>HYPERLINK("http://service.sap.com/sap/support/notes/1606364","1606364")</f>
        <v>1606364</v>
      </c>
      <c r="E641">
        <v>5</v>
      </c>
      <c r="F641" t="s">
        <v>1155</v>
      </c>
    </row>
    <row r="642" spans="1:6" x14ac:dyDescent="0.25">
      <c r="A642" t="s">
        <v>1521</v>
      </c>
      <c r="B642" t="s">
        <v>1154</v>
      </c>
      <c r="C642" t="s">
        <v>231</v>
      </c>
      <c r="D642" t="str">
        <f>HYPERLINK("http://service.sap.com/sap/support/notes/1608447","1608447")</f>
        <v>1608447</v>
      </c>
      <c r="E642">
        <v>4</v>
      </c>
      <c r="F642" t="s">
        <v>1156</v>
      </c>
    </row>
    <row r="643" spans="1:6" x14ac:dyDescent="0.25">
      <c r="A643" t="s">
        <v>1521</v>
      </c>
      <c r="B643" t="s">
        <v>1157</v>
      </c>
      <c r="C643" t="s">
        <v>1158</v>
      </c>
    </row>
    <row r="644" spans="1:6" x14ac:dyDescent="0.25">
      <c r="A644" t="s">
        <v>1521</v>
      </c>
      <c r="B644" t="s">
        <v>1159</v>
      </c>
      <c r="C644" t="s">
        <v>1160</v>
      </c>
    </row>
    <row r="645" spans="1:6" x14ac:dyDescent="0.25">
      <c r="A645" t="s">
        <v>1521</v>
      </c>
      <c r="B645" t="s">
        <v>1161</v>
      </c>
      <c r="C645" t="s">
        <v>1162</v>
      </c>
      <c r="D645" t="str">
        <f>HYPERLINK("http://service.sap.com/sap/support/notes/1598518","1598518")</f>
        <v>1598518</v>
      </c>
      <c r="E645">
        <v>2</v>
      </c>
      <c r="F645" t="s">
        <v>1163</v>
      </c>
    </row>
    <row r="646" spans="1:6" x14ac:dyDescent="0.25">
      <c r="A646" t="s">
        <v>1521</v>
      </c>
      <c r="B646" t="s">
        <v>1164</v>
      </c>
      <c r="C646" t="s">
        <v>1165</v>
      </c>
      <c r="D646" t="str">
        <f>HYPERLINK("http://service.sap.com/sap/support/notes/1609345","1609345")</f>
        <v>1609345</v>
      </c>
      <c r="E646">
        <v>4</v>
      </c>
      <c r="F646" t="s">
        <v>1166</v>
      </c>
    </row>
    <row r="647" spans="1:6" x14ac:dyDescent="0.25">
      <c r="A647" t="s">
        <v>1521</v>
      </c>
      <c r="B647" t="s">
        <v>1167</v>
      </c>
      <c r="C647" t="s">
        <v>1168</v>
      </c>
      <c r="D647" t="str">
        <f>HYPERLINK("http://service.sap.com/sap/support/notes/1612841","1612841")</f>
        <v>1612841</v>
      </c>
      <c r="E647">
        <v>3</v>
      </c>
      <c r="F647" t="s">
        <v>1169</v>
      </c>
    </row>
    <row r="648" spans="1:6" x14ac:dyDescent="0.25">
      <c r="A648" t="s">
        <v>1521</v>
      </c>
      <c r="B648" t="s">
        <v>1170</v>
      </c>
      <c r="C648" t="s">
        <v>1171</v>
      </c>
      <c r="D648" t="str">
        <f>HYPERLINK("http://service.sap.com/sap/support/notes/1598147","1598147")</f>
        <v>1598147</v>
      </c>
      <c r="E648">
        <v>4</v>
      </c>
      <c r="F648" t="s">
        <v>1172</v>
      </c>
    </row>
    <row r="649" spans="1:6" x14ac:dyDescent="0.25">
      <c r="A649" t="s">
        <v>1521</v>
      </c>
      <c r="B649" t="s">
        <v>1173</v>
      </c>
      <c r="C649" t="s">
        <v>1174</v>
      </c>
      <c r="D649" t="str">
        <f>HYPERLINK("http://service.sap.com/sap/support/notes/1603056","1603056")</f>
        <v>1603056</v>
      </c>
      <c r="E649">
        <v>1</v>
      </c>
      <c r="F649" t="s">
        <v>1175</v>
      </c>
    </row>
    <row r="650" spans="1:6" x14ac:dyDescent="0.25">
      <c r="A650" t="s">
        <v>1521</v>
      </c>
      <c r="B650" t="s">
        <v>1176</v>
      </c>
      <c r="C650" t="s">
        <v>1177</v>
      </c>
    </row>
    <row r="651" spans="1:6" x14ac:dyDescent="0.25">
      <c r="A651" t="s">
        <v>1521</v>
      </c>
      <c r="B651" t="s">
        <v>1178</v>
      </c>
      <c r="C651" t="s">
        <v>1179</v>
      </c>
      <c r="D651" t="str">
        <f>HYPERLINK("http://service.sap.com/sap/support/notes/1604616","1604616")</f>
        <v>1604616</v>
      </c>
      <c r="E651">
        <v>2</v>
      </c>
      <c r="F651" t="s">
        <v>1180</v>
      </c>
    </row>
    <row r="652" spans="1:6" x14ac:dyDescent="0.25">
      <c r="A652" t="s">
        <v>1521</v>
      </c>
      <c r="B652" t="s">
        <v>1181</v>
      </c>
      <c r="C652" t="s">
        <v>1182</v>
      </c>
      <c r="D652" t="str">
        <f>HYPERLINK("http://service.sap.com/sap/support/notes/1604885","1604885")</f>
        <v>1604885</v>
      </c>
      <c r="E652">
        <v>2</v>
      </c>
      <c r="F652" t="s">
        <v>1183</v>
      </c>
    </row>
    <row r="653" spans="1:6" x14ac:dyDescent="0.25">
      <c r="A653" t="s">
        <v>1521</v>
      </c>
      <c r="B653" t="s">
        <v>28</v>
      </c>
      <c r="C653" t="s">
        <v>29</v>
      </c>
    </row>
    <row r="654" spans="1:6" x14ac:dyDescent="0.25">
      <c r="A654" t="s">
        <v>1521</v>
      </c>
      <c r="B654" t="s">
        <v>30</v>
      </c>
      <c r="C654" t="s">
        <v>31</v>
      </c>
    </row>
    <row r="655" spans="1:6" x14ac:dyDescent="0.25">
      <c r="A655" t="s">
        <v>1521</v>
      </c>
      <c r="B655" t="s">
        <v>32</v>
      </c>
      <c r="C655" t="s">
        <v>33</v>
      </c>
    </row>
    <row r="656" spans="1:6" x14ac:dyDescent="0.25">
      <c r="A656" t="s">
        <v>1521</v>
      </c>
      <c r="B656" t="s">
        <v>1184</v>
      </c>
      <c r="C656" t="s">
        <v>1185</v>
      </c>
      <c r="D656" t="str">
        <f>HYPERLINK("http://service.sap.com/sap/support/notes/1599383","1599383")</f>
        <v>1599383</v>
      </c>
      <c r="E656">
        <v>4</v>
      </c>
      <c r="F656" t="s">
        <v>1186</v>
      </c>
    </row>
    <row r="657" spans="1:6" x14ac:dyDescent="0.25">
      <c r="A657" t="s">
        <v>1521</v>
      </c>
      <c r="B657" t="s">
        <v>34</v>
      </c>
      <c r="C657" t="s">
        <v>14</v>
      </c>
    </row>
    <row r="658" spans="1:6" x14ac:dyDescent="0.25">
      <c r="A658" t="s">
        <v>1521</v>
      </c>
      <c r="B658" t="s">
        <v>35</v>
      </c>
      <c r="C658" t="s">
        <v>1187</v>
      </c>
      <c r="D658" t="str">
        <f>HYPERLINK("http://service.sap.com/sap/support/notes/1600909","1600909")</f>
        <v>1600909</v>
      </c>
      <c r="E658">
        <v>2</v>
      </c>
      <c r="F658" t="s">
        <v>1188</v>
      </c>
    </row>
    <row r="659" spans="1:6" x14ac:dyDescent="0.25">
      <c r="A659" t="s">
        <v>1521</v>
      </c>
      <c r="B659" t="s">
        <v>35</v>
      </c>
      <c r="C659" t="s">
        <v>1187</v>
      </c>
      <c r="D659" t="str">
        <f>HYPERLINK("http://service.sap.com/sap/support/notes/1601757","1601757")</f>
        <v>1601757</v>
      </c>
      <c r="E659">
        <v>3</v>
      </c>
      <c r="F659" t="s">
        <v>1189</v>
      </c>
    </row>
    <row r="660" spans="1:6" x14ac:dyDescent="0.25">
      <c r="A660" t="s">
        <v>1521</v>
      </c>
      <c r="B660" t="s">
        <v>35</v>
      </c>
      <c r="C660" t="s">
        <v>1187</v>
      </c>
      <c r="D660" t="str">
        <f>HYPERLINK("http://service.sap.com/sap/support/notes/1602765","1602765")</f>
        <v>1602765</v>
      </c>
      <c r="E660">
        <v>4</v>
      </c>
      <c r="F660" t="s">
        <v>1190</v>
      </c>
    </row>
    <row r="661" spans="1:6" x14ac:dyDescent="0.25">
      <c r="A661" t="s">
        <v>1521</v>
      </c>
      <c r="B661" t="s">
        <v>35</v>
      </c>
      <c r="C661" t="s">
        <v>1187</v>
      </c>
      <c r="D661" t="str">
        <f>HYPERLINK("http://service.sap.com/sap/support/notes/1602900","1602900")</f>
        <v>1602900</v>
      </c>
      <c r="E661">
        <v>2</v>
      </c>
      <c r="F661" t="s">
        <v>1191</v>
      </c>
    </row>
    <row r="662" spans="1:6" x14ac:dyDescent="0.25">
      <c r="A662" t="s">
        <v>1521</v>
      </c>
      <c r="B662" t="s">
        <v>35</v>
      </c>
      <c r="C662" t="s">
        <v>1187</v>
      </c>
      <c r="D662" t="str">
        <f>HYPERLINK("http://service.sap.com/sap/support/notes/1614292","1614292")</f>
        <v>1614292</v>
      </c>
      <c r="E662">
        <v>2</v>
      </c>
      <c r="F662" t="s">
        <v>1192</v>
      </c>
    </row>
    <row r="663" spans="1:6" x14ac:dyDescent="0.25">
      <c r="A663" t="s">
        <v>1521</v>
      </c>
      <c r="B663" t="s">
        <v>1193</v>
      </c>
      <c r="C663" t="s">
        <v>1194</v>
      </c>
      <c r="D663" t="str">
        <f>HYPERLINK("http://service.sap.com/sap/support/notes/1592892","1592892")</f>
        <v>1592892</v>
      </c>
      <c r="E663">
        <v>3</v>
      </c>
      <c r="F663" t="s">
        <v>1195</v>
      </c>
    </row>
    <row r="664" spans="1:6" x14ac:dyDescent="0.25">
      <c r="A664" t="s">
        <v>1521</v>
      </c>
      <c r="B664" t="s">
        <v>1193</v>
      </c>
      <c r="C664" t="s">
        <v>1194</v>
      </c>
      <c r="D664" t="str">
        <f>HYPERLINK("http://service.sap.com/sap/support/notes/1606885","1606885")</f>
        <v>1606885</v>
      </c>
      <c r="E664">
        <v>3</v>
      </c>
      <c r="F664" t="s">
        <v>1196</v>
      </c>
    </row>
    <row r="665" spans="1:6" x14ac:dyDescent="0.25">
      <c r="A665" t="s">
        <v>1521</v>
      </c>
      <c r="B665" t="s">
        <v>1197</v>
      </c>
      <c r="C665" t="s">
        <v>1198</v>
      </c>
      <c r="D665" t="str">
        <f>HYPERLINK("http://service.sap.com/sap/support/notes/1613417","1613417")</f>
        <v>1613417</v>
      </c>
      <c r="E665">
        <v>4</v>
      </c>
      <c r="F665" t="s">
        <v>1199</v>
      </c>
    </row>
    <row r="666" spans="1:6" x14ac:dyDescent="0.25">
      <c r="A666" t="s">
        <v>1521</v>
      </c>
      <c r="B666" t="s">
        <v>1197</v>
      </c>
      <c r="C666" t="s">
        <v>1198</v>
      </c>
      <c r="D666" t="str">
        <f>HYPERLINK("http://service.sap.com/sap/support/notes/1616183","1616183")</f>
        <v>1616183</v>
      </c>
      <c r="E666">
        <v>2</v>
      </c>
      <c r="F666" t="s">
        <v>1200</v>
      </c>
    </row>
    <row r="667" spans="1:6" x14ac:dyDescent="0.25">
      <c r="A667" t="s">
        <v>1521</v>
      </c>
      <c r="B667" t="s">
        <v>1201</v>
      </c>
      <c r="C667" t="s">
        <v>14</v>
      </c>
    </row>
    <row r="668" spans="1:6" x14ac:dyDescent="0.25">
      <c r="A668" t="s">
        <v>1521</v>
      </c>
      <c r="B668" t="s">
        <v>1202</v>
      </c>
      <c r="C668" t="s">
        <v>1187</v>
      </c>
      <c r="D668" t="str">
        <f>HYPERLINK("http://service.sap.com/sap/support/notes/1606536","1606536")</f>
        <v>1606536</v>
      </c>
      <c r="E668">
        <v>3</v>
      </c>
      <c r="F668" t="s">
        <v>1203</v>
      </c>
    </row>
    <row r="669" spans="1:6" x14ac:dyDescent="0.25">
      <c r="A669" t="s">
        <v>1521</v>
      </c>
      <c r="B669" t="s">
        <v>1204</v>
      </c>
      <c r="C669" t="s">
        <v>1205</v>
      </c>
    </row>
    <row r="670" spans="1:6" x14ac:dyDescent="0.25">
      <c r="A670" t="s">
        <v>1521</v>
      </c>
      <c r="B670" t="s">
        <v>1206</v>
      </c>
      <c r="C670" t="s">
        <v>1207</v>
      </c>
      <c r="D670" t="str">
        <f>HYPERLINK("http://service.sap.com/sap/support/notes/1601954","1601954")</f>
        <v>1601954</v>
      </c>
      <c r="E670">
        <v>2</v>
      </c>
      <c r="F670" t="s">
        <v>1208</v>
      </c>
    </row>
    <row r="671" spans="1:6" x14ac:dyDescent="0.25">
      <c r="A671" t="s">
        <v>1521</v>
      </c>
      <c r="B671" t="s">
        <v>1209</v>
      </c>
      <c r="C671" t="s">
        <v>1210</v>
      </c>
    </row>
    <row r="672" spans="1:6" x14ac:dyDescent="0.25">
      <c r="A672" t="s">
        <v>1521</v>
      </c>
      <c r="B672" t="s">
        <v>1211</v>
      </c>
      <c r="C672" t="s">
        <v>1212</v>
      </c>
    </row>
    <row r="673" spans="1:6" x14ac:dyDescent="0.25">
      <c r="A673" t="s">
        <v>1521</v>
      </c>
      <c r="B673" t="s">
        <v>1213</v>
      </c>
      <c r="C673" t="s">
        <v>1214</v>
      </c>
      <c r="D673" t="str">
        <f>HYPERLINK("http://service.sap.com/sap/support/notes/1597709","1597709")</f>
        <v>1597709</v>
      </c>
      <c r="E673">
        <v>3</v>
      </c>
      <c r="F673" t="s">
        <v>1215</v>
      </c>
    </row>
    <row r="674" spans="1:6" x14ac:dyDescent="0.25">
      <c r="A674" t="s">
        <v>1521</v>
      </c>
      <c r="B674" t="s">
        <v>1216</v>
      </c>
      <c r="C674" t="s">
        <v>1217</v>
      </c>
    </row>
    <row r="675" spans="1:6" x14ac:dyDescent="0.25">
      <c r="A675" t="s">
        <v>1521</v>
      </c>
      <c r="B675" t="s">
        <v>1218</v>
      </c>
      <c r="C675" t="s">
        <v>1219</v>
      </c>
      <c r="D675" t="str">
        <f>HYPERLINK("http://service.sap.com/sap/support/notes/1565170","1565170")</f>
        <v>1565170</v>
      </c>
      <c r="E675">
        <v>4</v>
      </c>
      <c r="F675" t="s">
        <v>1220</v>
      </c>
    </row>
    <row r="676" spans="1:6" x14ac:dyDescent="0.25">
      <c r="A676" t="s">
        <v>1521</v>
      </c>
      <c r="B676" t="s">
        <v>1218</v>
      </c>
      <c r="C676" t="s">
        <v>1219</v>
      </c>
      <c r="D676" t="str">
        <f>HYPERLINK("http://service.sap.com/sap/support/notes/1601524","1601524")</f>
        <v>1601524</v>
      </c>
      <c r="E676">
        <v>3</v>
      </c>
      <c r="F676" t="s">
        <v>1221</v>
      </c>
    </row>
    <row r="677" spans="1:6" x14ac:dyDescent="0.25">
      <c r="A677" t="s">
        <v>1521</v>
      </c>
      <c r="B677" t="s">
        <v>1218</v>
      </c>
      <c r="C677" t="s">
        <v>1219</v>
      </c>
      <c r="D677" t="str">
        <f>HYPERLINK("http://service.sap.com/sap/support/notes/1606849","1606849")</f>
        <v>1606849</v>
      </c>
      <c r="E677">
        <v>1</v>
      </c>
      <c r="F677" t="s">
        <v>1222</v>
      </c>
    </row>
    <row r="678" spans="1:6" x14ac:dyDescent="0.25">
      <c r="A678" t="s">
        <v>1521</v>
      </c>
      <c r="B678" t="s">
        <v>1218</v>
      </c>
      <c r="C678" t="s">
        <v>1219</v>
      </c>
      <c r="D678" t="str">
        <f>HYPERLINK("http://service.sap.com/sap/support/notes/1610388","1610388")</f>
        <v>1610388</v>
      </c>
      <c r="E678">
        <v>3</v>
      </c>
      <c r="F678" t="s">
        <v>1223</v>
      </c>
    </row>
    <row r="679" spans="1:6" x14ac:dyDescent="0.25">
      <c r="A679" t="s">
        <v>1521</v>
      </c>
      <c r="B679" t="s">
        <v>1224</v>
      </c>
      <c r="C679" t="s">
        <v>1225</v>
      </c>
      <c r="D679" t="str">
        <f>HYPERLINK("http://service.sap.com/sap/support/notes/1596287","1596287")</f>
        <v>1596287</v>
      </c>
      <c r="E679">
        <v>3</v>
      </c>
      <c r="F679" t="s">
        <v>1226</v>
      </c>
    </row>
    <row r="680" spans="1:6" x14ac:dyDescent="0.25">
      <c r="A680" t="s">
        <v>1521</v>
      </c>
      <c r="B680" t="s">
        <v>1227</v>
      </c>
      <c r="C680" t="s">
        <v>1228</v>
      </c>
    </row>
    <row r="681" spans="1:6" x14ac:dyDescent="0.25">
      <c r="A681" t="s">
        <v>1521</v>
      </c>
      <c r="B681" t="s">
        <v>1229</v>
      </c>
      <c r="C681" t="s">
        <v>1230</v>
      </c>
      <c r="D681" t="str">
        <f>HYPERLINK("http://service.sap.com/sap/support/notes/1606480","1606480")</f>
        <v>1606480</v>
      </c>
      <c r="E681">
        <v>1</v>
      </c>
      <c r="F681" t="s">
        <v>1231</v>
      </c>
    </row>
    <row r="682" spans="1:6" x14ac:dyDescent="0.25">
      <c r="A682" t="s">
        <v>1521</v>
      </c>
      <c r="B682" t="s">
        <v>1232</v>
      </c>
      <c r="C682" t="s">
        <v>1233</v>
      </c>
      <c r="D682" t="str">
        <f>HYPERLINK("http://service.sap.com/sap/support/notes/1609529","1609529")</f>
        <v>1609529</v>
      </c>
      <c r="E682">
        <v>1</v>
      </c>
      <c r="F682" t="s">
        <v>1234</v>
      </c>
    </row>
    <row r="683" spans="1:6" x14ac:dyDescent="0.25">
      <c r="A683" t="s">
        <v>1521</v>
      </c>
      <c r="B683" t="s">
        <v>1232</v>
      </c>
      <c r="C683" t="s">
        <v>1233</v>
      </c>
      <c r="D683" t="str">
        <f>HYPERLINK("http://service.sap.com/sap/support/notes/1611628","1611628")</f>
        <v>1611628</v>
      </c>
      <c r="E683">
        <v>2</v>
      </c>
      <c r="F683" t="s">
        <v>1235</v>
      </c>
    </row>
    <row r="684" spans="1:6" x14ac:dyDescent="0.25">
      <c r="A684" t="s">
        <v>1521</v>
      </c>
      <c r="B684" t="s">
        <v>1236</v>
      </c>
      <c r="C684" t="s">
        <v>168</v>
      </c>
    </row>
    <row r="685" spans="1:6" x14ac:dyDescent="0.25">
      <c r="A685" t="s">
        <v>1521</v>
      </c>
      <c r="B685" t="s">
        <v>1237</v>
      </c>
      <c r="C685" t="s">
        <v>337</v>
      </c>
    </row>
    <row r="686" spans="1:6" x14ac:dyDescent="0.25">
      <c r="A686" t="s">
        <v>1521</v>
      </c>
      <c r="B686" t="s">
        <v>1238</v>
      </c>
      <c r="C686" t="s">
        <v>1239</v>
      </c>
      <c r="D686" t="str">
        <f>HYPERLINK("http://service.sap.com/sap/support/notes/1601363","1601363")</f>
        <v>1601363</v>
      </c>
      <c r="E686">
        <v>3</v>
      </c>
      <c r="F686" t="s">
        <v>1240</v>
      </c>
    </row>
    <row r="687" spans="1:6" x14ac:dyDescent="0.25">
      <c r="A687" t="s">
        <v>1521</v>
      </c>
      <c r="B687" t="s">
        <v>1238</v>
      </c>
      <c r="C687" t="s">
        <v>1239</v>
      </c>
      <c r="D687" t="str">
        <f>HYPERLINK("http://service.sap.com/sap/support/notes/1603372","1603372")</f>
        <v>1603372</v>
      </c>
      <c r="E687">
        <v>3</v>
      </c>
      <c r="F687" t="s">
        <v>1241</v>
      </c>
    </row>
    <row r="688" spans="1:6" x14ac:dyDescent="0.25">
      <c r="A688" t="s">
        <v>1521</v>
      </c>
      <c r="B688" t="s">
        <v>1238</v>
      </c>
      <c r="C688" t="s">
        <v>1239</v>
      </c>
      <c r="D688" t="str">
        <f>HYPERLINK("http://service.sap.com/sap/support/notes/1616838","1616838")</f>
        <v>1616838</v>
      </c>
      <c r="E688">
        <v>2</v>
      </c>
      <c r="F688" t="s">
        <v>1242</v>
      </c>
    </row>
    <row r="689" spans="1:6" x14ac:dyDescent="0.25">
      <c r="A689" t="s">
        <v>1521</v>
      </c>
      <c r="B689" t="s">
        <v>1243</v>
      </c>
      <c r="C689" t="s">
        <v>1244</v>
      </c>
      <c r="D689" t="str">
        <f>HYPERLINK("http://service.sap.com/sap/support/notes/1555799","1555799")</f>
        <v>1555799</v>
      </c>
      <c r="E689">
        <v>3</v>
      </c>
      <c r="F689" t="s">
        <v>1245</v>
      </c>
    </row>
    <row r="690" spans="1:6" x14ac:dyDescent="0.25">
      <c r="A690" t="s">
        <v>1521</v>
      </c>
      <c r="B690" t="s">
        <v>1246</v>
      </c>
      <c r="C690" t="s">
        <v>1247</v>
      </c>
      <c r="D690" t="str">
        <f>HYPERLINK("http://service.sap.com/sap/support/notes/1613888","1613888")</f>
        <v>1613888</v>
      </c>
      <c r="E690">
        <v>4</v>
      </c>
      <c r="F690" t="s">
        <v>1248</v>
      </c>
    </row>
    <row r="691" spans="1:6" x14ac:dyDescent="0.25">
      <c r="A691" t="s">
        <v>1521</v>
      </c>
      <c r="B691" t="s">
        <v>1249</v>
      </c>
      <c r="C691" t="s">
        <v>563</v>
      </c>
      <c r="D691" t="str">
        <f>HYPERLINK("http://service.sap.com/sap/support/notes/1590471","1590471")</f>
        <v>1590471</v>
      </c>
      <c r="E691">
        <v>7</v>
      </c>
      <c r="F691" t="s">
        <v>1250</v>
      </c>
    </row>
    <row r="692" spans="1:6" x14ac:dyDescent="0.25">
      <c r="A692" t="s">
        <v>1521</v>
      </c>
      <c r="B692" t="s">
        <v>1249</v>
      </c>
      <c r="C692" t="s">
        <v>563</v>
      </c>
      <c r="D692" t="str">
        <f>HYPERLINK("http://service.sap.com/sap/support/notes/1596213","1596213")</f>
        <v>1596213</v>
      </c>
      <c r="E692">
        <v>3</v>
      </c>
      <c r="F692" t="s">
        <v>1251</v>
      </c>
    </row>
    <row r="693" spans="1:6" x14ac:dyDescent="0.25">
      <c r="A693" t="s">
        <v>1521</v>
      </c>
      <c r="B693" t="s">
        <v>1249</v>
      </c>
      <c r="C693" t="s">
        <v>563</v>
      </c>
      <c r="D693" t="str">
        <f>HYPERLINK("http://service.sap.com/sap/support/notes/1597770","1597770")</f>
        <v>1597770</v>
      </c>
      <c r="E693">
        <v>4</v>
      </c>
      <c r="F693" t="s">
        <v>1252</v>
      </c>
    </row>
    <row r="694" spans="1:6" x14ac:dyDescent="0.25">
      <c r="A694" t="s">
        <v>1521</v>
      </c>
      <c r="B694" t="s">
        <v>1249</v>
      </c>
      <c r="C694" t="s">
        <v>563</v>
      </c>
      <c r="D694" t="str">
        <f>HYPERLINK("http://service.sap.com/sap/support/notes/1600508","1600508")</f>
        <v>1600508</v>
      </c>
      <c r="E694">
        <v>2</v>
      </c>
      <c r="F694" t="s">
        <v>1253</v>
      </c>
    </row>
    <row r="695" spans="1:6" x14ac:dyDescent="0.25">
      <c r="A695" t="s">
        <v>1521</v>
      </c>
      <c r="B695" t="s">
        <v>1254</v>
      </c>
      <c r="C695" t="s">
        <v>1255</v>
      </c>
      <c r="D695" t="str">
        <f>HYPERLINK("http://service.sap.com/sap/support/notes/1606067","1606067")</f>
        <v>1606067</v>
      </c>
      <c r="E695">
        <v>1</v>
      </c>
      <c r="F695" t="s">
        <v>1256</v>
      </c>
    </row>
    <row r="696" spans="1:6" x14ac:dyDescent="0.25">
      <c r="A696" t="s">
        <v>1521</v>
      </c>
      <c r="B696" t="s">
        <v>1254</v>
      </c>
      <c r="C696" t="s">
        <v>1255</v>
      </c>
      <c r="D696" t="str">
        <f>HYPERLINK("http://service.sap.com/sap/support/notes/1610178","1610178")</f>
        <v>1610178</v>
      </c>
      <c r="E696">
        <v>1</v>
      </c>
      <c r="F696" t="s">
        <v>1257</v>
      </c>
    </row>
    <row r="697" spans="1:6" x14ac:dyDescent="0.25">
      <c r="A697" t="s">
        <v>1521</v>
      </c>
      <c r="B697" t="s">
        <v>1258</v>
      </c>
      <c r="C697" t="s">
        <v>1259</v>
      </c>
    </row>
    <row r="698" spans="1:6" x14ac:dyDescent="0.25">
      <c r="A698" t="s">
        <v>1521</v>
      </c>
      <c r="B698" t="s">
        <v>1260</v>
      </c>
      <c r="C698" t="s">
        <v>337</v>
      </c>
    </row>
    <row r="699" spans="1:6" x14ac:dyDescent="0.25">
      <c r="A699" t="s">
        <v>1521</v>
      </c>
      <c r="B699" t="s">
        <v>1261</v>
      </c>
      <c r="C699" t="s">
        <v>1262</v>
      </c>
      <c r="D699" t="str">
        <f>HYPERLINK("http://service.sap.com/sap/support/notes/1614021","1614021")</f>
        <v>1614021</v>
      </c>
      <c r="E699">
        <v>4</v>
      </c>
      <c r="F699" t="s">
        <v>1263</v>
      </c>
    </row>
    <row r="700" spans="1:6" x14ac:dyDescent="0.25">
      <c r="A700" t="s">
        <v>1521</v>
      </c>
      <c r="B700" t="s">
        <v>1264</v>
      </c>
      <c r="C700" t="s">
        <v>1265</v>
      </c>
      <c r="D700" t="str">
        <f>HYPERLINK("http://service.sap.com/sap/support/notes/1605588","1605588")</f>
        <v>1605588</v>
      </c>
      <c r="E700">
        <v>2</v>
      </c>
      <c r="F700" t="s">
        <v>1266</v>
      </c>
    </row>
    <row r="701" spans="1:6" x14ac:dyDescent="0.25">
      <c r="A701" t="s">
        <v>1521</v>
      </c>
      <c r="B701" t="s">
        <v>1264</v>
      </c>
      <c r="C701" t="s">
        <v>1265</v>
      </c>
      <c r="D701" t="str">
        <f>HYPERLINK("http://service.sap.com/sap/support/notes/1611830","1611830")</f>
        <v>1611830</v>
      </c>
      <c r="E701">
        <v>2</v>
      </c>
      <c r="F701" t="s">
        <v>1267</v>
      </c>
    </row>
    <row r="702" spans="1:6" x14ac:dyDescent="0.25">
      <c r="A702" t="s">
        <v>1521</v>
      </c>
      <c r="B702" t="s">
        <v>1268</v>
      </c>
      <c r="C702" t="s">
        <v>1269</v>
      </c>
      <c r="D702" t="str">
        <f>HYPERLINK("http://service.sap.com/sap/support/notes/1604681","1604681")</f>
        <v>1604681</v>
      </c>
      <c r="E702">
        <v>4</v>
      </c>
      <c r="F702" t="s">
        <v>1270</v>
      </c>
    </row>
    <row r="703" spans="1:6" x14ac:dyDescent="0.25">
      <c r="A703" t="s">
        <v>1521</v>
      </c>
      <c r="B703" t="s">
        <v>1268</v>
      </c>
      <c r="C703" t="s">
        <v>1269</v>
      </c>
      <c r="D703" t="str">
        <f>HYPERLINK("http://service.sap.com/sap/support/notes/1605283","1605283")</f>
        <v>1605283</v>
      </c>
      <c r="E703">
        <v>3</v>
      </c>
      <c r="F703" t="s">
        <v>1271</v>
      </c>
    </row>
    <row r="704" spans="1:6" x14ac:dyDescent="0.25">
      <c r="A704" t="s">
        <v>1521</v>
      </c>
      <c r="B704" t="s">
        <v>1272</v>
      </c>
      <c r="C704" t="s">
        <v>1273</v>
      </c>
      <c r="D704" t="str">
        <f>HYPERLINK("http://service.sap.com/sap/support/notes/1558061","1558061")</f>
        <v>1558061</v>
      </c>
      <c r="E704">
        <v>3</v>
      </c>
      <c r="F704" t="s">
        <v>1274</v>
      </c>
    </row>
    <row r="705" spans="1:6" x14ac:dyDescent="0.25">
      <c r="A705" t="s">
        <v>1521</v>
      </c>
      <c r="B705" t="s">
        <v>1275</v>
      </c>
      <c r="C705" t="s">
        <v>1276</v>
      </c>
      <c r="D705" t="str">
        <f>HYPERLINK("http://service.sap.com/sap/support/notes/1605648","1605648")</f>
        <v>1605648</v>
      </c>
      <c r="E705">
        <v>3</v>
      </c>
      <c r="F705" t="s">
        <v>1277</v>
      </c>
    </row>
    <row r="706" spans="1:6" x14ac:dyDescent="0.25">
      <c r="A706" t="s">
        <v>1521</v>
      </c>
      <c r="B706" t="s">
        <v>1278</v>
      </c>
      <c r="C706" t="s">
        <v>1279</v>
      </c>
      <c r="D706" t="str">
        <f>HYPERLINK("http://service.sap.com/sap/support/notes/1600345","1600345")</f>
        <v>1600345</v>
      </c>
      <c r="E706">
        <v>4</v>
      </c>
      <c r="F706" t="s">
        <v>1280</v>
      </c>
    </row>
    <row r="707" spans="1:6" x14ac:dyDescent="0.25">
      <c r="A707" t="s">
        <v>1521</v>
      </c>
      <c r="B707" t="s">
        <v>1281</v>
      </c>
      <c r="C707" t="s">
        <v>1282</v>
      </c>
      <c r="D707" t="str">
        <f>HYPERLINK("http://service.sap.com/sap/support/notes/1606469","1606469")</f>
        <v>1606469</v>
      </c>
      <c r="E707">
        <v>3</v>
      </c>
      <c r="F707" t="s">
        <v>1283</v>
      </c>
    </row>
    <row r="708" spans="1:6" x14ac:dyDescent="0.25">
      <c r="A708" t="s">
        <v>1521</v>
      </c>
      <c r="B708" t="s">
        <v>1284</v>
      </c>
      <c r="C708" t="s">
        <v>1285</v>
      </c>
      <c r="D708" t="str">
        <f>HYPERLINK("http://service.sap.com/sap/support/notes/1610402","1610402")</f>
        <v>1610402</v>
      </c>
      <c r="E708">
        <v>3</v>
      </c>
      <c r="F708" t="s">
        <v>1286</v>
      </c>
    </row>
    <row r="709" spans="1:6" x14ac:dyDescent="0.25">
      <c r="A709" t="s">
        <v>1521</v>
      </c>
      <c r="B709" t="s">
        <v>1287</v>
      </c>
      <c r="C709" t="s">
        <v>1288</v>
      </c>
    </row>
    <row r="710" spans="1:6" x14ac:dyDescent="0.25">
      <c r="A710" t="s">
        <v>1521</v>
      </c>
      <c r="B710" t="s">
        <v>1289</v>
      </c>
      <c r="C710" t="s">
        <v>1290</v>
      </c>
    </row>
    <row r="711" spans="1:6" x14ac:dyDescent="0.25">
      <c r="A711" t="s">
        <v>1521</v>
      </c>
      <c r="B711" t="s">
        <v>1291</v>
      </c>
      <c r="C711" t="s">
        <v>1292</v>
      </c>
      <c r="D711" t="str">
        <f>HYPERLINK("http://service.sap.com/sap/support/notes/1607015","1607015")</f>
        <v>1607015</v>
      </c>
      <c r="E711">
        <v>6</v>
      </c>
      <c r="F711" t="s">
        <v>1293</v>
      </c>
    </row>
    <row r="712" spans="1:6" x14ac:dyDescent="0.25">
      <c r="A712" t="s">
        <v>1521</v>
      </c>
      <c r="B712" t="s">
        <v>1291</v>
      </c>
      <c r="C712" t="s">
        <v>1292</v>
      </c>
      <c r="D712" t="str">
        <f>HYPERLINK("http://service.sap.com/sap/support/notes/1616714","1616714")</f>
        <v>1616714</v>
      </c>
      <c r="E712">
        <v>2</v>
      </c>
      <c r="F712" t="s">
        <v>1294</v>
      </c>
    </row>
    <row r="713" spans="1:6" x14ac:dyDescent="0.25">
      <c r="A713" t="s">
        <v>1521</v>
      </c>
      <c r="B713" t="s">
        <v>1295</v>
      </c>
      <c r="C713" t="s">
        <v>1296</v>
      </c>
    </row>
    <row r="714" spans="1:6" x14ac:dyDescent="0.25">
      <c r="A714" t="s">
        <v>1521</v>
      </c>
      <c r="B714" t="s">
        <v>1297</v>
      </c>
      <c r="C714" t="s">
        <v>1298</v>
      </c>
      <c r="D714" t="str">
        <f>HYPERLINK("http://service.sap.com/sap/support/notes/1583419","1583419")</f>
        <v>1583419</v>
      </c>
      <c r="E714">
        <v>2</v>
      </c>
      <c r="F714" t="s">
        <v>1299</v>
      </c>
    </row>
    <row r="715" spans="1:6" x14ac:dyDescent="0.25">
      <c r="A715" t="s">
        <v>1521</v>
      </c>
      <c r="B715" t="s">
        <v>1300</v>
      </c>
      <c r="C715" t="s">
        <v>1301</v>
      </c>
      <c r="D715" t="str">
        <f>HYPERLINK("http://service.sap.com/sap/support/notes/1597659","1597659")</f>
        <v>1597659</v>
      </c>
      <c r="E715">
        <v>3</v>
      </c>
      <c r="F715" t="s">
        <v>1302</v>
      </c>
    </row>
    <row r="716" spans="1:6" x14ac:dyDescent="0.25">
      <c r="A716" t="s">
        <v>1521</v>
      </c>
      <c r="B716" t="s">
        <v>1303</v>
      </c>
      <c r="C716" t="s">
        <v>1304</v>
      </c>
      <c r="D716" t="str">
        <f>HYPERLINK("http://service.sap.com/sap/support/notes/1611932","1611932")</f>
        <v>1611932</v>
      </c>
      <c r="E716">
        <v>1</v>
      </c>
      <c r="F716" t="s">
        <v>1305</v>
      </c>
    </row>
    <row r="717" spans="1:6" x14ac:dyDescent="0.25">
      <c r="A717" t="s">
        <v>1521</v>
      </c>
      <c r="B717" t="s">
        <v>1306</v>
      </c>
      <c r="C717" t="s">
        <v>14</v>
      </c>
    </row>
    <row r="718" spans="1:6" x14ac:dyDescent="0.25">
      <c r="A718" t="s">
        <v>1521</v>
      </c>
      <c r="B718" t="s">
        <v>1307</v>
      </c>
      <c r="C718" t="s">
        <v>1308</v>
      </c>
      <c r="D718" t="str">
        <f>HYPERLINK("http://service.sap.com/sap/support/notes/1562592","1562592")</f>
        <v>1562592</v>
      </c>
      <c r="E718">
        <v>4</v>
      </c>
      <c r="F718" t="s">
        <v>1309</v>
      </c>
    </row>
    <row r="719" spans="1:6" x14ac:dyDescent="0.25">
      <c r="A719" t="s">
        <v>1521</v>
      </c>
      <c r="B719" t="s">
        <v>1307</v>
      </c>
      <c r="C719" t="s">
        <v>1308</v>
      </c>
      <c r="D719" t="str">
        <f>HYPERLINK("http://service.sap.com/sap/support/notes/1620983","1620983")</f>
        <v>1620983</v>
      </c>
      <c r="E719">
        <v>1</v>
      </c>
      <c r="F719" t="s">
        <v>1310</v>
      </c>
    </row>
    <row r="720" spans="1:6" x14ac:dyDescent="0.25">
      <c r="A720" t="s">
        <v>1521</v>
      </c>
      <c r="B720" t="s">
        <v>1311</v>
      </c>
      <c r="C720" t="s">
        <v>1312</v>
      </c>
    </row>
    <row r="721" spans="1:6" x14ac:dyDescent="0.25">
      <c r="A721" t="s">
        <v>1521</v>
      </c>
      <c r="B721" t="s">
        <v>1313</v>
      </c>
      <c r="C721" t="s">
        <v>1314</v>
      </c>
      <c r="D721" t="str">
        <f>HYPERLINK("http://service.sap.com/sap/support/notes/1587939","1587939")</f>
        <v>1587939</v>
      </c>
      <c r="E721">
        <v>5</v>
      </c>
      <c r="F721" t="s">
        <v>1315</v>
      </c>
    </row>
    <row r="722" spans="1:6" x14ac:dyDescent="0.25">
      <c r="A722" t="s">
        <v>1521</v>
      </c>
      <c r="B722" t="s">
        <v>1313</v>
      </c>
      <c r="C722" t="s">
        <v>1314</v>
      </c>
      <c r="D722" t="str">
        <f>HYPERLINK("http://service.sap.com/sap/support/notes/1615383","1615383")</f>
        <v>1615383</v>
      </c>
      <c r="E722">
        <v>3</v>
      </c>
      <c r="F722" t="s">
        <v>1316</v>
      </c>
    </row>
    <row r="723" spans="1:6" x14ac:dyDescent="0.25">
      <c r="A723" t="s">
        <v>1521</v>
      </c>
      <c r="B723" t="s">
        <v>1317</v>
      </c>
      <c r="C723" t="s">
        <v>170</v>
      </c>
      <c r="D723" t="str">
        <f>HYPERLINK("http://service.sap.com/sap/support/notes/1580695","1580695")</f>
        <v>1580695</v>
      </c>
      <c r="E723">
        <v>2</v>
      </c>
      <c r="F723" t="s">
        <v>1318</v>
      </c>
    </row>
    <row r="724" spans="1:6" x14ac:dyDescent="0.25">
      <c r="A724" t="s">
        <v>1521</v>
      </c>
      <c r="B724" t="s">
        <v>1317</v>
      </c>
      <c r="C724" t="s">
        <v>170</v>
      </c>
      <c r="D724" t="str">
        <f>HYPERLINK("http://service.sap.com/sap/support/notes/1606444","1606444")</f>
        <v>1606444</v>
      </c>
      <c r="E724">
        <v>1</v>
      </c>
      <c r="F724" t="s">
        <v>1319</v>
      </c>
    </row>
    <row r="725" spans="1:6" x14ac:dyDescent="0.25">
      <c r="A725" t="s">
        <v>1521</v>
      </c>
      <c r="B725" t="s">
        <v>1317</v>
      </c>
      <c r="C725" t="s">
        <v>170</v>
      </c>
      <c r="D725" t="str">
        <f>HYPERLINK("http://service.sap.com/sap/support/notes/1608224","1608224")</f>
        <v>1608224</v>
      </c>
      <c r="E725">
        <v>2</v>
      </c>
      <c r="F725" t="s">
        <v>1320</v>
      </c>
    </row>
    <row r="726" spans="1:6" x14ac:dyDescent="0.25">
      <c r="A726" t="s">
        <v>1521</v>
      </c>
      <c r="B726" t="s">
        <v>1317</v>
      </c>
      <c r="C726" t="s">
        <v>170</v>
      </c>
      <c r="D726" t="str">
        <f>HYPERLINK("http://service.sap.com/sap/support/notes/1609129","1609129")</f>
        <v>1609129</v>
      </c>
      <c r="E726">
        <v>2</v>
      </c>
      <c r="F726" t="s">
        <v>1321</v>
      </c>
    </row>
    <row r="727" spans="1:6" x14ac:dyDescent="0.25">
      <c r="A727" t="s">
        <v>1521</v>
      </c>
      <c r="B727" t="s">
        <v>1322</v>
      </c>
      <c r="C727" t="s">
        <v>869</v>
      </c>
      <c r="D727" t="str">
        <f>HYPERLINK("http://service.sap.com/sap/support/notes/1613166","1613166")</f>
        <v>1613166</v>
      </c>
      <c r="E727">
        <v>2</v>
      </c>
      <c r="F727" t="s">
        <v>1323</v>
      </c>
    </row>
    <row r="728" spans="1:6" x14ac:dyDescent="0.25">
      <c r="A728" t="s">
        <v>1521</v>
      </c>
      <c r="B728" t="s">
        <v>1324</v>
      </c>
      <c r="C728" t="s">
        <v>337</v>
      </c>
    </row>
    <row r="729" spans="1:6" x14ac:dyDescent="0.25">
      <c r="A729" t="s">
        <v>1521</v>
      </c>
      <c r="B729" t="s">
        <v>1325</v>
      </c>
      <c r="C729" t="s">
        <v>1326</v>
      </c>
      <c r="D729" t="str">
        <f>HYPERLINK("http://service.sap.com/sap/support/notes/1611725","1611725")</f>
        <v>1611725</v>
      </c>
      <c r="E729">
        <v>1</v>
      </c>
      <c r="F729" t="s">
        <v>1327</v>
      </c>
    </row>
    <row r="730" spans="1:6" x14ac:dyDescent="0.25">
      <c r="A730" t="s">
        <v>1521</v>
      </c>
      <c r="B730" t="s">
        <v>1325</v>
      </c>
      <c r="C730" t="s">
        <v>1326</v>
      </c>
      <c r="D730" t="str">
        <f>HYPERLINK("http://service.sap.com/sap/support/notes/1611974","1611974")</f>
        <v>1611974</v>
      </c>
      <c r="E730">
        <v>2</v>
      </c>
      <c r="F730" t="s">
        <v>1328</v>
      </c>
    </row>
    <row r="731" spans="1:6" x14ac:dyDescent="0.25">
      <c r="A731" t="s">
        <v>1521</v>
      </c>
      <c r="B731" t="s">
        <v>1329</v>
      </c>
      <c r="C731" t="s">
        <v>1330</v>
      </c>
      <c r="D731" t="str">
        <f>HYPERLINK("http://service.sap.com/sap/support/notes/1581300","1581300")</f>
        <v>1581300</v>
      </c>
      <c r="E731">
        <v>2</v>
      </c>
      <c r="F731" t="s">
        <v>1331</v>
      </c>
    </row>
    <row r="732" spans="1:6" x14ac:dyDescent="0.25">
      <c r="A732" t="s">
        <v>1521</v>
      </c>
      <c r="B732" t="s">
        <v>1329</v>
      </c>
      <c r="C732" t="s">
        <v>1330</v>
      </c>
      <c r="D732" t="str">
        <f>HYPERLINK("http://service.sap.com/sap/support/notes/1603960","1603960")</f>
        <v>1603960</v>
      </c>
      <c r="E732">
        <v>3</v>
      </c>
      <c r="F732" t="s">
        <v>1332</v>
      </c>
    </row>
    <row r="733" spans="1:6" x14ac:dyDescent="0.25">
      <c r="A733" t="s">
        <v>1521</v>
      </c>
      <c r="B733" t="s">
        <v>1329</v>
      </c>
      <c r="C733" t="s">
        <v>1330</v>
      </c>
      <c r="D733" t="str">
        <f>HYPERLINK("http://service.sap.com/sap/support/notes/1605439","1605439")</f>
        <v>1605439</v>
      </c>
      <c r="E733">
        <v>2</v>
      </c>
      <c r="F733" t="s">
        <v>1333</v>
      </c>
    </row>
    <row r="734" spans="1:6" x14ac:dyDescent="0.25">
      <c r="A734" t="s">
        <v>1521</v>
      </c>
      <c r="B734" t="s">
        <v>1329</v>
      </c>
      <c r="C734" t="s">
        <v>1330</v>
      </c>
      <c r="D734" t="str">
        <f>HYPERLINK("http://service.sap.com/sap/support/notes/1605818","1605818")</f>
        <v>1605818</v>
      </c>
      <c r="E734">
        <v>4</v>
      </c>
      <c r="F734" t="s">
        <v>1334</v>
      </c>
    </row>
    <row r="735" spans="1:6" x14ac:dyDescent="0.25">
      <c r="A735" t="s">
        <v>1521</v>
      </c>
      <c r="B735" t="s">
        <v>1335</v>
      </c>
      <c r="C735" t="s">
        <v>1336</v>
      </c>
      <c r="D735" t="str">
        <f>HYPERLINK("http://service.sap.com/sap/support/notes/1597675","1597675")</f>
        <v>1597675</v>
      </c>
      <c r="E735">
        <v>2</v>
      </c>
      <c r="F735" t="s">
        <v>1337</v>
      </c>
    </row>
    <row r="736" spans="1:6" x14ac:dyDescent="0.25">
      <c r="A736" t="s">
        <v>1521</v>
      </c>
      <c r="B736" t="s">
        <v>1338</v>
      </c>
      <c r="C736" t="s">
        <v>1339</v>
      </c>
    </row>
    <row r="737" spans="1:6" x14ac:dyDescent="0.25">
      <c r="A737" t="s">
        <v>1521</v>
      </c>
      <c r="B737" t="s">
        <v>1340</v>
      </c>
      <c r="C737" t="s">
        <v>1341</v>
      </c>
      <c r="D737" t="str">
        <f>HYPERLINK("http://service.sap.com/sap/support/notes/1602518","1602518")</f>
        <v>1602518</v>
      </c>
      <c r="E737">
        <v>1</v>
      </c>
      <c r="F737" t="s">
        <v>1342</v>
      </c>
    </row>
    <row r="738" spans="1:6" x14ac:dyDescent="0.25">
      <c r="A738" t="s">
        <v>1521</v>
      </c>
      <c r="B738" t="s">
        <v>1343</v>
      </c>
      <c r="C738" t="s">
        <v>1344</v>
      </c>
      <c r="D738" t="str">
        <f>HYPERLINK("http://service.sap.com/sap/support/notes/1604177","1604177")</f>
        <v>1604177</v>
      </c>
      <c r="E738">
        <v>3</v>
      </c>
      <c r="F738" t="s">
        <v>1345</v>
      </c>
    </row>
    <row r="739" spans="1:6" x14ac:dyDescent="0.25">
      <c r="A739" t="s">
        <v>1521</v>
      </c>
      <c r="B739" t="s">
        <v>1343</v>
      </c>
      <c r="C739" t="s">
        <v>1344</v>
      </c>
      <c r="D739" t="str">
        <f>HYPERLINK("http://service.sap.com/sap/support/notes/1610517","1610517")</f>
        <v>1610517</v>
      </c>
      <c r="E739">
        <v>1</v>
      </c>
      <c r="F739" t="s">
        <v>1346</v>
      </c>
    </row>
    <row r="740" spans="1:6" x14ac:dyDescent="0.25">
      <c r="A740" t="s">
        <v>1521</v>
      </c>
      <c r="B740" t="s">
        <v>1347</v>
      </c>
      <c r="C740" t="s">
        <v>1348</v>
      </c>
      <c r="D740" t="str">
        <f>HYPERLINK("http://service.sap.com/sap/support/notes/1610516","1610516")</f>
        <v>1610516</v>
      </c>
      <c r="E740">
        <v>1</v>
      </c>
      <c r="F740" t="s">
        <v>1349</v>
      </c>
    </row>
    <row r="741" spans="1:6" x14ac:dyDescent="0.25">
      <c r="A741" t="s">
        <v>1521</v>
      </c>
      <c r="B741" t="s">
        <v>1350</v>
      </c>
      <c r="C741" t="s">
        <v>1351</v>
      </c>
    </row>
    <row r="742" spans="1:6" x14ac:dyDescent="0.25">
      <c r="A742" t="s">
        <v>1521</v>
      </c>
      <c r="B742" t="s">
        <v>1352</v>
      </c>
      <c r="C742" t="s">
        <v>117</v>
      </c>
    </row>
    <row r="743" spans="1:6" x14ac:dyDescent="0.25">
      <c r="A743" t="s">
        <v>1521</v>
      </c>
      <c r="B743" t="s">
        <v>1353</v>
      </c>
      <c r="C743" t="s">
        <v>1354</v>
      </c>
      <c r="D743" t="str">
        <f>HYPERLINK("http://service.sap.com/sap/support/notes/1601233","1601233")</f>
        <v>1601233</v>
      </c>
      <c r="E743">
        <v>4</v>
      </c>
      <c r="F743" t="s">
        <v>1355</v>
      </c>
    </row>
    <row r="744" spans="1:6" x14ac:dyDescent="0.25">
      <c r="A744" t="s">
        <v>1521</v>
      </c>
      <c r="B744" t="s">
        <v>1356</v>
      </c>
      <c r="C744" t="s">
        <v>1357</v>
      </c>
    </row>
    <row r="745" spans="1:6" x14ac:dyDescent="0.25">
      <c r="A745" t="s">
        <v>1521</v>
      </c>
      <c r="B745" t="s">
        <v>1358</v>
      </c>
      <c r="C745" t="s">
        <v>1359</v>
      </c>
      <c r="D745" t="str">
        <f>HYPERLINK("http://service.sap.com/sap/support/notes/1597510","1597510")</f>
        <v>1597510</v>
      </c>
      <c r="E745">
        <v>1</v>
      </c>
      <c r="F745" t="s">
        <v>1360</v>
      </c>
    </row>
    <row r="746" spans="1:6" x14ac:dyDescent="0.25">
      <c r="A746" t="s">
        <v>1521</v>
      </c>
      <c r="B746" t="s">
        <v>1361</v>
      </c>
      <c r="C746" t="s">
        <v>1362</v>
      </c>
    </row>
    <row r="747" spans="1:6" x14ac:dyDescent="0.25">
      <c r="A747" t="s">
        <v>1521</v>
      </c>
      <c r="B747" t="s">
        <v>1363</v>
      </c>
      <c r="C747" t="s">
        <v>1364</v>
      </c>
    </row>
    <row r="748" spans="1:6" x14ac:dyDescent="0.25">
      <c r="A748" t="s">
        <v>1521</v>
      </c>
      <c r="B748" t="s">
        <v>1365</v>
      </c>
      <c r="C748" t="s">
        <v>1366</v>
      </c>
      <c r="D748" t="str">
        <f>HYPERLINK("http://service.sap.com/sap/support/notes/1608192","1608192")</f>
        <v>1608192</v>
      </c>
      <c r="E748">
        <v>2</v>
      </c>
      <c r="F748" t="s">
        <v>1367</v>
      </c>
    </row>
    <row r="749" spans="1:6" x14ac:dyDescent="0.25">
      <c r="A749" t="s">
        <v>1521</v>
      </c>
      <c r="B749" t="s">
        <v>39</v>
      </c>
      <c r="C749" t="s">
        <v>40</v>
      </c>
    </row>
    <row r="750" spans="1:6" x14ac:dyDescent="0.25">
      <c r="A750" t="s">
        <v>1521</v>
      </c>
      <c r="B750" t="s">
        <v>1368</v>
      </c>
      <c r="C750" t="s">
        <v>1369</v>
      </c>
    </row>
    <row r="751" spans="1:6" x14ac:dyDescent="0.25">
      <c r="A751" t="s">
        <v>1521</v>
      </c>
      <c r="B751" t="s">
        <v>1370</v>
      </c>
      <c r="C751" t="s">
        <v>1371</v>
      </c>
    </row>
    <row r="752" spans="1:6" x14ac:dyDescent="0.25">
      <c r="A752" t="s">
        <v>1521</v>
      </c>
      <c r="B752" t="s">
        <v>1372</v>
      </c>
      <c r="C752" t="s">
        <v>1373</v>
      </c>
      <c r="D752" t="str">
        <f>HYPERLINK("http://service.sap.com/sap/support/notes/1599026","1599026")</f>
        <v>1599026</v>
      </c>
      <c r="E752">
        <v>5</v>
      </c>
      <c r="F752" t="s">
        <v>1374</v>
      </c>
    </row>
    <row r="753" spans="1:6" x14ac:dyDescent="0.25">
      <c r="A753" t="s">
        <v>1521</v>
      </c>
      <c r="B753" t="s">
        <v>1375</v>
      </c>
      <c r="C753" t="s">
        <v>1376</v>
      </c>
    </row>
    <row r="754" spans="1:6" x14ac:dyDescent="0.25">
      <c r="A754" t="s">
        <v>1521</v>
      </c>
      <c r="B754" t="s">
        <v>1377</v>
      </c>
      <c r="C754" t="s">
        <v>1373</v>
      </c>
      <c r="D754" t="str">
        <f>HYPERLINK("http://service.sap.com/sap/support/notes/1603699","1603699")</f>
        <v>1603699</v>
      </c>
      <c r="E754">
        <v>5</v>
      </c>
      <c r="F754" t="s">
        <v>1378</v>
      </c>
    </row>
    <row r="755" spans="1:6" x14ac:dyDescent="0.25">
      <c r="A755" t="s">
        <v>1521</v>
      </c>
      <c r="B755" t="s">
        <v>1379</v>
      </c>
      <c r="C755" t="s">
        <v>1380</v>
      </c>
      <c r="D755" t="str">
        <f>HYPERLINK("http://service.sap.com/sap/support/notes/1598902","1598902")</f>
        <v>1598902</v>
      </c>
      <c r="E755">
        <v>1</v>
      </c>
      <c r="F755" t="s">
        <v>1381</v>
      </c>
    </row>
    <row r="756" spans="1:6" x14ac:dyDescent="0.25">
      <c r="A756" t="s">
        <v>1521</v>
      </c>
      <c r="B756" t="s">
        <v>1382</v>
      </c>
      <c r="C756" t="s">
        <v>141</v>
      </c>
      <c r="D756" t="str">
        <f>HYPERLINK("http://service.sap.com/sap/support/notes/1595344","1595344")</f>
        <v>1595344</v>
      </c>
      <c r="E756">
        <v>1</v>
      </c>
      <c r="F756" t="s">
        <v>1383</v>
      </c>
    </row>
    <row r="757" spans="1:6" x14ac:dyDescent="0.25">
      <c r="A757" t="s">
        <v>1521</v>
      </c>
      <c r="B757" t="s">
        <v>1382</v>
      </c>
      <c r="C757" t="s">
        <v>141</v>
      </c>
      <c r="D757" t="str">
        <f>HYPERLINK("http://service.sap.com/sap/support/notes/1608860","1608860")</f>
        <v>1608860</v>
      </c>
      <c r="E757">
        <v>1</v>
      </c>
      <c r="F757" t="s">
        <v>1384</v>
      </c>
    </row>
    <row r="758" spans="1:6" x14ac:dyDescent="0.25">
      <c r="A758" t="s">
        <v>1521</v>
      </c>
      <c r="B758" t="s">
        <v>1385</v>
      </c>
      <c r="C758" t="s">
        <v>1386</v>
      </c>
      <c r="D758" t="str">
        <f>HYPERLINK("http://service.sap.com/sap/support/notes/1566913","1566913")</f>
        <v>1566913</v>
      </c>
      <c r="E758">
        <v>2</v>
      </c>
      <c r="F758" t="s">
        <v>1387</v>
      </c>
    </row>
    <row r="759" spans="1:6" x14ac:dyDescent="0.25">
      <c r="A759" t="s">
        <v>1521</v>
      </c>
      <c r="B759" t="s">
        <v>1385</v>
      </c>
      <c r="C759" t="s">
        <v>1386</v>
      </c>
      <c r="D759" t="str">
        <f>HYPERLINK("http://service.sap.com/sap/support/notes/1601955","1601955")</f>
        <v>1601955</v>
      </c>
      <c r="E759">
        <v>1</v>
      </c>
      <c r="F759" t="s">
        <v>1388</v>
      </c>
    </row>
    <row r="760" spans="1:6" x14ac:dyDescent="0.25">
      <c r="A760" t="s">
        <v>1521</v>
      </c>
      <c r="B760" t="s">
        <v>1385</v>
      </c>
      <c r="C760" t="s">
        <v>1386</v>
      </c>
      <c r="D760" t="str">
        <f>HYPERLINK("http://service.sap.com/sap/support/notes/1604122","1604122")</f>
        <v>1604122</v>
      </c>
      <c r="E760">
        <v>1</v>
      </c>
      <c r="F760" t="s">
        <v>1389</v>
      </c>
    </row>
    <row r="761" spans="1:6" x14ac:dyDescent="0.25">
      <c r="A761" t="s">
        <v>1521</v>
      </c>
      <c r="B761" t="s">
        <v>1385</v>
      </c>
      <c r="C761" t="s">
        <v>1386</v>
      </c>
      <c r="D761" t="str">
        <f>HYPERLINK("http://service.sap.com/sap/support/notes/1604438","1604438")</f>
        <v>1604438</v>
      </c>
      <c r="E761">
        <v>1</v>
      </c>
      <c r="F761" t="s">
        <v>1390</v>
      </c>
    </row>
    <row r="762" spans="1:6" x14ac:dyDescent="0.25">
      <c r="A762" t="s">
        <v>1521</v>
      </c>
      <c r="B762" t="s">
        <v>1385</v>
      </c>
      <c r="C762" t="s">
        <v>1386</v>
      </c>
      <c r="D762" t="str">
        <f>HYPERLINK("http://service.sap.com/sap/support/notes/1605454","1605454")</f>
        <v>1605454</v>
      </c>
      <c r="E762">
        <v>1</v>
      </c>
      <c r="F762" t="s">
        <v>1391</v>
      </c>
    </row>
    <row r="763" spans="1:6" x14ac:dyDescent="0.25">
      <c r="A763" t="s">
        <v>1521</v>
      </c>
      <c r="B763" t="s">
        <v>1385</v>
      </c>
      <c r="C763" t="s">
        <v>1386</v>
      </c>
      <c r="D763" t="str">
        <f>HYPERLINK("http://service.sap.com/sap/support/notes/1605883","1605883")</f>
        <v>1605883</v>
      </c>
      <c r="E763">
        <v>2</v>
      </c>
      <c r="F763" t="s">
        <v>1392</v>
      </c>
    </row>
    <row r="764" spans="1:6" x14ac:dyDescent="0.25">
      <c r="A764" t="s">
        <v>1521</v>
      </c>
      <c r="B764" t="s">
        <v>1385</v>
      </c>
      <c r="C764" t="s">
        <v>1386</v>
      </c>
      <c r="D764" t="str">
        <f>HYPERLINK("http://service.sap.com/sap/support/notes/1606112","1606112")</f>
        <v>1606112</v>
      </c>
      <c r="E764">
        <v>2</v>
      </c>
      <c r="F764" t="s">
        <v>1393</v>
      </c>
    </row>
    <row r="765" spans="1:6" x14ac:dyDescent="0.25">
      <c r="A765" t="s">
        <v>1521</v>
      </c>
      <c r="B765" t="s">
        <v>1385</v>
      </c>
      <c r="C765" t="s">
        <v>1386</v>
      </c>
      <c r="D765" t="str">
        <f>HYPERLINK("http://service.sap.com/sap/support/notes/1606367","1606367")</f>
        <v>1606367</v>
      </c>
      <c r="E765">
        <v>3</v>
      </c>
      <c r="F765" t="s">
        <v>1394</v>
      </c>
    </row>
    <row r="766" spans="1:6" x14ac:dyDescent="0.25">
      <c r="A766" t="s">
        <v>1521</v>
      </c>
      <c r="B766" t="s">
        <v>1385</v>
      </c>
      <c r="C766" t="s">
        <v>1386</v>
      </c>
      <c r="D766" t="str">
        <f>HYPERLINK("http://service.sap.com/sap/support/notes/1606904","1606904")</f>
        <v>1606904</v>
      </c>
      <c r="E766">
        <v>1</v>
      </c>
      <c r="F766" t="s">
        <v>1395</v>
      </c>
    </row>
    <row r="767" spans="1:6" x14ac:dyDescent="0.25">
      <c r="A767" t="s">
        <v>1521</v>
      </c>
      <c r="B767" t="s">
        <v>1385</v>
      </c>
      <c r="C767" t="s">
        <v>1386</v>
      </c>
      <c r="D767" t="str">
        <f>HYPERLINK("http://service.sap.com/sap/support/notes/1611731","1611731")</f>
        <v>1611731</v>
      </c>
      <c r="E767">
        <v>1</v>
      </c>
      <c r="F767" t="s">
        <v>1396</v>
      </c>
    </row>
    <row r="768" spans="1:6" x14ac:dyDescent="0.25">
      <c r="A768" t="s">
        <v>1521</v>
      </c>
      <c r="B768" t="s">
        <v>1397</v>
      </c>
      <c r="C768" t="s">
        <v>1398</v>
      </c>
      <c r="D768" t="str">
        <f>HYPERLINK("http://service.sap.com/sap/support/notes/1592744","1592744")</f>
        <v>1592744</v>
      </c>
      <c r="E768">
        <v>1</v>
      </c>
      <c r="F768" t="s">
        <v>1399</v>
      </c>
    </row>
    <row r="769" spans="1:6" x14ac:dyDescent="0.25">
      <c r="A769" t="s">
        <v>1521</v>
      </c>
      <c r="B769" t="s">
        <v>1397</v>
      </c>
      <c r="C769" t="s">
        <v>1398</v>
      </c>
      <c r="D769" t="str">
        <f>HYPERLINK("http://service.sap.com/sap/support/notes/1600583","1600583")</f>
        <v>1600583</v>
      </c>
      <c r="F769" t="s">
        <v>1400</v>
      </c>
    </row>
    <row r="770" spans="1:6" x14ac:dyDescent="0.25">
      <c r="A770" t="s">
        <v>1521</v>
      </c>
      <c r="B770" t="s">
        <v>1397</v>
      </c>
      <c r="C770" t="s">
        <v>1398</v>
      </c>
      <c r="D770" t="str">
        <f>HYPERLINK("http://service.sap.com/sap/support/notes/1603685","1603685")</f>
        <v>1603685</v>
      </c>
      <c r="F770" t="s">
        <v>1401</v>
      </c>
    </row>
    <row r="771" spans="1:6" x14ac:dyDescent="0.25">
      <c r="A771" t="s">
        <v>1521</v>
      </c>
      <c r="B771" t="s">
        <v>1397</v>
      </c>
      <c r="C771" t="s">
        <v>1398</v>
      </c>
      <c r="D771" t="str">
        <f>HYPERLINK("http://service.sap.com/sap/support/notes/1605506","1605506")</f>
        <v>1605506</v>
      </c>
      <c r="F771" t="s">
        <v>1402</v>
      </c>
    </row>
    <row r="772" spans="1:6" x14ac:dyDescent="0.25">
      <c r="A772" t="s">
        <v>1521</v>
      </c>
      <c r="B772" t="s">
        <v>1397</v>
      </c>
      <c r="C772" t="s">
        <v>1398</v>
      </c>
      <c r="D772" t="str">
        <f>HYPERLINK("http://service.sap.com/sap/support/notes/1607044","1607044")</f>
        <v>1607044</v>
      </c>
      <c r="F772" t="s">
        <v>1403</v>
      </c>
    </row>
    <row r="773" spans="1:6" x14ac:dyDescent="0.25">
      <c r="A773" t="s">
        <v>1521</v>
      </c>
      <c r="B773" t="s">
        <v>1397</v>
      </c>
      <c r="C773" t="s">
        <v>1398</v>
      </c>
      <c r="D773" t="str">
        <f>HYPERLINK("http://service.sap.com/sap/support/notes/1607233","1607233")</f>
        <v>1607233</v>
      </c>
      <c r="F773" t="s">
        <v>1404</v>
      </c>
    </row>
    <row r="774" spans="1:6" x14ac:dyDescent="0.25">
      <c r="A774" t="s">
        <v>1521</v>
      </c>
      <c r="B774" t="s">
        <v>1397</v>
      </c>
      <c r="C774" t="s">
        <v>1398</v>
      </c>
      <c r="D774" t="str">
        <f>HYPERLINK("http://service.sap.com/sap/support/notes/1610391","1610391")</f>
        <v>1610391</v>
      </c>
      <c r="F774" t="s">
        <v>1405</v>
      </c>
    </row>
    <row r="775" spans="1:6" x14ac:dyDescent="0.25">
      <c r="A775" t="s">
        <v>1521</v>
      </c>
      <c r="B775" t="s">
        <v>1397</v>
      </c>
      <c r="C775" t="s">
        <v>1398</v>
      </c>
      <c r="D775" t="str">
        <f>HYPERLINK("http://service.sap.com/sap/support/notes/1613257","1613257")</f>
        <v>1613257</v>
      </c>
      <c r="F775" t="s">
        <v>1406</v>
      </c>
    </row>
    <row r="776" spans="1:6" x14ac:dyDescent="0.25">
      <c r="A776" t="s">
        <v>1521</v>
      </c>
      <c r="B776" t="s">
        <v>1407</v>
      </c>
      <c r="C776" t="s">
        <v>1408</v>
      </c>
      <c r="D776" t="str">
        <f>HYPERLINK("http://service.sap.com/sap/support/notes/1475262","1475262")</f>
        <v>1475262</v>
      </c>
      <c r="E776">
        <v>1</v>
      </c>
      <c r="F776" t="s">
        <v>1409</v>
      </c>
    </row>
    <row r="777" spans="1:6" x14ac:dyDescent="0.25">
      <c r="A777" t="s">
        <v>1521</v>
      </c>
      <c r="B777" t="s">
        <v>1407</v>
      </c>
      <c r="C777" t="s">
        <v>1408</v>
      </c>
      <c r="D777" t="str">
        <f>HYPERLINK("http://service.sap.com/sap/support/notes/1591515","1591515")</f>
        <v>1591515</v>
      </c>
      <c r="E777">
        <v>5</v>
      </c>
      <c r="F777" t="s">
        <v>1410</v>
      </c>
    </row>
    <row r="778" spans="1:6" x14ac:dyDescent="0.25">
      <c r="A778" t="s">
        <v>1521</v>
      </c>
      <c r="B778" t="s">
        <v>1407</v>
      </c>
      <c r="C778" t="s">
        <v>1408</v>
      </c>
      <c r="D778" t="str">
        <f>HYPERLINK("http://service.sap.com/sap/support/notes/1594109","1594109")</f>
        <v>1594109</v>
      </c>
      <c r="E778">
        <v>5</v>
      </c>
      <c r="F778" t="s">
        <v>1411</v>
      </c>
    </row>
    <row r="779" spans="1:6" x14ac:dyDescent="0.25">
      <c r="A779" t="s">
        <v>1521</v>
      </c>
      <c r="B779" t="s">
        <v>1407</v>
      </c>
      <c r="C779" t="s">
        <v>1408</v>
      </c>
      <c r="D779" t="str">
        <f>HYPERLINK("http://service.sap.com/sap/support/notes/1601197","1601197")</f>
        <v>1601197</v>
      </c>
      <c r="E779">
        <v>1</v>
      </c>
      <c r="F779" t="s">
        <v>1412</v>
      </c>
    </row>
    <row r="780" spans="1:6" x14ac:dyDescent="0.25">
      <c r="A780" t="s">
        <v>1521</v>
      </c>
      <c r="B780" t="s">
        <v>1407</v>
      </c>
      <c r="C780" t="s">
        <v>1408</v>
      </c>
      <c r="D780" t="str">
        <f>HYPERLINK("http://service.sap.com/sap/support/notes/1601198","1601198")</f>
        <v>1601198</v>
      </c>
      <c r="E780">
        <v>1</v>
      </c>
      <c r="F780" t="s">
        <v>1413</v>
      </c>
    </row>
    <row r="781" spans="1:6" x14ac:dyDescent="0.25">
      <c r="A781" t="s">
        <v>1521</v>
      </c>
      <c r="B781" t="s">
        <v>1407</v>
      </c>
      <c r="C781" t="s">
        <v>1408</v>
      </c>
      <c r="D781" t="str">
        <f>HYPERLINK("http://service.sap.com/sap/support/notes/1604145","1604145")</f>
        <v>1604145</v>
      </c>
      <c r="E781">
        <v>2</v>
      </c>
      <c r="F781" t="s">
        <v>1414</v>
      </c>
    </row>
    <row r="782" spans="1:6" x14ac:dyDescent="0.25">
      <c r="A782" t="s">
        <v>1521</v>
      </c>
      <c r="B782" t="s">
        <v>1407</v>
      </c>
      <c r="C782" t="s">
        <v>1408</v>
      </c>
      <c r="D782" t="str">
        <f>HYPERLINK("http://service.sap.com/sap/support/notes/1605649","1605649")</f>
        <v>1605649</v>
      </c>
      <c r="E782">
        <v>1</v>
      </c>
      <c r="F782" t="s">
        <v>1415</v>
      </c>
    </row>
    <row r="783" spans="1:6" x14ac:dyDescent="0.25">
      <c r="A783" t="s">
        <v>1521</v>
      </c>
      <c r="B783" t="s">
        <v>1416</v>
      </c>
      <c r="C783" t="s">
        <v>1417</v>
      </c>
      <c r="D783" t="str">
        <f>HYPERLINK("http://service.sap.com/sap/support/notes/1567504","1567504")</f>
        <v>1567504</v>
      </c>
      <c r="E783">
        <v>3</v>
      </c>
      <c r="F783" t="s">
        <v>1418</v>
      </c>
    </row>
    <row r="784" spans="1:6" x14ac:dyDescent="0.25">
      <c r="A784" t="s">
        <v>1521</v>
      </c>
      <c r="B784" t="s">
        <v>1419</v>
      </c>
      <c r="C784" t="s">
        <v>1420</v>
      </c>
    </row>
    <row r="785" spans="1:6" x14ac:dyDescent="0.25">
      <c r="A785" t="s">
        <v>1521</v>
      </c>
      <c r="B785" t="s">
        <v>1421</v>
      </c>
      <c r="C785" t="s">
        <v>1422</v>
      </c>
      <c r="D785" t="str">
        <f>HYPERLINK("http://service.sap.com/sap/support/notes/1601691","1601691")</f>
        <v>1601691</v>
      </c>
      <c r="E785">
        <v>2</v>
      </c>
      <c r="F785" t="s">
        <v>1423</v>
      </c>
    </row>
    <row r="786" spans="1:6" x14ac:dyDescent="0.25">
      <c r="A786" t="s">
        <v>1521</v>
      </c>
      <c r="B786" t="s">
        <v>1424</v>
      </c>
      <c r="C786" t="s">
        <v>1425</v>
      </c>
    </row>
    <row r="787" spans="1:6" x14ac:dyDescent="0.25">
      <c r="A787" t="s">
        <v>1521</v>
      </c>
      <c r="B787" t="s">
        <v>1426</v>
      </c>
      <c r="C787" t="s">
        <v>1427</v>
      </c>
      <c r="D787" t="str">
        <f>HYPERLINK("http://service.sap.com/sap/support/notes/1608755","1608755")</f>
        <v>1608755</v>
      </c>
      <c r="E787">
        <v>1</v>
      </c>
      <c r="F787" t="s">
        <v>1428</v>
      </c>
    </row>
    <row r="788" spans="1:6" x14ac:dyDescent="0.25">
      <c r="A788" t="s">
        <v>1521</v>
      </c>
      <c r="B788" t="s">
        <v>1429</v>
      </c>
      <c r="C788" t="s">
        <v>1430</v>
      </c>
      <c r="D788" t="str">
        <f>HYPERLINK("http://service.sap.com/sap/support/notes/1617846","1617846")</f>
        <v>1617846</v>
      </c>
      <c r="E788">
        <v>2</v>
      </c>
      <c r="F788" t="s">
        <v>1431</v>
      </c>
    </row>
    <row r="789" spans="1:6" x14ac:dyDescent="0.25">
      <c r="A789" t="s">
        <v>1521</v>
      </c>
      <c r="B789" t="s">
        <v>1432</v>
      </c>
      <c r="C789" t="s">
        <v>1433</v>
      </c>
    </row>
    <row r="790" spans="1:6" x14ac:dyDescent="0.25">
      <c r="A790" t="s">
        <v>1521</v>
      </c>
      <c r="B790" t="s">
        <v>1434</v>
      </c>
      <c r="C790" t="s">
        <v>1435</v>
      </c>
      <c r="D790" t="str">
        <f>HYPERLINK("http://service.sap.com/sap/support/notes/1554908","1554908")</f>
        <v>1554908</v>
      </c>
      <c r="E790">
        <v>4</v>
      </c>
      <c r="F790" t="s">
        <v>1436</v>
      </c>
    </row>
    <row r="791" spans="1:6" x14ac:dyDescent="0.25">
      <c r="A791" t="s">
        <v>1521</v>
      </c>
      <c r="B791" t="s">
        <v>1434</v>
      </c>
      <c r="C791" t="s">
        <v>1435</v>
      </c>
      <c r="D791" t="str">
        <f>HYPERLINK("http://service.sap.com/sap/support/notes/1594972","1594972")</f>
        <v>1594972</v>
      </c>
      <c r="E791">
        <v>2</v>
      </c>
      <c r="F791" t="s">
        <v>1437</v>
      </c>
    </row>
    <row r="792" spans="1:6" x14ac:dyDescent="0.25">
      <c r="A792" t="s">
        <v>1521</v>
      </c>
      <c r="B792" t="s">
        <v>1434</v>
      </c>
      <c r="C792" t="s">
        <v>1435</v>
      </c>
      <c r="D792" t="str">
        <f>HYPERLINK("http://service.sap.com/sap/support/notes/1595017","1595017")</f>
        <v>1595017</v>
      </c>
      <c r="E792">
        <v>2</v>
      </c>
      <c r="F792" t="s">
        <v>1438</v>
      </c>
    </row>
    <row r="793" spans="1:6" x14ac:dyDescent="0.25">
      <c r="A793" t="s">
        <v>1521</v>
      </c>
      <c r="B793" t="s">
        <v>1434</v>
      </c>
      <c r="C793" t="s">
        <v>1435</v>
      </c>
      <c r="D793" t="str">
        <f>HYPERLINK("http://service.sap.com/sap/support/notes/1598710","1598710")</f>
        <v>1598710</v>
      </c>
      <c r="E793">
        <v>2</v>
      </c>
      <c r="F793" t="s">
        <v>1439</v>
      </c>
    </row>
    <row r="794" spans="1:6" x14ac:dyDescent="0.25">
      <c r="A794" t="s">
        <v>1521</v>
      </c>
      <c r="B794" t="s">
        <v>1434</v>
      </c>
      <c r="C794" t="s">
        <v>1435</v>
      </c>
      <c r="D794" t="str">
        <f>HYPERLINK("http://service.sap.com/sap/support/notes/1608106","1608106")</f>
        <v>1608106</v>
      </c>
      <c r="E794">
        <v>1</v>
      </c>
      <c r="F794" t="s">
        <v>1440</v>
      </c>
    </row>
    <row r="795" spans="1:6" x14ac:dyDescent="0.25">
      <c r="A795" t="s">
        <v>1521</v>
      </c>
      <c r="B795" t="s">
        <v>1441</v>
      </c>
      <c r="C795" t="s">
        <v>1442</v>
      </c>
      <c r="D795" t="str">
        <f>HYPERLINK("http://service.sap.com/sap/support/notes/1504232","1504232")</f>
        <v>1504232</v>
      </c>
      <c r="E795">
        <v>2</v>
      </c>
      <c r="F795" t="s">
        <v>1443</v>
      </c>
    </row>
    <row r="796" spans="1:6" x14ac:dyDescent="0.25">
      <c r="A796" t="s">
        <v>1521</v>
      </c>
      <c r="B796" t="s">
        <v>1441</v>
      </c>
      <c r="C796" t="s">
        <v>1442</v>
      </c>
      <c r="D796" t="str">
        <f>HYPERLINK("http://service.sap.com/sap/support/notes/1528305","1528305")</f>
        <v>1528305</v>
      </c>
      <c r="E796">
        <v>14</v>
      </c>
      <c r="F796" t="s">
        <v>1444</v>
      </c>
    </row>
    <row r="797" spans="1:6" x14ac:dyDescent="0.25">
      <c r="A797" t="s">
        <v>1521</v>
      </c>
      <c r="B797" t="s">
        <v>1441</v>
      </c>
      <c r="C797" t="s">
        <v>1442</v>
      </c>
      <c r="D797" t="str">
        <f>HYPERLINK("http://service.sap.com/sap/support/notes/1535104","1535104")</f>
        <v>1535104</v>
      </c>
      <c r="E797">
        <v>5</v>
      </c>
      <c r="F797" t="s">
        <v>1445</v>
      </c>
    </row>
    <row r="798" spans="1:6" x14ac:dyDescent="0.25">
      <c r="A798" t="s">
        <v>1521</v>
      </c>
      <c r="B798" t="s">
        <v>1441</v>
      </c>
      <c r="C798" t="s">
        <v>1442</v>
      </c>
      <c r="D798" t="str">
        <f>HYPERLINK("http://service.sap.com/sap/support/notes/1580965","1580965")</f>
        <v>1580965</v>
      </c>
      <c r="E798">
        <v>7</v>
      </c>
      <c r="F798" t="s">
        <v>1446</v>
      </c>
    </row>
    <row r="799" spans="1:6" x14ac:dyDescent="0.25">
      <c r="A799" t="s">
        <v>1521</v>
      </c>
      <c r="B799" t="s">
        <v>1441</v>
      </c>
      <c r="C799" t="s">
        <v>1442</v>
      </c>
      <c r="D799" t="str">
        <f>HYPERLINK("http://service.sap.com/sap/support/notes/1597131","1597131")</f>
        <v>1597131</v>
      </c>
      <c r="E799">
        <v>1</v>
      </c>
      <c r="F799" t="s">
        <v>1447</v>
      </c>
    </row>
    <row r="800" spans="1:6" x14ac:dyDescent="0.25">
      <c r="A800" t="s">
        <v>1521</v>
      </c>
      <c r="B800" t="s">
        <v>1441</v>
      </c>
      <c r="C800" t="s">
        <v>1442</v>
      </c>
      <c r="D800" t="str">
        <f>HYPERLINK("http://service.sap.com/sap/support/notes/1598136","1598136")</f>
        <v>1598136</v>
      </c>
      <c r="E800">
        <v>2</v>
      </c>
      <c r="F800" t="s">
        <v>1448</v>
      </c>
    </row>
    <row r="801" spans="1:6" x14ac:dyDescent="0.25">
      <c r="A801" t="s">
        <v>1521</v>
      </c>
      <c r="B801" t="s">
        <v>1441</v>
      </c>
      <c r="C801" t="s">
        <v>1442</v>
      </c>
      <c r="D801" t="str">
        <f>HYPERLINK("http://service.sap.com/sap/support/notes/1603340","1603340")</f>
        <v>1603340</v>
      </c>
      <c r="E801">
        <v>3</v>
      </c>
      <c r="F801" t="s">
        <v>1449</v>
      </c>
    </row>
    <row r="802" spans="1:6" x14ac:dyDescent="0.25">
      <c r="A802" t="s">
        <v>1521</v>
      </c>
      <c r="B802" t="s">
        <v>1450</v>
      </c>
      <c r="C802" t="s">
        <v>1451</v>
      </c>
      <c r="D802" t="str">
        <f>HYPERLINK("http://service.sap.com/sap/support/notes/1528387","1528387")</f>
        <v>1528387</v>
      </c>
      <c r="E802">
        <v>14</v>
      </c>
      <c r="F802" t="s">
        <v>1452</v>
      </c>
    </row>
    <row r="803" spans="1:6" x14ac:dyDescent="0.25">
      <c r="A803" t="s">
        <v>1521</v>
      </c>
      <c r="B803" t="s">
        <v>1450</v>
      </c>
      <c r="C803" t="s">
        <v>1451</v>
      </c>
      <c r="D803" t="str">
        <f>HYPERLINK("http://service.sap.com/sap/support/notes/1563436","1563436")</f>
        <v>1563436</v>
      </c>
      <c r="E803">
        <v>2</v>
      </c>
      <c r="F803" t="s">
        <v>1453</v>
      </c>
    </row>
    <row r="804" spans="1:6" x14ac:dyDescent="0.25">
      <c r="A804" t="s">
        <v>1521</v>
      </c>
      <c r="B804" t="s">
        <v>1450</v>
      </c>
      <c r="C804" t="s">
        <v>1451</v>
      </c>
      <c r="D804" t="str">
        <f>HYPERLINK("http://service.sap.com/sap/support/notes/1601602","1601602")</f>
        <v>1601602</v>
      </c>
      <c r="E804">
        <v>2</v>
      </c>
      <c r="F804" t="s">
        <v>1454</v>
      </c>
    </row>
    <row r="805" spans="1:6" x14ac:dyDescent="0.25">
      <c r="A805" t="s">
        <v>1521</v>
      </c>
      <c r="B805" t="s">
        <v>1450</v>
      </c>
      <c r="C805" t="s">
        <v>1451</v>
      </c>
      <c r="D805" t="str">
        <f>HYPERLINK("http://service.sap.com/sap/support/notes/1601703","1601703")</f>
        <v>1601703</v>
      </c>
      <c r="E805">
        <v>7</v>
      </c>
      <c r="F805" t="s">
        <v>1455</v>
      </c>
    </row>
    <row r="806" spans="1:6" x14ac:dyDescent="0.25">
      <c r="A806" t="s">
        <v>1521</v>
      </c>
      <c r="B806" t="s">
        <v>1450</v>
      </c>
      <c r="C806" t="s">
        <v>1451</v>
      </c>
      <c r="D806" t="str">
        <f>HYPERLINK("http://service.sap.com/sap/support/notes/1603249","1603249")</f>
        <v>1603249</v>
      </c>
      <c r="E806">
        <v>4</v>
      </c>
      <c r="F806" t="s">
        <v>1456</v>
      </c>
    </row>
    <row r="807" spans="1:6" x14ac:dyDescent="0.25">
      <c r="A807" t="s">
        <v>1521</v>
      </c>
      <c r="B807" t="s">
        <v>1450</v>
      </c>
      <c r="C807" t="s">
        <v>1451</v>
      </c>
      <c r="D807" t="str">
        <f>HYPERLINK("http://service.sap.com/sap/support/notes/1605793","1605793")</f>
        <v>1605793</v>
      </c>
      <c r="E807">
        <v>4</v>
      </c>
      <c r="F807" t="s">
        <v>1457</v>
      </c>
    </row>
    <row r="808" spans="1:6" x14ac:dyDescent="0.25">
      <c r="A808" t="s">
        <v>1521</v>
      </c>
      <c r="B808" t="s">
        <v>1458</v>
      </c>
      <c r="C808" t="s">
        <v>1459</v>
      </c>
    </row>
    <row r="809" spans="1:6" x14ac:dyDescent="0.25">
      <c r="A809" t="s">
        <v>1521</v>
      </c>
      <c r="B809" t="s">
        <v>1460</v>
      </c>
      <c r="C809" t="s">
        <v>132</v>
      </c>
    </row>
    <row r="810" spans="1:6" x14ac:dyDescent="0.25">
      <c r="A810" t="s">
        <v>1521</v>
      </c>
      <c r="B810" t="s">
        <v>1461</v>
      </c>
      <c r="C810" t="s">
        <v>134</v>
      </c>
      <c r="D810" t="str">
        <f>HYPERLINK("http://service.sap.com/sap/support/notes/1605409","1605409")</f>
        <v>1605409</v>
      </c>
      <c r="E810">
        <v>4</v>
      </c>
      <c r="F810" t="s">
        <v>1462</v>
      </c>
    </row>
    <row r="811" spans="1:6" x14ac:dyDescent="0.25">
      <c r="A811" t="s">
        <v>1521</v>
      </c>
      <c r="B811" t="s">
        <v>1463</v>
      </c>
      <c r="C811" t="s">
        <v>1464</v>
      </c>
      <c r="D811" t="str">
        <f>HYPERLINK("http://service.sap.com/sap/support/notes/1580574","1580574")</f>
        <v>1580574</v>
      </c>
      <c r="E811">
        <v>1</v>
      </c>
      <c r="F811" t="s">
        <v>1465</v>
      </c>
    </row>
    <row r="812" spans="1:6" x14ac:dyDescent="0.25">
      <c r="A812" t="s">
        <v>1521</v>
      </c>
      <c r="B812" t="s">
        <v>1463</v>
      </c>
      <c r="C812" t="s">
        <v>1464</v>
      </c>
      <c r="D812" t="str">
        <f>HYPERLINK("http://service.sap.com/sap/support/notes/1595905","1595905")</f>
        <v>1595905</v>
      </c>
      <c r="E812">
        <v>1</v>
      </c>
      <c r="F812" t="s">
        <v>1466</v>
      </c>
    </row>
    <row r="813" spans="1:6" x14ac:dyDescent="0.25">
      <c r="A813" t="s">
        <v>1521</v>
      </c>
      <c r="B813" t="s">
        <v>1467</v>
      </c>
      <c r="C813" t="s">
        <v>1468</v>
      </c>
      <c r="D813" t="str">
        <f>HYPERLINK("http://service.sap.com/sap/support/notes/1564545","1564545")</f>
        <v>1564545</v>
      </c>
      <c r="E813">
        <v>4</v>
      </c>
      <c r="F813" t="s">
        <v>1469</v>
      </c>
    </row>
    <row r="814" spans="1:6" x14ac:dyDescent="0.25">
      <c r="A814" t="s">
        <v>1521</v>
      </c>
      <c r="B814" t="s">
        <v>1467</v>
      </c>
      <c r="C814" t="s">
        <v>1468</v>
      </c>
      <c r="D814" t="str">
        <f>HYPERLINK("http://service.sap.com/sap/support/notes/1604594","1604594")</f>
        <v>1604594</v>
      </c>
      <c r="E814">
        <v>2</v>
      </c>
      <c r="F814" t="s">
        <v>1470</v>
      </c>
    </row>
    <row r="815" spans="1:6" x14ac:dyDescent="0.25">
      <c r="A815" t="s">
        <v>1521</v>
      </c>
      <c r="B815" t="s">
        <v>1471</v>
      </c>
      <c r="C815" t="s">
        <v>1472</v>
      </c>
    </row>
    <row r="816" spans="1:6" x14ac:dyDescent="0.25">
      <c r="A816" t="s">
        <v>1521</v>
      </c>
      <c r="B816" t="s">
        <v>1473</v>
      </c>
      <c r="C816" t="s">
        <v>1373</v>
      </c>
      <c r="D816" t="str">
        <f>HYPERLINK("http://service.sap.com/sap/support/notes/1588089","1588089")</f>
        <v>1588089</v>
      </c>
      <c r="E816">
        <v>4</v>
      </c>
      <c r="F816" t="s">
        <v>1474</v>
      </c>
    </row>
    <row r="817" spans="1:6" x14ac:dyDescent="0.25">
      <c r="A817" t="s">
        <v>1521</v>
      </c>
      <c r="B817" t="s">
        <v>1475</v>
      </c>
      <c r="C817" t="s">
        <v>1476</v>
      </c>
      <c r="D817" t="str">
        <f>HYPERLINK("http://service.sap.com/sap/support/notes/1585673","1585673")</f>
        <v>1585673</v>
      </c>
      <c r="E817">
        <v>5</v>
      </c>
      <c r="F817" t="s">
        <v>1477</v>
      </c>
    </row>
    <row r="818" spans="1:6" x14ac:dyDescent="0.25">
      <c r="A818" t="s">
        <v>1521</v>
      </c>
      <c r="B818" t="s">
        <v>1478</v>
      </c>
      <c r="C818" t="s">
        <v>134</v>
      </c>
      <c r="D818" t="str">
        <f>HYPERLINK("http://service.sap.com/sap/support/notes/1595358","1595358")</f>
        <v>1595358</v>
      </c>
      <c r="E818">
        <v>10</v>
      </c>
      <c r="F818" t="s">
        <v>1479</v>
      </c>
    </row>
    <row r="819" spans="1:6" x14ac:dyDescent="0.25">
      <c r="A819" t="s">
        <v>1521</v>
      </c>
      <c r="B819" t="s">
        <v>1478</v>
      </c>
      <c r="C819" t="s">
        <v>134</v>
      </c>
      <c r="D819" t="str">
        <f>HYPERLINK("http://service.sap.com/sap/support/notes/1598758","1598758")</f>
        <v>1598758</v>
      </c>
      <c r="E819">
        <v>1</v>
      </c>
      <c r="F819" t="s">
        <v>1480</v>
      </c>
    </row>
    <row r="820" spans="1:6" x14ac:dyDescent="0.25">
      <c r="A820" t="s">
        <v>1521</v>
      </c>
      <c r="B820" t="s">
        <v>1478</v>
      </c>
      <c r="C820" t="s">
        <v>134</v>
      </c>
      <c r="D820" t="str">
        <f>HYPERLINK("http://service.sap.com/sap/support/notes/1604299","1604299")</f>
        <v>1604299</v>
      </c>
      <c r="E820">
        <v>7</v>
      </c>
      <c r="F820" t="s">
        <v>1481</v>
      </c>
    </row>
    <row r="821" spans="1:6" x14ac:dyDescent="0.25">
      <c r="A821" t="s">
        <v>1521</v>
      </c>
      <c r="B821" t="s">
        <v>1478</v>
      </c>
      <c r="C821" t="s">
        <v>134</v>
      </c>
      <c r="D821" t="str">
        <f>HYPERLINK("http://service.sap.com/sap/support/notes/1609191","1609191")</f>
        <v>1609191</v>
      </c>
      <c r="E821">
        <v>2</v>
      </c>
      <c r="F821" t="s">
        <v>1482</v>
      </c>
    </row>
    <row r="822" spans="1:6" x14ac:dyDescent="0.25">
      <c r="A822" t="s">
        <v>1521</v>
      </c>
      <c r="B822" t="s">
        <v>1478</v>
      </c>
      <c r="C822" t="s">
        <v>134</v>
      </c>
      <c r="D822" t="str">
        <f>HYPERLINK("http://service.sap.com/sap/support/notes/1611300","1611300")</f>
        <v>1611300</v>
      </c>
      <c r="E822">
        <v>2</v>
      </c>
      <c r="F822" t="s">
        <v>1483</v>
      </c>
    </row>
    <row r="823" spans="1:6" x14ac:dyDescent="0.25">
      <c r="A823" t="s">
        <v>1521</v>
      </c>
      <c r="B823" t="s">
        <v>1484</v>
      </c>
      <c r="C823" t="s">
        <v>1485</v>
      </c>
    </row>
    <row r="824" spans="1:6" x14ac:dyDescent="0.25">
      <c r="A824" t="s">
        <v>1521</v>
      </c>
      <c r="B824" t="s">
        <v>1486</v>
      </c>
      <c r="C824" t="s">
        <v>132</v>
      </c>
      <c r="D824" t="str">
        <f>HYPERLINK("http://service.sap.com/sap/support/notes/1593672","1593672")</f>
        <v>1593672</v>
      </c>
      <c r="E824">
        <v>3</v>
      </c>
      <c r="F824" t="s">
        <v>1487</v>
      </c>
    </row>
    <row r="825" spans="1:6" x14ac:dyDescent="0.25">
      <c r="A825" t="s">
        <v>1521</v>
      </c>
      <c r="B825" t="s">
        <v>1486</v>
      </c>
      <c r="C825" t="s">
        <v>132</v>
      </c>
      <c r="D825" t="str">
        <f>HYPERLINK("http://service.sap.com/sap/support/notes/1601220","1601220")</f>
        <v>1601220</v>
      </c>
      <c r="E825">
        <v>3</v>
      </c>
      <c r="F825" t="s">
        <v>1488</v>
      </c>
    </row>
    <row r="826" spans="1:6" x14ac:dyDescent="0.25">
      <c r="A826" t="s">
        <v>1521</v>
      </c>
      <c r="B826" t="s">
        <v>1486</v>
      </c>
      <c r="C826" t="s">
        <v>132</v>
      </c>
      <c r="D826" t="str">
        <f>HYPERLINK("http://service.sap.com/sap/support/notes/1601831","1601831")</f>
        <v>1601831</v>
      </c>
      <c r="E826">
        <v>2</v>
      </c>
      <c r="F826" t="s">
        <v>1489</v>
      </c>
    </row>
    <row r="827" spans="1:6" x14ac:dyDescent="0.25">
      <c r="A827" t="s">
        <v>1521</v>
      </c>
      <c r="B827" t="s">
        <v>1486</v>
      </c>
      <c r="C827" t="s">
        <v>132</v>
      </c>
      <c r="D827" t="str">
        <f>HYPERLINK("http://service.sap.com/sap/support/notes/1602430","1602430")</f>
        <v>1602430</v>
      </c>
      <c r="E827">
        <v>3</v>
      </c>
      <c r="F827" t="s">
        <v>1490</v>
      </c>
    </row>
    <row r="828" spans="1:6" x14ac:dyDescent="0.25">
      <c r="A828" t="s">
        <v>1521</v>
      </c>
      <c r="B828" t="s">
        <v>1486</v>
      </c>
      <c r="C828" t="s">
        <v>132</v>
      </c>
      <c r="D828" t="str">
        <f>HYPERLINK("http://service.sap.com/sap/support/notes/1603654","1603654")</f>
        <v>1603654</v>
      </c>
      <c r="E828">
        <v>2</v>
      </c>
      <c r="F828" t="s">
        <v>1491</v>
      </c>
    </row>
    <row r="829" spans="1:6" x14ac:dyDescent="0.25">
      <c r="A829" t="s">
        <v>1521</v>
      </c>
      <c r="B829" t="s">
        <v>1486</v>
      </c>
      <c r="C829" t="s">
        <v>132</v>
      </c>
      <c r="D829" t="str">
        <f>HYPERLINK("http://service.sap.com/sap/support/notes/1603658","1603658")</f>
        <v>1603658</v>
      </c>
      <c r="E829">
        <v>2</v>
      </c>
      <c r="F829" t="s">
        <v>1492</v>
      </c>
    </row>
    <row r="830" spans="1:6" x14ac:dyDescent="0.25">
      <c r="A830" t="s">
        <v>1521</v>
      </c>
      <c r="B830" t="s">
        <v>1486</v>
      </c>
      <c r="C830" t="s">
        <v>132</v>
      </c>
      <c r="D830" t="str">
        <f>HYPERLINK("http://service.sap.com/sap/support/notes/1603988","1603988")</f>
        <v>1603988</v>
      </c>
      <c r="E830">
        <v>2</v>
      </c>
      <c r="F830" t="s">
        <v>1493</v>
      </c>
    </row>
    <row r="831" spans="1:6" x14ac:dyDescent="0.25">
      <c r="A831" t="s">
        <v>1521</v>
      </c>
      <c r="B831" t="s">
        <v>1486</v>
      </c>
      <c r="C831" t="s">
        <v>132</v>
      </c>
      <c r="D831" t="str">
        <f>HYPERLINK("http://service.sap.com/sap/support/notes/1605851","1605851")</f>
        <v>1605851</v>
      </c>
      <c r="E831">
        <v>2</v>
      </c>
      <c r="F831" t="s">
        <v>1494</v>
      </c>
    </row>
    <row r="832" spans="1:6" x14ac:dyDescent="0.25">
      <c r="A832" t="s">
        <v>1521</v>
      </c>
      <c r="B832" t="s">
        <v>1486</v>
      </c>
      <c r="C832" t="s">
        <v>132</v>
      </c>
      <c r="D832" t="str">
        <f>HYPERLINK("http://service.sap.com/sap/support/notes/1606691","1606691")</f>
        <v>1606691</v>
      </c>
      <c r="E832">
        <v>1</v>
      </c>
      <c r="F832" t="s">
        <v>1495</v>
      </c>
    </row>
    <row r="833" spans="1:6" x14ac:dyDescent="0.25">
      <c r="A833" t="s">
        <v>1521</v>
      </c>
      <c r="B833" t="s">
        <v>1486</v>
      </c>
      <c r="C833" t="s">
        <v>132</v>
      </c>
      <c r="D833" t="str">
        <f>HYPERLINK("http://service.sap.com/sap/support/notes/1607117","1607117")</f>
        <v>1607117</v>
      </c>
      <c r="E833">
        <v>2</v>
      </c>
      <c r="F833" t="s">
        <v>1496</v>
      </c>
    </row>
    <row r="834" spans="1:6" x14ac:dyDescent="0.25">
      <c r="A834" t="s">
        <v>1521</v>
      </c>
      <c r="B834" t="s">
        <v>1486</v>
      </c>
      <c r="C834" t="s">
        <v>132</v>
      </c>
      <c r="D834" t="str">
        <f>HYPERLINK("http://service.sap.com/sap/support/notes/1608893","1608893")</f>
        <v>1608893</v>
      </c>
      <c r="E834">
        <v>3</v>
      </c>
      <c r="F834" t="s">
        <v>1497</v>
      </c>
    </row>
    <row r="835" spans="1:6" x14ac:dyDescent="0.25">
      <c r="A835" t="s">
        <v>1521</v>
      </c>
      <c r="B835" t="s">
        <v>1486</v>
      </c>
      <c r="C835" t="s">
        <v>132</v>
      </c>
      <c r="D835" t="str">
        <f>HYPERLINK("http://service.sap.com/sap/support/notes/1609143","1609143")</f>
        <v>1609143</v>
      </c>
      <c r="E835">
        <v>2</v>
      </c>
      <c r="F835" t="s">
        <v>1498</v>
      </c>
    </row>
    <row r="836" spans="1:6" x14ac:dyDescent="0.25">
      <c r="A836" t="s">
        <v>1521</v>
      </c>
      <c r="B836" t="s">
        <v>1486</v>
      </c>
      <c r="C836" t="s">
        <v>132</v>
      </c>
      <c r="D836" t="str">
        <f>HYPERLINK("http://service.sap.com/sap/support/notes/1609234","1609234")</f>
        <v>1609234</v>
      </c>
      <c r="E836">
        <v>2</v>
      </c>
      <c r="F836" t="s">
        <v>1499</v>
      </c>
    </row>
    <row r="837" spans="1:6" x14ac:dyDescent="0.25">
      <c r="A837" t="s">
        <v>1521</v>
      </c>
      <c r="B837" t="s">
        <v>1486</v>
      </c>
      <c r="C837" t="s">
        <v>132</v>
      </c>
      <c r="D837" t="str">
        <f>HYPERLINK("http://service.sap.com/sap/support/notes/1609834","1609834")</f>
        <v>1609834</v>
      </c>
      <c r="E837">
        <v>2</v>
      </c>
      <c r="F837" t="s">
        <v>1500</v>
      </c>
    </row>
    <row r="838" spans="1:6" x14ac:dyDescent="0.25">
      <c r="A838" t="s">
        <v>1521</v>
      </c>
      <c r="B838" t="s">
        <v>1486</v>
      </c>
      <c r="C838" t="s">
        <v>132</v>
      </c>
      <c r="D838" t="str">
        <f>HYPERLINK("http://service.sap.com/sap/support/notes/1614767","1614767")</f>
        <v>1614767</v>
      </c>
      <c r="E838">
        <v>2</v>
      </c>
      <c r="F838" t="s">
        <v>1501</v>
      </c>
    </row>
    <row r="839" spans="1:6" x14ac:dyDescent="0.25">
      <c r="A839" t="s">
        <v>1521</v>
      </c>
      <c r="B839" t="s">
        <v>1502</v>
      </c>
      <c r="C839" t="s">
        <v>1373</v>
      </c>
      <c r="D839" t="str">
        <f>HYPERLINK("http://service.sap.com/sap/support/notes/1608211","1608211")</f>
        <v>1608211</v>
      </c>
      <c r="E839">
        <v>2</v>
      </c>
      <c r="F839" t="s">
        <v>1503</v>
      </c>
    </row>
    <row r="840" spans="1:6" x14ac:dyDescent="0.25">
      <c r="A840" t="s">
        <v>1521</v>
      </c>
      <c r="B840" t="s">
        <v>1504</v>
      </c>
      <c r="C840" t="s">
        <v>1505</v>
      </c>
      <c r="D840" t="str">
        <f>HYPERLINK("http://service.sap.com/sap/support/notes/1603158","1603158")</f>
        <v>1603158</v>
      </c>
      <c r="E840">
        <v>2</v>
      </c>
      <c r="F840" t="s">
        <v>1506</v>
      </c>
    </row>
    <row r="841" spans="1:6" x14ac:dyDescent="0.25">
      <c r="A841" t="s">
        <v>1521</v>
      </c>
      <c r="B841" t="s">
        <v>1507</v>
      </c>
      <c r="C841" t="s">
        <v>1508</v>
      </c>
      <c r="D841" t="str">
        <f>HYPERLINK("http://service.sap.com/sap/support/notes/1253128","1253128")</f>
        <v>1253128</v>
      </c>
      <c r="E841">
        <v>1</v>
      </c>
      <c r="F841" t="s">
        <v>1509</v>
      </c>
    </row>
    <row r="842" spans="1:6" x14ac:dyDescent="0.25">
      <c r="A842" t="s">
        <v>1521</v>
      </c>
      <c r="B842" t="s">
        <v>45</v>
      </c>
      <c r="C842" t="s">
        <v>46</v>
      </c>
    </row>
    <row r="843" spans="1:6" x14ac:dyDescent="0.25">
      <c r="A843" t="s">
        <v>1521</v>
      </c>
      <c r="B843" t="s">
        <v>1510</v>
      </c>
      <c r="C843" t="s">
        <v>1511</v>
      </c>
    </row>
    <row r="844" spans="1:6" x14ac:dyDescent="0.25">
      <c r="A844" t="s">
        <v>1521</v>
      </c>
      <c r="B844" t="s">
        <v>1512</v>
      </c>
      <c r="C844" t="s">
        <v>1513</v>
      </c>
      <c r="D844" t="str">
        <f>HYPERLINK("http://service.sap.com/sap/support/notes/1607287","1607287")</f>
        <v>1607287</v>
      </c>
      <c r="E844">
        <v>1</v>
      </c>
      <c r="F844" t="s">
        <v>1514</v>
      </c>
    </row>
    <row r="845" spans="1:6" x14ac:dyDescent="0.25">
      <c r="A845" t="s">
        <v>1521</v>
      </c>
      <c r="B845" t="s">
        <v>1512</v>
      </c>
      <c r="C845" t="s">
        <v>1513</v>
      </c>
      <c r="D845" t="str">
        <f>HYPERLINK("http://service.sap.com/sap/support/notes/1609133","1609133")</f>
        <v>1609133</v>
      </c>
      <c r="E845">
        <v>1</v>
      </c>
      <c r="F845" t="s">
        <v>1515</v>
      </c>
    </row>
    <row r="846" spans="1:6" x14ac:dyDescent="0.25">
      <c r="A846" t="s">
        <v>1521</v>
      </c>
      <c r="B846" t="s">
        <v>1512</v>
      </c>
      <c r="C846" t="s">
        <v>1513</v>
      </c>
      <c r="D846" t="str">
        <f>HYPERLINK("http://service.sap.com/sap/support/notes/1610785","1610785")</f>
        <v>1610785</v>
      </c>
      <c r="E846">
        <v>4</v>
      </c>
      <c r="F846" t="s">
        <v>1516</v>
      </c>
    </row>
    <row r="847" spans="1:6" x14ac:dyDescent="0.25">
      <c r="A847" t="s">
        <v>1521</v>
      </c>
      <c r="B847" t="s">
        <v>1512</v>
      </c>
      <c r="C847" t="s">
        <v>1513</v>
      </c>
      <c r="D847" t="str">
        <f>HYPERLINK("http://service.sap.com/sap/support/notes/1617290","1617290")</f>
        <v>1617290</v>
      </c>
      <c r="E847">
        <v>2</v>
      </c>
      <c r="F847" t="s">
        <v>1517</v>
      </c>
    </row>
    <row r="848" spans="1:6" x14ac:dyDescent="0.25">
      <c r="A848" t="s">
        <v>1521</v>
      </c>
      <c r="B848" t="s">
        <v>1518</v>
      </c>
      <c r="C848" t="s">
        <v>1519</v>
      </c>
      <c r="D848" t="str">
        <f>HYPERLINK("http://service.sap.com/sap/support/notes/1606097","1606097")</f>
        <v>1606097</v>
      </c>
      <c r="E848">
        <v>2</v>
      </c>
      <c r="F848" t="s">
        <v>1520</v>
      </c>
    </row>
    <row r="849" spans="1:6" x14ac:dyDescent="0.25">
      <c r="A849" t="s">
        <v>1522</v>
      </c>
      <c r="B849" t="s">
        <v>90</v>
      </c>
      <c r="C849" t="s">
        <v>91</v>
      </c>
    </row>
    <row r="850" spans="1:6" x14ac:dyDescent="0.25">
      <c r="A850" t="s">
        <v>1522</v>
      </c>
      <c r="B850" t="s">
        <v>1523</v>
      </c>
      <c r="C850" t="s">
        <v>1524</v>
      </c>
      <c r="D850" t="str">
        <f>HYPERLINK("http://service.sap.com/sap/support/notes/1633317","1633317")</f>
        <v>1633317</v>
      </c>
      <c r="E850">
        <v>1</v>
      </c>
      <c r="F850" t="s">
        <v>1525</v>
      </c>
    </row>
    <row r="851" spans="1:6" x14ac:dyDescent="0.25">
      <c r="A851" t="s">
        <v>1522</v>
      </c>
      <c r="B851" t="s">
        <v>1523</v>
      </c>
      <c r="C851" t="s">
        <v>1524</v>
      </c>
      <c r="D851" t="str">
        <f>HYPERLINK("http://service.sap.com/sap/support/notes/1661668","1661668")</f>
        <v>1661668</v>
      </c>
      <c r="E851">
        <v>2</v>
      </c>
      <c r="F851" t="s">
        <v>1526</v>
      </c>
    </row>
    <row r="852" spans="1:6" x14ac:dyDescent="0.25">
      <c r="A852" t="s">
        <v>1522</v>
      </c>
      <c r="B852" t="s">
        <v>1523</v>
      </c>
      <c r="C852" t="s">
        <v>1524</v>
      </c>
      <c r="D852" t="str">
        <f>HYPERLINK("http://service.sap.com/sap/support/notes/1668328","1668328")</f>
        <v>1668328</v>
      </c>
      <c r="E852">
        <v>1</v>
      </c>
      <c r="F852" t="s">
        <v>1527</v>
      </c>
    </row>
    <row r="853" spans="1:6" x14ac:dyDescent="0.25">
      <c r="A853" t="s">
        <v>1522</v>
      </c>
      <c r="B853" t="s">
        <v>92</v>
      </c>
      <c r="C853" t="s">
        <v>93</v>
      </c>
      <c r="D853" t="str">
        <f>HYPERLINK("http://service.sap.com/sap/support/notes/1648706","1648706")</f>
        <v>1648706</v>
      </c>
      <c r="E853">
        <v>1</v>
      </c>
      <c r="F853" t="s">
        <v>1528</v>
      </c>
    </row>
    <row r="854" spans="1:6" x14ac:dyDescent="0.25">
      <c r="A854" t="s">
        <v>1522</v>
      </c>
      <c r="B854" t="s">
        <v>92</v>
      </c>
      <c r="C854" t="s">
        <v>93</v>
      </c>
      <c r="D854" t="str">
        <f>HYPERLINK("http://service.sap.com/sap/support/notes/1653179","1653179")</f>
        <v>1653179</v>
      </c>
      <c r="E854">
        <v>2</v>
      </c>
      <c r="F854" t="s">
        <v>1529</v>
      </c>
    </row>
    <row r="855" spans="1:6" x14ac:dyDescent="0.25">
      <c r="A855" t="s">
        <v>1522</v>
      </c>
      <c r="B855" t="s">
        <v>92</v>
      </c>
      <c r="C855" t="s">
        <v>93</v>
      </c>
      <c r="D855" t="str">
        <f>HYPERLINK("http://service.sap.com/sap/support/notes/1671829","1671829")</f>
        <v>1671829</v>
      </c>
      <c r="E855">
        <v>1</v>
      </c>
      <c r="F855" t="s">
        <v>1530</v>
      </c>
    </row>
    <row r="856" spans="1:6" x14ac:dyDescent="0.25">
      <c r="A856" t="s">
        <v>1522</v>
      </c>
      <c r="B856" t="s">
        <v>1531</v>
      </c>
      <c r="C856" t="s">
        <v>1532</v>
      </c>
      <c r="D856" t="str">
        <f>HYPERLINK("http://service.sap.com/sap/support/notes/1664113","1664113")</f>
        <v>1664113</v>
      </c>
      <c r="E856">
        <v>1</v>
      </c>
      <c r="F856" t="s">
        <v>1533</v>
      </c>
    </row>
    <row r="857" spans="1:6" x14ac:dyDescent="0.25">
      <c r="A857" t="s">
        <v>1522</v>
      </c>
      <c r="B857" t="s">
        <v>5</v>
      </c>
      <c r="C857" t="s">
        <v>6</v>
      </c>
    </row>
    <row r="858" spans="1:6" x14ac:dyDescent="0.25">
      <c r="A858" t="s">
        <v>1522</v>
      </c>
      <c r="B858" t="s">
        <v>7</v>
      </c>
      <c r="C858" t="s">
        <v>97</v>
      </c>
      <c r="D858" t="str">
        <f>HYPERLINK("http://service.sap.com/sap/support/notes/1625675","1625675")</f>
        <v>1625675</v>
      </c>
      <c r="E858">
        <v>1</v>
      </c>
      <c r="F858" t="s">
        <v>1534</v>
      </c>
    </row>
    <row r="859" spans="1:6" x14ac:dyDescent="0.25">
      <c r="A859" t="s">
        <v>1522</v>
      </c>
      <c r="B859" t="s">
        <v>7</v>
      </c>
      <c r="C859" t="s">
        <v>97</v>
      </c>
      <c r="D859" t="str">
        <f>HYPERLINK("http://service.sap.com/sap/support/notes/1635209","1635209")</f>
        <v>1635209</v>
      </c>
      <c r="E859">
        <v>1</v>
      </c>
      <c r="F859" t="s">
        <v>1535</v>
      </c>
    </row>
    <row r="860" spans="1:6" x14ac:dyDescent="0.25">
      <c r="A860" t="s">
        <v>1522</v>
      </c>
      <c r="B860" t="s">
        <v>7</v>
      </c>
      <c r="C860" t="s">
        <v>97</v>
      </c>
      <c r="D860" t="str">
        <f>HYPERLINK("http://service.sap.com/sap/support/notes/1643226","1643226")</f>
        <v>1643226</v>
      </c>
      <c r="E860">
        <v>1</v>
      </c>
      <c r="F860" t="s">
        <v>1536</v>
      </c>
    </row>
    <row r="861" spans="1:6" x14ac:dyDescent="0.25">
      <c r="A861" t="s">
        <v>1522</v>
      </c>
      <c r="B861" t="s">
        <v>9</v>
      </c>
      <c r="C861" t="s">
        <v>1537</v>
      </c>
      <c r="D861" t="str">
        <f>HYPERLINK("http://service.sap.com/sap/support/notes/1655995","1655995")</f>
        <v>1655995</v>
      </c>
      <c r="E861">
        <v>2</v>
      </c>
      <c r="F861" t="s">
        <v>1538</v>
      </c>
    </row>
    <row r="862" spans="1:6" x14ac:dyDescent="0.25">
      <c r="A862" t="s">
        <v>1522</v>
      </c>
      <c r="B862" t="s">
        <v>37</v>
      </c>
      <c r="C862" t="s">
        <v>1539</v>
      </c>
      <c r="D862" t="str">
        <f>HYPERLINK("http://service.sap.com/sap/support/notes/1640475","1640475")</f>
        <v>1640475</v>
      </c>
      <c r="E862">
        <v>1</v>
      </c>
      <c r="F862" t="s">
        <v>1540</v>
      </c>
    </row>
    <row r="863" spans="1:6" x14ac:dyDescent="0.25">
      <c r="A863" t="s">
        <v>1522</v>
      </c>
      <c r="B863" t="s">
        <v>13</v>
      </c>
      <c r="C863" t="s">
        <v>14</v>
      </c>
    </row>
    <row r="864" spans="1:6" x14ac:dyDescent="0.25">
      <c r="A864" t="s">
        <v>1522</v>
      </c>
      <c r="B864" t="s">
        <v>1541</v>
      </c>
      <c r="C864" t="s">
        <v>337</v>
      </c>
    </row>
    <row r="865" spans="1:6" x14ac:dyDescent="0.25">
      <c r="A865" t="s">
        <v>1522</v>
      </c>
      <c r="B865" t="s">
        <v>1542</v>
      </c>
      <c r="C865" t="s">
        <v>1543</v>
      </c>
      <c r="D865" t="str">
        <f>HYPERLINK("http://service.sap.com/sap/support/notes/1612465","1612465")</f>
        <v>1612465</v>
      </c>
      <c r="E865">
        <v>1</v>
      </c>
      <c r="F865" t="s">
        <v>1544</v>
      </c>
    </row>
    <row r="866" spans="1:6" x14ac:dyDescent="0.25">
      <c r="A866" t="s">
        <v>1522</v>
      </c>
      <c r="B866" t="s">
        <v>1542</v>
      </c>
      <c r="C866" t="s">
        <v>1543</v>
      </c>
      <c r="D866" t="str">
        <f>HYPERLINK("http://service.sap.com/sap/support/notes/1652512","1652512")</f>
        <v>1652512</v>
      </c>
      <c r="E866">
        <v>1</v>
      </c>
      <c r="F866" t="s">
        <v>1545</v>
      </c>
    </row>
    <row r="867" spans="1:6" x14ac:dyDescent="0.25">
      <c r="A867" t="s">
        <v>1522</v>
      </c>
      <c r="B867" t="s">
        <v>1542</v>
      </c>
      <c r="C867" t="s">
        <v>1543</v>
      </c>
      <c r="D867" t="str">
        <f>HYPERLINK("http://service.sap.com/sap/support/notes/1653080","1653080")</f>
        <v>1653080</v>
      </c>
      <c r="E867">
        <v>1</v>
      </c>
      <c r="F867" t="s">
        <v>1546</v>
      </c>
    </row>
    <row r="868" spans="1:6" x14ac:dyDescent="0.25">
      <c r="A868" t="s">
        <v>1522</v>
      </c>
      <c r="B868" t="s">
        <v>1542</v>
      </c>
      <c r="C868" t="s">
        <v>1543</v>
      </c>
      <c r="D868" t="str">
        <f>HYPERLINK("http://service.sap.com/sap/support/notes/1665783","1665783")</f>
        <v>1665783</v>
      </c>
      <c r="E868">
        <v>1</v>
      </c>
      <c r="F868" t="s">
        <v>1547</v>
      </c>
    </row>
    <row r="869" spans="1:6" x14ac:dyDescent="0.25">
      <c r="A869" t="s">
        <v>1522</v>
      </c>
      <c r="B869" t="s">
        <v>1542</v>
      </c>
      <c r="C869" t="s">
        <v>1543</v>
      </c>
      <c r="D869" t="str">
        <f>HYPERLINK("http://service.sap.com/sap/support/notes/1665996","1665996")</f>
        <v>1665996</v>
      </c>
      <c r="E869">
        <v>1</v>
      </c>
      <c r="F869" t="s">
        <v>1548</v>
      </c>
    </row>
    <row r="870" spans="1:6" x14ac:dyDescent="0.25">
      <c r="A870" t="s">
        <v>1522</v>
      </c>
      <c r="B870" t="s">
        <v>1542</v>
      </c>
      <c r="C870" t="s">
        <v>1543</v>
      </c>
      <c r="D870" t="str">
        <f>HYPERLINK("http://service.sap.com/sap/support/notes/1666746","1666746")</f>
        <v>1666746</v>
      </c>
      <c r="E870">
        <v>1</v>
      </c>
      <c r="F870" t="s">
        <v>1549</v>
      </c>
    </row>
    <row r="871" spans="1:6" x14ac:dyDescent="0.25">
      <c r="A871" t="s">
        <v>1522</v>
      </c>
      <c r="B871" t="s">
        <v>1542</v>
      </c>
      <c r="C871" t="s">
        <v>1543</v>
      </c>
      <c r="D871" t="str">
        <f>HYPERLINK("http://service.sap.com/sap/support/notes/1668312","1668312")</f>
        <v>1668312</v>
      </c>
      <c r="E871">
        <v>1</v>
      </c>
      <c r="F871" t="s">
        <v>1550</v>
      </c>
    </row>
    <row r="872" spans="1:6" x14ac:dyDescent="0.25">
      <c r="A872" t="s">
        <v>1522</v>
      </c>
      <c r="B872" t="s">
        <v>1542</v>
      </c>
      <c r="C872" t="s">
        <v>1543</v>
      </c>
      <c r="D872" t="str">
        <f>HYPERLINK("http://service.sap.com/sap/support/notes/1669240","1669240")</f>
        <v>1669240</v>
      </c>
      <c r="E872">
        <v>1</v>
      </c>
      <c r="F872" t="s">
        <v>1551</v>
      </c>
    </row>
    <row r="873" spans="1:6" x14ac:dyDescent="0.25">
      <c r="A873" t="s">
        <v>1522</v>
      </c>
      <c r="B873" t="s">
        <v>1542</v>
      </c>
      <c r="C873" t="s">
        <v>1543</v>
      </c>
      <c r="D873" t="str">
        <f>HYPERLINK("http://service.sap.com/sap/support/notes/1669516","1669516")</f>
        <v>1669516</v>
      </c>
      <c r="E873">
        <v>1</v>
      </c>
      <c r="F873" t="s">
        <v>1552</v>
      </c>
    </row>
    <row r="874" spans="1:6" x14ac:dyDescent="0.25">
      <c r="A874" t="s">
        <v>1522</v>
      </c>
      <c r="B874" t="s">
        <v>1542</v>
      </c>
      <c r="C874" t="s">
        <v>1543</v>
      </c>
      <c r="D874" t="str">
        <f>HYPERLINK("http://service.sap.com/sap/support/notes/1671936","1671936")</f>
        <v>1671936</v>
      </c>
      <c r="E874">
        <v>1</v>
      </c>
      <c r="F874" t="s">
        <v>1553</v>
      </c>
    </row>
    <row r="875" spans="1:6" x14ac:dyDescent="0.25">
      <c r="A875" t="s">
        <v>1522</v>
      </c>
      <c r="B875" t="s">
        <v>99</v>
      </c>
      <c r="C875" t="s">
        <v>100</v>
      </c>
      <c r="D875" t="str">
        <f>HYPERLINK("http://service.sap.com/sap/support/notes/1664848","1664848")</f>
        <v>1664848</v>
      </c>
      <c r="E875">
        <v>2</v>
      </c>
      <c r="F875" t="s">
        <v>1554</v>
      </c>
    </row>
    <row r="876" spans="1:6" x14ac:dyDescent="0.25">
      <c r="A876" t="s">
        <v>1522</v>
      </c>
      <c r="B876" t="s">
        <v>99</v>
      </c>
      <c r="C876" t="s">
        <v>100</v>
      </c>
      <c r="D876" t="str">
        <f>HYPERLINK("http://service.sap.com/sap/support/notes/1666472","1666472")</f>
        <v>1666472</v>
      </c>
      <c r="E876">
        <v>1</v>
      </c>
      <c r="F876" t="s">
        <v>1555</v>
      </c>
    </row>
    <row r="877" spans="1:6" x14ac:dyDescent="0.25">
      <c r="A877" t="s">
        <v>1522</v>
      </c>
      <c r="B877" t="s">
        <v>99</v>
      </c>
      <c r="C877" t="s">
        <v>100</v>
      </c>
      <c r="D877" t="str">
        <f>HYPERLINK("http://service.sap.com/sap/support/notes/1667619","1667619")</f>
        <v>1667619</v>
      </c>
      <c r="E877">
        <v>1</v>
      </c>
      <c r="F877" t="s">
        <v>1556</v>
      </c>
    </row>
    <row r="878" spans="1:6" x14ac:dyDescent="0.25">
      <c r="A878" t="s">
        <v>1522</v>
      </c>
      <c r="B878" t="s">
        <v>101</v>
      </c>
      <c r="C878" t="s">
        <v>102</v>
      </c>
      <c r="D878" t="str">
        <f>HYPERLINK("http://service.sap.com/sap/support/notes/1533964","1533964")</f>
        <v>1533964</v>
      </c>
      <c r="E878">
        <v>2</v>
      </c>
      <c r="F878" t="s">
        <v>1557</v>
      </c>
    </row>
    <row r="879" spans="1:6" x14ac:dyDescent="0.25">
      <c r="A879" t="s">
        <v>1522</v>
      </c>
      <c r="B879" t="s">
        <v>101</v>
      </c>
      <c r="C879" t="s">
        <v>102</v>
      </c>
      <c r="D879" t="str">
        <f>HYPERLINK("http://service.sap.com/sap/support/notes/1630032","1630032")</f>
        <v>1630032</v>
      </c>
      <c r="E879">
        <v>2</v>
      </c>
      <c r="F879" t="s">
        <v>1558</v>
      </c>
    </row>
    <row r="880" spans="1:6" x14ac:dyDescent="0.25">
      <c r="A880" t="s">
        <v>1522</v>
      </c>
      <c r="B880" t="s">
        <v>101</v>
      </c>
      <c r="C880" t="s">
        <v>102</v>
      </c>
      <c r="D880" t="str">
        <f>HYPERLINK("http://service.sap.com/sap/support/notes/1634529","1634529")</f>
        <v>1634529</v>
      </c>
      <c r="E880">
        <v>1</v>
      </c>
      <c r="F880" t="s">
        <v>1559</v>
      </c>
    </row>
    <row r="881" spans="1:6" x14ac:dyDescent="0.25">
      <c r="A881" t="s">
        <v>1522</v>
      </c>
      <c r="B881" t="s">
        <v>101</v>
      </c>
      <c r="C881" t="s">
        <v>102</v>
      </c>
      <c r="D881" t="str">
        <f>HYPERLINK("http://service.sap.com/sap/support/notes/1671855","1671855")</f>
        <v>1671855</v>
      </c>
      <c r="E881">
        <v>1</v>
      </c>
      <c r="F881" t="s">
        <v>1560</v>
      </c>
    </row>
    <row r="882" spans="1:6" x14ac:dyDescent="0.25">
      <c r="A882" t="s">
        <v>1522</v>
      </c>
      <c r="B882" t="s">
        <v>104</v>
      </c>
      <c r="C882" t="s">
        <v>105</v>
      </c>
    </row>
    <row r="883" spans="1:6" x14ac:dyDescent="0.25">
      <c r="A883" t="s">
        <v>1522</v>
      </c>
      <c r="B883" t="s">
        <v>109</v>
      </c>
      <c r="C883" t="s">
        <v>110</v>
      </c>
    </row>
    <row r="884" spans="1:6" x14ac:dyDescent="0.25">
      <c r="A884" t="s">
        <v>1522</v>
      </c>
      <c r="B884" t="s">
        <v>111</v>
      </c>
      <c r="C884" t="s">
        <v>112</v>
      </c>
      <c r="D884" t="str">
        <f>HYPERLINK("http://service.sap.com/sap/support/notes/1664210","1664210")</f>
        <v>1664210</v>
      </c>
      <c r="E884">
        <v>2</v>
      </c>
      <c r="F884" t="s">
        <v>1561</v>
      </c>
    </row>
    <row r="885" spans="1:6" x14ac:dyDescent="0.25">
      <c r="A885" t="s">
        <v>1522</v>
      </c>
      <c r="B885" t="s">
        <v>111</v>
      </c>
      <c r="C885" t="s">
        <v>112</v>
      </c>
      <c r="D885" t="str">
        <f>HYPERLINK("http://service.sap.com/sap/support/notes/1664597","1664597")</f>
        <v>1664597</v>
      </c>
      <c r="E885">
        <v>1</v>
      </c>
      <c r="F885" t="s">
        <v>1562</v>
      </c>
    </row>
    <row r="886" spans="1:6" x14ac:dyDescent="0.25">
      <c r="A886" t="s">
        <v>1522</v>
      </c>
      <c r="B886" t="s">
        <v>114</v>
      </c>
      <c r="C886" t="s">
        <v>115</v>
      </c>
    </row>
    <row r="887" spans="1:6" x14ac:dyDescent="0.25">
      <c r="A887" t="s">
        <v>1522</v>
      </c>
      <c r="B887" t="s">
        <v>116</v>
      </c>
      <c r="C887" t="s">
        <v>117</v>
      </c>
    </row>
    <row r="888" spans="1:6" x14ac:dyDescent="0.25">
      <c r="A888" t="s">
        <v>1522</v>
      </c>
      <c r="B888" t="s">
        <v>118</v>
      </c>
      <c r="C888" t="s">
        <v>119</v>
      </c>
      <c r="D888" t="str">
        <f>HYPERLINK("http://service.sap.com/sap/support/notes/1629906","1629906")</f>
        <v>1629906</v>
      </c>
      <c r="E888">
        <v>7</v>
      </c>
      <c r="F888" t="s">
        <v>1563</v>
      </c>
    </row>
    <row r="889" spans="1:6" x14ac:dyDescent="0.25">
      <c r="A889" t="s">
        <v>1522</v>
      </c>
      <c r="B889" t="s">
        <v>118</v>
      </c>
      <c r="C889" t="s">
        <v>119</v>
      </c>
      <c r="D889" t="str">
        <f>HYPERLINK("http://service.sap.com/sap/support/notes/1637203","1637203")</f>
        <v>1637203</v>
      </c>
      <c r="E889">
        <v>5</v>
      </c>
      <c r="F889" t="s">
        <v>1564</v>
      </c>
    </row>
    <row r="890" spans="1:6" x14ac:dyDescent="0.25">
      <c r="A890" t="s">
        <v>1522</v>
      </c>
      <c r="B890" t="s">
        <v>118</v>
      </c>
      <c r="C890" t="s">
        <v>119</v>
      </c>
      <c r="D890" t="str">
        <f>HYPERLINK("http://service.sap.com/sap/support/notes/1640502","1640502")</f>
        <v>1640502</v>
      </c>
      <c r="E890">
        <v>2</v>
      </c>
      <c r="F890" t="s">
        <v>1565</v>
      </c>
    </row>
    <row r="891" spans="1:6" x14ac:dyDescent="0.25">
      <c r="A891" t="s">
        <v>1522</v>
      </c>
      <c r="B891" t="s">
        <v>118</v>
      </c>
      <c r="C891" t="s">
        <v>119</v>
      </c>
      <c r="D891" t="str">
        <f>HYPERLINK("http://service.sap.com/sap/support/notes/1647323","1647323")</f>
        <v>1647323</v>
      </c>
      <c r="E891">
        <v>1</v>
      </c>
      <c r="F891" t="s">
        <v>1566</v>
      </c>
    </row>
    <row r="892" spans="1:6" x14ac:dyDescent="0.25">
      <c r="A892" t="s">
        <v>1522</v>
      </c>
      <c r="B892" t="s">
        <v>121</v>
      </c>
      <c r="C892" t="s">
        <v>122</v>
      </c>
    </row>
    <row r="893" spans="1:6" x14ac:dyDescent="0.25">
      <c r="A893" t="s">
        <v>1522</v>
      </c>
      <c r="B893" t="s">
        <v>123</v>
      </c>
      <c r="C893" t="s">
        <v>124</v>
      </c>
    </row>
    <row r="894" spans="1:6" x14ac:dyDescent="0.25">
      <c r="A894" t="s">
        <v>1522</v>
      </c>
      <c r="B894" t="s">
        <v>1567</v>
      </c>
      <c r="C894" t="s">
        <v>1568</v>
      </c>
      <c r="D894" t="str">
        <f>HYPERLINK("http://service.sap.com/sap/support/notes/1665254","1665254")</f>
        <v>1665254</v>
      </c>
      <c r="E894">
        <v>1</v>
      </c>
      <c r="F894" t="s">
        <v>1569</v>
      </c>
    </row>
    <row r="895" spans="1:6" x14ac:dyDescent="0.25">
      <c r="A895" t="s">
        <v>1522</v>
      </c>
      <c r="B895" t="s">
        <v>125</v>
      </c>
      <c r="C895" t="s">
        <v>126</v>
      </c>
    </row>
    <row r="896" spans="1:6" x14ac:dyDescent="0.25">
      <c r="A896" t="s">
        <v>1522</v>
      </c>
      <c r="B896" t="s">
        <v>127</v>
      </c>
      <c r="C896" t="s">
        <v>128</v>
      </c>
      <c r="D896" t="str">
        <f>HYPERLINK("http://service.sap.com/sap/support/notes/798907","798907")</f>
        <v>798907</v>
      </c>
      <c r="E896">
        <v>2</v>
      </c>
      <c r="F896" t="s">
        <v>1570</v>
      </c>
    </row>
    <row r="897" spans="1:6" x14ac:dyDescent="0.25">
      <c r="A897" t="s">
        <v>1522</v>
      </c>
      <c r="B897" t="s">
        <v>127</v>
      </c>
      <c r="C897" t="s">
        <v>128</v>
      </c>
      <c r="D897" t="str">
        <f>HYPERLINK("http://service.sap.com/sap/support/notes/1370386","1370386")</f>
        <v>1370386</v>
      </c>
      <c r="E897">
        <v>5</v>
      </c>
      <c r="F897" t="s">
        <v>1571</v>
      </c>
    </row>
    <row r="898" spans="1:6" x14ac:dyDescent="0.25">
      <c r="A898" t="s">
        <v>1522</v>
      </c>
      <c r="B898" t="s">
        <v>127</v>
      </c>
      <c r="C898" t="s">
        <v>128</v>
      </c>
      <c r="D898" t="str">
        <f>HYPERLINK("http://service.sap.com/sap/support/notes/1646844","1646844")</f>
        <v>1646844</v>
      </c>
      <c r="E898">
        <v>1</v>
      </c>
      <c r="F898" t="s">
        <v>1572</v>
      </c>
    </row>
    <row r="899" spans="1:6" x14ac:dyDescent="0.25">
      <c r="A899" t="s">
        <v>1522</v>
      </c>
      <c r="B899" t="s">
        <v>1573</v>
      </c>
      <c r="C899" t="s">
        <v>1574</v>
      </c>
      <c r="D899" t="str">
        <f>HYPERLINK("http://service.sap.com/sap/support/notes/1567572","1567572")</f>
        <v>1567572</v>
      </c>
      <c r="E899">
        <v>3</v>
      </c>
      <c r="F899" t="s">
        <v>1575</v>
      </c>
    </row>
    <row r="900" spans="1:6" x14ac:dyDescent="0.25">
      <c r="A900" t="s">
        <v>1522</v>
      </c>
      <c r="B900" t="s">
        <v>1573</v>
      </c>
      <c r="C900" t="s">
        <v>1574</v>
      </c>
      <c r="D900" t="str">
        <f>HYPERLINK("http://service.sap.com/sap/support/notes/1580680","1580680")</f>
        <v>1580680</v>
      </c>
      <c r="E900">
        <v>2</v>
      </c>
      <c r="F900" t="s">
        <v>1576</v>
      </c>
    </row>
    <row r="901" spans="1:6" x14ac:dyDescent="0.25">
      <c r="A901" t="s">
        <v>1522</v>
      </c>
      <c r="B901" t="s">
        <v>1573</v>
      </c>
      <c r="C901" t="s">
        <v>1574</v>
      </c>
      <c r="D901" t="str">
        <f>HYPERLINK("http://service.sap.com/sap/support/notes/1654356","1654356")</f>
        <v>1654356</v>
      </c>
      <c r="E901">
        <v>1</v>
      </c>
      <c r="F901" t="s">
        <v>1577</v>
      </c>
    </row>
    <row r="902" spans="1:6" x14ac:dyDescent="0.25">
      <c r="A902" t="s">
        <v>1522</v>
      </c>
      <c r="B902" t="s">
        <v>1578</v>
      </c>
      <c r="C902" t="s">
        <v>1579</v>
      </c>
      <c r="D902" t="str">
        <f>HYPERLINK("http://service.sap.com/sap/support/notes/1548737","1548737")</f>
        <v>1548737</v>
      </c>
      <c r="E902">
        <v>9</v>
      </c>
      <c r="F902" t="s">
        <v>1580</v>
      </c>
    </row>
    <row r="903" spans="1:6" x14ac:dyDescent="0.25">
      <c r="A903" t="s">
        <v>1522</v>
      </c>
      <c r="B903" t="s">
        <v>1578</v>
      </c>
      <c r="C903" t="s">
        <v>1579</v>
      </c>
      <c r="D903" t="str">
        <f>HYPERLINK("http://service.sap.com/sap/support/notes/1625609","1625609")</f>
        <v>1625609</v>
      </c>
      <c r="E903">
        <v>2</v>
      </c>
      <c r="F903" t="s">
        <v>1581</v>
      </c>
    </row>
    <row r="904" spans="1:6" x14ac:dyDescent="0.25">
      <c r="A904" t="s">
        <v>1522</v>
      </c>
      <c r="B904" t="s">
        <v>1578</v>
      </c>
      <c r="C904" t="s">
        <v>1579</v>
      </c>
      <c r="D904" t="str">
        <f>HYPERLINK("http://service.sap.com/sap/support/notes/1626204","1626204")</f>
        <v>1626204</v>
      </c>
      <c r="E904">
        <v>2</v>
      </c>
      <c r="F904" t="s">
        <v>1582</v>
      </c>
    </row>
    <row r="905" spans="1:6" x14ac:dyDescent="0.25">
      <c r="A905" t="s">
        <v>1522</v>
      </c>
      <c r="B905" t="s">
        <v>1578</v>
      </c>
      <c r="C905" t="s">
        <v>1579</v>
      </c>
      <c r="D905" t="str">
        <f>HYPERLINK("http://service.sap.com/sap/support/notes/1631748","1631748")</f>
        <v>1631748</v>
      </c>
      <c r="E905">
        <v>1</v>
      </c>
      <c r="F905" t="s">
        <v>1583</v>
      </c>
    </row>
    <row r="906" spans="1:6" x14ac:dyDescent="0.25">
      <c r="A906" t="s">
        <v>1522</v>
      </c>
      <c r="B906" t="s">
        <v>1578</v>
      </c>
      <c r="C906" t="s">
        <v>1579</v>
      </c>
      <c r="D906" t="str">
        <f>HYPERLINK("http://service.sap.com/sap/support/notes/1632697","1632697")</f>
        <v>1632697</v>
      </c>
      <c r="E906">
        <v>2</v>
      </c>
      <c r="F906" t="s">
        <v>1584</v>
      </c>
    </row>
    <row r="907" spans="1:6" x14ac:dyDescent="0.25">
      <c r="A907" t="s">
        <v>1522</v>
      </c>
      <c r="B907" t="s">
        <v>1578</v>
      </c>
      <c r="C907" t="s">
        <v>1579</v>
      </c>
      <c r="D907" t="str">
        <f>HYPERLINK("http://service.sap.com/sap/support/notes/1643777","1643777")</f>
        <v>1643777</v>
      </c>
      <c r="E907">
        <v>2</v>
      </c>
      <c r="F907" t="s">
        <v>1585</v>
      </c>
    </row>
    <row r="908" spans="1:6" x14ac:dyDescent="0.25">
      <c r="A908" t="s">
        <v>1522</v>
      </c>
      <c r="B908" t="s">
        <v>1578</v>
      </c>
      <c r="C908" t="s">
        <v>1579</v>
      </c>
      <c r="D908" t="str">
        <f>HYPERLINK("http://service.sap.com/sap/support/notes/1648815","1648815")</f>
        <v>1648815</v>
      </c>
      <c r="E908">
        <v>1</v>
      </c>
      <c r="F908" t="s">
        <v>1586</v>
      </c>
    </row>
    <row r="909" spans="1:6" x14ac:dyDescent="0.25">
      <c r="A909" t="s">
        <v>1522</v>
      </c>
      <c r="B909" t="s">
        <v>1578</v>
      </c>
      <c r="C909" t="s">
        <v>1579</v>
      </c>
      <c r="D909" t="str">
        <f>HYPERLINK("http://service.sap.com/sap/support/notes/1663088","1663088")</f>
        <v>1663088</v>
      </c>
      <c r="E909">
        <v>2</v>
      </c>
      <c r="F909" t="s">
        <v>1587</v>
      </c>
    </row>
    <row r="910" spans="1:6" x14ac:dyDescent="0.25">
      <c r="A910" t="s">
        <v>1522</v>
      </c>
      <c r="B910" t="s">
        <v>131</v>
      </c>
      <c r="C910" t="s">
        <v>132</v>
      </c>
      <c r="D910" t="str">
        <f>HYPERLINK("http://service.sap.com/sap/support/notes/1599169","1599169")</f>
        <v>1599169</v>
      </c>
      <c r="E910">
        <v>4</v>
      </c>
      <c r="F910" t="s">
        <v>1588</v>
      </c>
    </row>
    <row r="911" spans="1:6" x14ac:dyDescent="0.25">
      <c r="A911" t="s">
        <v>1522</v>
      </c>
      <c r="B911" t="s">
        <v>131</v>
      </c>
      <c r="C911" t="s">
        <v>132</v>
      </c>
      <c r="D911" t="str">
        <f>HYPERLINK("http://service.sap.com/sap/support/notes/1630808","1630808")</f>
        <v>1630808</v>
      </c>
      <c r="E911">
        <v>4</v>
      </c>
      <c r="F911" t="s">
        <v>1589</v>
      </c>
    </row>
    <row r="912" spans="1:6" x14ac:dyDescent="0.25">
      <c r="A912" t="s">
        <v>1522</v>
      </c>
      <c r="B912" t="s">
        <v>133</v>
      </c>
      <c r="C912" t="s">
        <v>134</v>
      </c>
      <c r="D912" t="str">
        <f>HYPERLINK("http://service.sap.com/sap/support/notes/1609350","1609350")</f>
        <v>1609350</v>
      </c>
      <c r="E912">
        <v>1</v>
      </c>
      <c r="F912" t="s">
        <v>1590</v>
      </c>
    </row>
    <row r="913" spans="1:6" x14ac:dyDescent="0.25">
      <c r="A913" t="s">
        <v>1522</v>
      </c>
      <c r="B913" t="s">
        <v>1591</v>
      </c>
      <c r="C913" t="s">
        <v>1592</v>
      </c>
      <c r="D913" t="str">
        <f>HYPERLINK("http://service.sap.com/sap/support/notes/1645417","1645417")</f>
        <v>1645417</v>
      </c>
      <c r="E913">
        <v>3</v>
      </c>
      <c r="F913" t="s">
        <v>1593</v>
      </c>
    </row>
    <row r="914" spans="1:6" x14ac:dyDescent="0.25">
      <c r="A914" t="s">
        <v>1522</v>
      </c>
      <c r="B914" t="s">
        <v>1594</v>
      </c>
      <c r="C914" t="s">
        <v>1595</v>
      </c>
      <c r="D914" t="str">
        <f>HYPERLINK("http://service.sap.com/sap/support/notes/803874","803874")</f>
        <v>803874</v>
      </c>
      <c r="E914">
        <v>12</v>
      </c>
      <c r="F914" t="s">
        <v>1596</v>
      </c>
    </row>
    <row r="915" spans="1:6" x14ac:dyDescent="0.25">
      <c r="A915" t="s">
        <v>1522</v>
      </c>
      <c r="B915" t="s">
        <v>1594</v>
      </c>
      <c r="C915" t="s">
        <v>1595</v>
      </c>
      <c r="D915" t="str">
        <f>HYPERLINK("http://service.sap.com/sap/support/notes/1497666","1497666")</f>
        <v>1497666</v>
      </c>
      <c r="E915">
        <v>3</v>
      </c>
      <c r="F915" t="s">
        <v>1597</v>
      </c>
    </row>
    <row r="916" spans="1:6" x14ac:dyDescent="0.25">
      <c r="A916" t="s">
        <v>1522</v>
      </c>
      <c r="B916" t="s">
        <v>1598</v>
      </c>
      <c r="C916" t="s">
        <v>1599</v>
      </c>
      <c r="D916" t="str">
        <f>HYPERLINK("http://service.sap.com/sap/support/notes/1236416","1236416")</f>
        <v>1236416</v>
      </c>
      <c r="E916">
        <v>8</v>
      </c>
      <c r="F916" t="s">
        <v>1600</v>
      </c>
    </row>
    <row r="917" spans="1:6" x14ac:dyDescent="0.25">
      <c r="A917" t="s">
        <v>1522</v>
      </c>
      <c r="B917" t="s">
        <v>1598</v>
      </c>
      <c r="C917" t="s">
        <v>1599</v>
      </c>
      <c r="D917" t="str">
        <f>HYPERLINK("http://service.sap.com/sap/support/notes/1668767","1668767")</f>
        <v>1668767</v>
      </c>
      <c r="E917">
        <v>2</v>
      </c>
      <c r="F917" t="s">
        <v>1601</v>
      </c>
    </row>
    <row r="918" spans="1:6" x14ac:dyDescent="0.25">
      <c r="A918" t="s">
        <v>1522</v>
      </c>
      <c r="B918" t="s">
        <v>1602</v>
      </c>
      <c r="C918" t="s">
        <v>1603</v>
      </c>
      <c r="D918" t="str">
        <f>HYPERLINK("http://service.sap.com/sap/support/notes/731125","731125")</f>
        <v>731125</v>
      </c>
      <c r="E918">
        <v>6</v>
      </c>
      <c r="F918" t="s">
        <v>1604</v>
      </c>
    </row>
    <row r="919" spans="1:6" x14ac:dyDescent="0.25">
      <c r="A919" t="s">
        <v>1522</v>
      </c>
      <c r="B919" t="s">
        <v>1605</v>
      </c>
      <c r="C919" t="s">
        <v>656</v>
      </c>
    </row>
    <row r="920" spans="1:6" x14ac:dyDescent="0.25">
      <c r="A920" t="s">
        <v>1522</v>
      </c>
      <c r="B920" t="s">
        <v>1606</v>
      </c>
      <c r="C920" t="s">
        <v>1607</v>
      </c>
      <c r="D920" t="str">
        <f>HYPERLINK("http://service.sap.com/sap/support/notes/1653228","1653228")</f>
        <v>1653228</v>
      </c>
      <c r="E920">
        <v>1</v>
      </c>
      <c r="F920" t="s">
        <v>1608</v>
      </c>
    </row>
    <row r="921" spans="1:6" x14ac:dyDescent="0.25">
      <c r="A921" t="s">
        <v>1522</v>
      </c>
      <c r="B921" t="s">
        <v>140</v>
      </c>
      <c r="C921" t="s">
        <v>141</v>
      </c>
    </row>
    <row r="922" spans="1:6" x14ac:dyDescent="0.25">
      <c r="A922" t="s">
        <v>1522</v>
      </c>
      <c r="B922" t="s">
        <v>142</v>
      </c>
      <c r="C922" t="s">
        <v>143</v>
      </c>
      <c r="D922" t="str">
        <f>HYPERLINK("http://service.sap.com/sap/support/notes/1639112","1639112")</f>
        <v>1639112</v>
      </c>
      <c r="E922">
        <v>1</v>
      </c>
      <c r="F922" t="s">
        <v>1609</v>
      </c>
    </row>
    <row r="923" spans="1:6" x14ac:dyDescent="0.25">
      <c r="A923" t="s">
        <v>1522</v>
      </c>
      <c r="B923" t="s">
        <v>142</v>
      </c>
      <c r="C923" t="s">
        <v>143</v>
      </c>
      <c r="D923" t="str">
        <f>HYPERLINK("http://service.sap.com/sap/support/notes/1662659","1662659")</f>
        <v>1662659</v>
      </c>
      <c r="E923">
        <v>1</v>
      </c>
      <c r="F923" t="s">
        <v>1610</v>
      </c>
    </row>
    <row r="924" spans="1:6" x14ac:dyDescent="0.25">
      <c r="A924" t="s">
        <v>1522</v>
      </c>
      <c r="B924" t="s">
        <v>1611</v>
      </c>
      <c r="C924" t="s">
        <v>859</v>
      </c>
      <c r="D924" t="str">
        <f>HYPERLINK("http://service.sap.com/sap/support/notes/1633056","1633056")</f>
        <v>1633056</v>
      </c>
      <c r="E924">
        <v>3</v>
      </c>
      <c r="F924" t="s">
        <v>1612</v>
      </c>
    </row>
    <row r="925" spans="1:6" x14ac:dyDescent="0.25">
      <c r="A925" t="s">
        <v>1522</v>
      </c>
      <c r="B925" t="s">
        <v>1611</v>
      </c>
      <c r="C925" t="s">
        <v>859</v>
      </c>
      <c r="D925" t="str">
        <f>HYPERLINK("http://service.sap.com/sap/support/notes/1652602","1652602")</f>
        <v>1652602</v>
      </c>
      <c r="E925">
        <v>1</v>
      </c>
      <c r="F925" t="s">
        <v>1613</v>
      </c>
    </row>
    <row r="926" spans="1:6" x14ac:dyDescent="0.25">
      <c r="A926" t="s">
        <v>1522</v>
      </c>
      <c r="B926" t="s">
        <v>1611</v>
      </c>
      <c r="C926" t="s">
        <v>859</v>
      </c>
      <c r="D926" t="str">
        <f>HYPERLINK("http://service.sap.com/sap/support/notes/1658520","1658520")</f>
        <v>1658520</v>
      </c>
      <c r="E926">
        <v>2</v>
      </c>
      <c r="F926" t="s">
        <v>1614</v>
      </c>
    </row>
    <row r="927" spans="1:6" x14ac:dyDescent="0.25">
      <c r="A927" t="s">
        <v>1522</v>
      </c>
      <c r="B927" t="s">
        <v>145</v>
      </c>
      <c r="C927" t="s">
        <v>146</v>
      </c>
      <c r="D927" t="str">
        <f>HYPERLINK("http://service.sap.com/sap/support/notes/1226970","1226970")</f>
        <v>1226970</v>
      </c>
      <c r="E927">
        <v>12</v>
      </c>
      <c r="F927" t="s">
        <v>1615</v>
      </c>
    </row>
    <row r="928" spans="1:6" x14ac:dyDescent="0.25">
      <c r="A928" t="s">
        <v>1522</v>
      </c>
      <c r="B928" t="s">
        <v>145</v>
      </c>
      <c r="C928" t="s">
        <v>146</v>
      </c>
      <c r="D928" t="str">
        <f>HYPERLINK("http://service.sap.com/sap/support/notes/1599381","1599381")</f>
        <v>1599381</v>
      </c>
      <c r="E928">
        <v>2</v>
      </c>
      <c r="F928" t="s">
        <v>1616</v>
      </c>
    </row>
    <row r="929" spans="1:6" x14ac:dyDescent="0.25">
      <c r="A929" t="s">
        <v>1522</v>
      </c>
      <c r="B929" t="s">
        <v>145</v>
      </c>
      <c r="C929" t="s">
        <v>146</v>
      </c>
      <c r="D929" t="str">
        <f>HYPERLINK("http://service.sap.com/sap/support/notes/1621235","1621235")</f>
        <v>1621235</v>
      </c>
      <c r="E929">
        <v>1</v>
      </c>
      <c r="F929" t="s">
        <v>1617</v>
      </c>
    </row>
    <row r="930" spans="1:6" x14ac:dyDescent="0.25">
      <c r="A930" t="s">
        <v>1522</v>
      </c>
      <c r="B930" t="s">
        <v>145</v>
      </c>
      <c r="C930" t="s">
        <v>146</v>
      </c>
      <c r="D930" t="str">
        <f>HYPERLINK("http://service.sap.com/sap/support/notes/1625121","1625121")</f>
        <v>1625121</v>
      </c>
      <c r="E930">
        <v>1</v>
      </c>
      <c r="F930" t="s">
        <v>1618</v>
      </c>
    </row>
    <row r="931" spans="1:6" x14ac:dyDescent="0.25">
      <c r="A931" t="s">
        <v>1522</v>
      </c>
      <c r="B931" t="s">
        <v>149</v>
      </c>
      <c r="C931" t="s">
        <v>150</v>
      </c>
    </row>
    <row r="932" spans="1:6" x14ac:dyDescent="0.25">
      <c r="A932" t="s">
        <v>1522</v>
      </c>
      <c r="B932" t="s">
        <v>151</v>
      </c>
      <c r="C932" t="s">
        <v>152</v>
      </c>
      <c r="D932" t="str">
        <f>HYPERLINK("http://service.sap.com/sap/support/notes/1628679","1628679")</f>
        <v>1628679</v>
      </c>
      <c r="E932">
        <v>1</v>
      </c>
      <c r="F932" t="s">
        <v>1619</v>
      </c>
    </row>
    <row r="933" spans="1:6" x14ac:dyDescent="0.25">
      <c r="A933" t="s">
        <v>1522</v>
      </c>
      <c r="B933" t="s">
        <v>151</v>
      </c>
      <c r="C933" t="s">
        <v>152</v>
      </c>
      <c r="D933" t="str">
        <f>HYPERLINK("http://service.sap.com/sap/support/notes/1652601","1652601")</f>
        <v>1652601</v>
      </c>
      <c r="E933">
        <v>2</v>
      </c>
      <c r="F933" t="s">
        <v>1620</v>
      </c>
    </row>
    <row r="934" spans="1:6" x14ac:dyDescent="0.25">
      <c r="A934" t="s">
        <v>1522</v>
      </c>
      <c r="B934" t="s">
        <v>1621</v>
      </c>
      <c r="C934" t="s">
        <v>990</v>
      </c>
      <c r="D934" t="str">
        <f>HYPERLINK("http://service.sap.com/sap/support/notes/1638615","1638615")</f>
        <v>1638615</v>
      </c>
      <c r="E934">
        <v>6</v>
      </c>
      <c r="F934" t="s">
        <v>1622</v>
      </c>
    </row>
    <row r="935" spans="1:6" x14ac:dyDescent="0.25">
      <c r="A935" t="s">
        <v>1522</v>
      </c>
      <c r="B935" t="s">
        <v>1621</v>
      </c>
      <c r="C935" t="s">
        <v>990</v>
      </c>
      <c r="D935" t="str">
        <f>HYPERLINK("http://service.sap.com/sap/support/notes/1647058","1647058")</f>
        <v>1647058</v>
      </c>
      <c r="E935">
        <v>2</v>
      </c>
      <c r="F935" t="s">
        <v>1623</v>
      </c>
    </row>
    <row r="936" spans="1:6" x14ac:dyDescent="0.25">
      <c r="A936" t="s">
        <v>1522</v>
      </c>
      <c r="B936" t="s">
        <v>1621</v>
      </c>
      <c r="C936" t="s">
        <v>990</v>
      </c>
      <c r="D936" t="str">
        <f>HYPERLINK("http://service.sap.com/sap/support/notes/1657266","1657266")</f>
        <v>1657266</v>
      </c>
      <c r="E936">
        <v>5</v>
      </c>
      <c r="F936" t="s">
        <v>1624</v>
      </c>
    </row>
    <row r="937" spans="1:6" x14ac:dyDescent="0.25">
      <c r="A937" t="s">
        <v>1522</v>
      </c>
      <c r="B937" t="s">
        <v>1621</v>
      </c>
      <c r="C937" t="s">
        <v>990</v>
      </c>
      <c r="D937" t="str">
        <f>HYPERLINK("http://service.sap.com/sap/support/notes/1659889","1659889")</f>
        <v>1659889</v>
      </c>
      <c r="E937">
        <v>1</v>
      </c>
      <c r="F937" t="s">
        <v>1625</v>
      </c>
    </row>
    <row r="938" spans="1:6" x14ac:dyDescent="0.25">
      <c r="A938" t="s">
        <v>1522</v>
      </c>
      <c r="B938" t="s">
        <v>162</v>
      </c>
      <c r="C938" t="s">
        <v>163</v>
      </c>
    </row>
    <row r="939" spans="1:6" x14ac:dyDescent="0.25">
      <c r="A939" t="s">
        <v>1522</v>
      </c>
      <c r="B939" t="s">
        <v>1626</v>
      </c>
      <c r="C939" t="s">
        <v>1627</v>
      </c>
      <c r="D939" t="str">
        <f>HYPERLINK("http://service.sap.com/sap/support/notes/1631994","1631994")</f>
        <v>1631994</v>
      </c>
      <c r="E939">
        <v>1</v>
      </c>
      <c r="F939" t="s">
        <v>1628</v>
      </c>
    </row>
    <row r="940" spans="1:6" x14ac:dyDescent="0.25">
      <c r="A940" t="s">
        <v>1522</v>
      </c>
      <c r="B940" t="s">
        <v>1629</v>
      </c>
      <c r="C940" t="s">
        <v>1106</v>
      </c>
      <c r="D940" t="str">
        <f>HYPERLINK("http://service.sap.com/sap/support/notes/1655668","1655668")</f>
        <v>1655668</v>
      </c>
      <c r="E940">
        <v>2</v>
      </c>
      <c r="F940" t="s">
        <v>1630</v>
      </c>
    </row>
    <row r="941" spans="1:6" x14ac:dyDescent="0.25">
      <c r="A941" t="s">
        <v>1522</v>
      </c>
      <c r="B941" t="s">
        <v>167</v>
      </c>
      <c r="C941" t="s">
        <v>168</v>
      </c>
    </row>
    <row r="942" spans="1:6" x14ac:dyDescent="0.25">
      <c r="A942" t="s">
        <v>1522</v>
      </c>
      <c r="B942" t="s">
        <v>1631</v>
      </c>
      <c r="C942" t="s">
        <v>1259</v>
      </c>
      <c r="D942" t="str">
        <f>HYPERLINK("http://service.sap.com/sap/support/notes/1652737","1652737")</f>
        <v>1652737</v>
      </c>
      <c r="E942">
        <v>4</v>
      </c>
      <c r="F942" t="s">
        <v>1632</v>
      </c>
    </row>
    <row r="943" spans="1:6" x14ac:dyDescent="0.25">
      <c r="A943" t="s">
        <v>1522</v>
      </c>
      <c r="B943" t="s">
        <v>169</v>
      </c>
      <c r="C943" t="s">
        <v>170</v>
      </c>
      <c r="D943" t="str">
        <f>HYPERLINK("http://service.sap.com/sap/support/notes/1643384","1643384")</f>
        <v>1643384</v>
      </c>
      <c r="E943">
        <v>1</v>
      </c>
      <c r="F943" t="s">
        <v>1633</v>
      </c>
    </row>
    <row r="944" spans="1:6" x14ac:dyDescent="0.25">
      <c r="A944" t="s">
        <v>1522</v>
      </c>
      <c r="B944" t="s">
        <v>169</v>
      </c>
      <c r="C944" t="s">
        <v>170</v>
      </c>
      <c r="D944" t="str">
        <f>HYPERLINK("http://service.sap.com/sap/support/notes/1651953","1651953")</f>
        <v>1651953</v>
      </c>
      <c r="E944">
        <v>3</v>
      </c>
      <c r="F944" t="s">
        <v>1634</v>
      </c>
    </row>
    <row r="945" spans="1:6" x14ac:dyDescent="0.25">
      <c r="A945" t="s">
        <v>1522</v>
      </c>
      <c r="B945" t="s">
        <v>172</v>
      </c>
      <c r="C945" t="s">
        <v>173</v>
      </c>
    </row>
    <row r="946" spans="1:6" x14ac:dyDescent="0.25">
      <c r="A946" t="s">
        <v>1522</v>
      </c>
      <c r="B946" t="s">
        <v>1635</v>
      </c>
      <c r="C946" t="s">
        <v>1636</v>
      </c>
      <c r="D946" t="str">
        <f>HYPERLINK("http://service.sap.com/sap/support/notes/1614025","1614025")</f>
        <v>1614025</v>
      </c>
      <c r="E946">
        <v>1</v>
      </c>
      <c r="F946" t="s">
        <v>1637</v>
      </c>
    </row>
    <row r="947" spans="1:6" x14ac:dyDescent="0.25">
      <c r="A947" t="s">
        <v>1522</v>
      </c>
      <c r="B947" t="s">
        <v>1638</v>
      </c>
      <c r="C947" t="s">
        <v>1639</v>
      </c>
      <c r="D947" t="str">
        <f>HYPERLINK("http://service.sap.com/sap/support/notes/1665705","1665705")</f>
        <v>1665705</v>
      </c>
      <c r="E947">
        <v>1</v>
      </c>
      <c r="F947" t="s">
        <v>1640</v>
      </c>
    </row>
    <row r="948" spans="1:6" x14ac:dyDescent="0.25">
      <c r="A948" t="s">
        <v>1522</v>
      </c>
      <c r="B948" t="s">
        <v>1641</v>
      </c>
      <c r="C948" t="s">
        <v>1642</v>
      </c>
    </row>
    <row r="949" spans="1:6" x14ac:dyDescent="0.25">
      <c r="A949" t="s">
        <v>1522</v>
      </c>
      <c r="B949" t="s">
        <v>1643</v>
      </c>
      <c r="C949" t="s">
        <v>1644</v>
      </c>
      <c r="D949" t="str">
        <f>HYPERLINK("http://service.sap.com/sap/support/notes/1652801","1652801")</f>
        <v>1652801</v>
      </c>
      <c r="E949">
        <v>2</v>
      </c>
      <c r="F949" t="s">
        <v>1645</v>
      </c>
    </row>
    <row r="950" spans="1:6" x14ac:dyDescent="0.25">
      <c r="A950" t="s">
        <v>1522</v>
      </c>
      <c r="B950" t="s">
        <v>1643</v>
      </c>
      <c r="C950" t="s">
        <v>1644</v>
      </c>
      <c r="D950" t="str">
        <f>HYPERLINK("http://service.sap.com/sap/support/notes/1670074","1670074")</f>
        <v>1670074</v>
      </c>
      <c r="E950">
        <v>2</v>
      </c>
      <c r="F950" t="s">
        <v>1646</v>
      </c>
    </row>
    <row r="951" spans="1:6" x14ac:dyDescent="0.25">
      <c r="A951" t="s">
        <v>1522</v>
      </c>
      <c r="B951" t="s">
        <v>174</v>
      </c>
      <c r="C951" t="s">
        <v>175</v>
      </c>
      <c r="D951" t="str">
        <f>HYPERLINK("http://service.sap.com/sap/support/notes/1411287","1411287")</f>
        <v>1411287</v>
      </c>
      <c r="E951">
        <v>6</v>
      </c>
      <c r="F951" t="s">
        <v>1647</v>
      </c>
    </row>
    <row r="952" spans="1:6" x14ac:dyDescent="0.25">
      <c r="A952" t="s">
        <v>1522</v>
      </c>
      <c r="B952" t="s">
        <v>174</v>
      </c>
      <c r="C952" t="s">
        <v>175</v>
      </c>
      <c r="D952" t="str">
        <f>HYPERLINK("http://service.sap.com/sap/support/notes/1443679","1443679")</f>
        <v>1443679</v>
      </c>
      <c r="E952">
        <v>3</v>
      </c>
      <c r="F952" t="s">
        <v>1648</v>
      </c>
    </row>
    <row r="953" spans="1:6" x14ac:dyDescent="0.25">
      <c r="A953" t="s">
        <v>1522</v>
      </c>
      <c r="B953" t="s">
        <v>174</v>
      </c>
      <c r="C953" t="s">
        <v>175</v>
      </c>
      <c r="D953" t="str">
        <f>HYPERLINK("http://service.sap.com/sap/support/notes/1459339","1459339")</f>
        <v>1459339</v>
      </c>
      <c r="E953">
        <v>3</v>
      </c>
      <c r="F953" t="s">
        <v>1649</v>
      </c>
    </row>
    <row r="954" spans="1:6" x14ac:dyDescent="0.25">
      <c r="A954" t="s">
        <v>1522</v>
      </c>
      <c r="B954" t="s">
        <v>174</v>
      </c>
      <c r="C954" t="s">
        <v>175</v>
      </c>
      <c r="D954" t="str">
        <f>HYPERLINK("http://service.sap.com/sap/support/notes/1491104","1491104")</f>
        <v>1491104</v>
      </c>
      <c r="E954">
        <v>2</v>
      </c>
      <c r="F954" t="s">
        <v>1650</v>
      </c>
    </row>
    <row r="955" spans="1:6" x14ac:dyDescent="0.25">
      <c r="A955" t="s">
        <v>1522</v>
      </c>
      <c r="B955" t="s">
        <v>174</v>
      </c>
      <c r="C955" t="s">
        <v>175</v>
      </c>
      <c r="D955" t="str">
        <f>HYPERLINK("http://service.sap.com/sap/support/notes/1621713","1621713")</f>
        <v>1621713</v>
      </c>
      <c r="E955">
        <v>2</v>
      </c>
      <c r="F955" t="s">
        <v>1651</v>
      </c>
    </row>
    <row r="956" spans="1:6" x14ac:dyDescent="0.25">
      <c r="A956" t="s">
        <v>1522</v>
      </c>
      <c r="B956" t="s">
        <v>174</v>
      </c>
      <c r="C956" t="s">
        <v>175</v>
      </c>
      <c r="D956" t="str">
        <f>HYPERLINK("http://service.sap.com/sap/support/notes/1630402","1630402")</f>
        <v>1630402</v>
      </c>
      <c r="E956">
        <v>1</v>
      </c>
      <c r="F956" t="s">
        <v>1652</v>
      </c>
    </row>
    <row r="957" spans="1:6" x14ac:dyDescent="0.25">
      <c r="A957" t="s">
        <v>1522</v>
      </c>
      <c r="B957" t="s">
        <v>174</v>
      </c>
      <c r="C957" t="s">
        <v>175</v>
      </c>
      <c r="D957" t="str">
        <f>HYPERLINK("http://service.sap.com/sap/support/notes/1631153","1631153")</f>
        <v>1631153</v>
      </c>
      <c r="E957">
        <v>1</v>
      </c>
      <c r="F957" t="s">
        <v>1653</v>
      </c>
    </row>
    <row r="958" spans="1:6" x14ac:dyDescent="0.25">
      <c r="A958" t="s">
        <v>1522</v>
      </c>
      <c r="B958" t="s">
        <v>174</v>
      </c>
      <c r="C958" t="s">
        <v>175</v>
      </c>
      <c r="D958" t="str">
        <f>HYPERLINK("http://service.sap.com/sap/support/notes/1633401","1633401")</f>
        <v>1633401</v>
      </c>
      <c r="E958">
        <v>1</v>
      </c>
      <c r="F958" t="s">
        <v>1654</v>
      </c>
    </row>
    <row r="959" spans="1:6" x14ac:dyDescent="0.25">
      <c r="A959" t="s">
        <v>1522</v>
      </c>
      <c r="B959" t="s">
        <v>174</v>
      </c>
      <c r="C959" t="s">
        <v>175</v>
      </c>
      <c r="D959" t="str">
        <f>HYPERLINK("http://service.sap.com/sap/support/notes/1639417","1639417")</f>
        <v>1639417</v>
      </c>
      <c r="E959">
        <v>1</v>
      </c>
      <c r="F959" t="s">
        <v>1655</v>
      </c>
    </row>
    <row r="960" spans="1:6" x14ac:dyDescent="0.25">
      <c r="A960" t="s">
        <v>1522</v>
      </c>
      <c r="B960" t="s">
        <v>174</v>
      </c>
      <c r="C960" t="s">
        <v>175</v>
      </c>
      <c r="D960" t="str">
        <f>HYPERLINK("http://service.sap.com/sap/support/notes/1652373","1652373")</f>
        <v>1652373</v>
      </c>
      <c r="E960">
        <v>1</v>
      </c>
      <c r="F960" t="s">
        <v>1656</v>
      </c>
    </row>
    <row r="961" spans="1:6" x14ac:dyDescent="0.25">
      <c r="A961" t="s">
        <v>1522</v>
      </c>
      <c r="B961" t="s">
        <v>174</v>
      </c>
      <c r="C961" t="s">
        <v>175</v>
      </c>
      <c r="D961" t="str">
        <f>HYPERLINK("http://service.sap.com/sap/support/notes/1664272","1664272")</f>
        <v>1664272</v>
      </c>
      <c r="E961">
        <v>2</v>
      </c>
      <c r="F961" t="s">
        <v>1657</v>
      </c>
    </row>
    <row r="962" spans="1:6" x14ac:dyDescent="0.25">
      <c r="A962" t="s">
        <v>1522</v>
      </c>
      <c r="B962" t="s">
        <v>174</v>
      </c>
      <c r="C962" t="s">
        <v>175</v>
      </c>
      <c r="D962" t="str">
        <f>HYPERLINK("http://service.sap.com/sap/support/notes/1667288","1667288")</f>
        <v>1667288</v>
      </c>
      <c r="E962">
        <v>2</v>
      </c>
      <c r="F962" t="s">
        <v>1658</v>
      </c>
    </row>
    <row r="963" spans="1:6" x14ac:dyDescent="0.25">
      <c r="A963" t="s">
        <v>1522</v>
      </c>
      <c r="B963" t="s">
        <v>174</v>
      </c>
      <c r="C963" t="s">
        <v>175</v>
      </c>
      <c r="D963" t="str">
        <f>HYPERLINK("http://service.sap.com/sap/support/notes/1670104","1670104")</f>
        <v>1670104</v>
      </c>
      <c r="E963">
        <v>1</v>
      </c>
      <c r="F963" t="s">
        <v>1659</v>
      </c>
    </row>
    <row r="964" spans="1:6" x14ac:dyDescent="0.25">
      <c r="A964" t="s">
        <v>1522</v>
      </c>
      <c r="B964" t="s">
        <v>174</v>
      </c>
      <c r="C964" t="s">
        <v>175</v>
      </c>
      <c r="D964" t="str">
        <f>HYPERLINK("http://service.sap.com/sap/support/notes/1671499","1671499")</f>
        <v>1671499</v>
      </c>
      <c r="E964">
        <v>1</v>
      </c>
      <c r="F964" t="s">
        <v>1660</v>
      </c>
    </row>
    <row r="965" spans="1:6" x14ac:dyDescent="0.25">
      <c r="A965" t="s">
        <v>1522</v>
      </c>
      <c r="B965" t="s">
        <v>1661</v>
      </c>
      <c r="C965" t="s">
        <v>1662</v>
      </c>
      <c r="D965" t="str">
        <f>HYPERLINK("http://service.sap.com/sap/support/notes/1619063","1619063")</f>
        <v>1619063</v>
      </c>
      <c r="E965">
        <v>2</v>
      </c>
      <c r="F965" t="s">
        <v>1663</v>
      </c>
    </row>
    <row r="966" spans="1:6" x14ac:dyDescent="0.25">
      <c r="A966" t="s">
        <v>1522</v>
      </c>
      <c r="B966" t="s">
        <v>1661</v>
      </c>
      <c r="C966" t="s">
        <v>1662</v>
      </c>
      <c r="D966" t="str">
        <f>HYPERLINK("http://service.sap.com/sap/support/notes/1641686","1641686")</f>
        <v>1641686</v>
      </c>
      <c r="E966">
        <v>1</v>
      </c>
      <c r="F966" t="s">
        <v>1664</v>
      </c>
    </row>
    <row r="967" spans="1:6" x14ac:dyDescent="0.25">
      <c r="A967" t="s">
        <v>1522</v>
      </c>
      <c r="B967" t="s">
        <v>1661</v>
      </c>
      <c r="C967" t="s">
        <v>1662</v>
      </c>
      <c r="D967" t="str">
        <f>HYPERLINK("http://service.sap.com/sap/support/notes/1660304","1660304")</f>
        <v>1660304</v>
      </c>
      <c r="E967">
        <v>1</v>
      </c>
      <c r="F967" t="s">
        <v>1665</v>
      </c>
    </row>
    <row r="968" spans="1:6" x14ac:dyDescent="0.25">
      <c r="A968" t="s">
        <v>1522</v>
      </c>
      <c r="B968" t="s">
        <v>1661</v>
      </c>
      <c r="C968" t="s">
        <v>1662</v>
      </c>
      <c r="D968" t="str">
        <f>HYPERLINK("http://service.sap.com/sap/support/notes/1665645","1665645")</f>
        <v>1665645</v>
      </c>
      <c r="E968">
        <v>1</v>
      </c>
      <c r="F968" t="s">
        <v>1666</v>
      </c>
    </row>
    <row r="969" spans="1:6" x14ac:dyDescent="0.25">
      <c r="A969" t="s">
        <v>1522</v>
      </c>
      <c r="B969" t="s">
        <v>178</v>
      </c>
      <c r="C969" t="s">
        <v>179</v>
      </c>
      <c r="D969" t="str">
        <f>HYPERLINK("http://service.sap.com/sap/support/notes/1455362","1455362")</f>
        <v>1455362</v>
      </c>
      <c r="E969">
        <v>3</v>
      </c>
      <c r="F969" t="s">
        <v>1667</v>
      </c>
    </row>
    <row r="970" spans="1:6" x14ac:dyDescent="0.25">
      <c r="A970" t="s">
        <v>1522</v>
      </c>
      <c r="B970" t="s">
        <v>178</v>
      </c>
      <c r="C970" t="s">
        <v>179</v>
      </c>
      <c r="D970" t="str">
        <f>HYPERLINK("http://service.sap.com/sap/support/notes/1522328","1522328")</f>
        <v>1522328</v>
      </c>
      <c r="E970">
        <v>2</v>
      </c>
      <c r="F970" t="s">
        <v>1668</v>
      </c>
    </row>
    <row r="971" spans="1:6" x14ac:dyDescent="0.25">
      <c r="A971" t="s">
        <v>1522</v>
      </c>
      <c r="B971" t="s">
        <v>178</v>
      </c>
      <c r="C971" t="s">
        <v>179</v>
      </c>
      <c r="D971" t="str">
        <f>HYPERLINK("http://service.sap.com/sap/support/notes/1614739","1614739")</f>
        <v>1614739</v>
      </c>
      <c r="E971">
        <v>1</v>
      </c>
      <c r="F971" t="s">
        <v>1669</v>
      </c>
    </row>
    <row r="972" spans="1:6" x14ac:dyDescent="0.25">
      <c r="A972" t="s">
        <v>1522</v>
      </c>
      <c r="B972" t="s">
        <v>178</v>
      </c>
      <c r="C972" t="s">
        <v>179</v>
      </c>
      <c r="D972" t="str">
        <f>HYPERLINK("http://service.sap.com/sap/support/notes/1616524","1616524")</f>
        <v>1616524</v>
      </c>
      <c r="E972">
        <v>1</v>
      </c>
      <c r="F972" t="s">
        <v>1670</v>
      </c>
    </row>
    <row r="973" spans="1:6" x14ac:dyDescent="0.25">
      <c r="A973" t="s">
        <v>1522</v>
      </c>
      <c r="B973" t="s">
        <v>178</v>
      </c>
      <c r="C973" t="s">
        <v>179</v>
      </c>
      <c r="D973" t="str">
        <f>HYPERLINK("http://service.sap.com/sap/support/notes/1627479","1627479")</f>
        <v>1627479</v>
      </c>
      <c r="E973">
        <v>2</v>
      </c>
      <c r="F973" t="s">
        <v>1671</v>
      </c>
    </row>
    <row r="974" spans="1:6" x14ac:dyDescent="0.25">
      <c r="A974" t="s">
        <v>1522</v>
      </c>
      <c r="B974" t="s">
        <v>1672</v>
      </c>
      <c r="C974" t="s">
        <v>1673</v>
      </c>
      <c r="D974" t="str">
        <f>HYPERLINK("http://service.sap.com/sap/support/notes/1332389","1332389")</f>
        <v>1332389</v>
      </c>
      <c r="E974">
        <v>4</v>
      </c>
      <c r="F974" t="s">
        <v>1674</v>
      </c>
    </row>
    <row r="975" spans="1:6" x14ac:dyDescent="0.25">
      <c r="A975" t="s">
        <v>1522</v>
      </c>
      <c r="B975" t="s">
        <v>1672</v>
      </c>
      <c r="C975" t="s">
        <v>1673</v>
      </c>
      <c r="D975" t="str">
        <f>HYPERLINK("http://service.sap.com/sap/support/notes/1650164","1650164")</f>
        <v>1650164</v>
      </c>
      <c r="E975">
        <v>2</v>
      </c>
      <c r="F975" t="s">
        <v>1675</v>
      </c>
    </row>
    <row r="976" spans="1:6" x14ac:dyDescent="0.25">
      <c r="A976" t="s">
        <v>1522</v>
      </c>
      <c r="B976" t="s">
        <v>1676</v>
      </c>
      <c r="C976" t="s">
        <v>1677</v>
      </c>
      <c r="D976" t="str">
        <f>HYPERLINK("http://service.sap.com/sap/support/notes/1628212","1628212")</f>
        <v>1628212</v>
      </c>
      <c r="E976">
        <v>1</v>
      </c>
      <c r="F976" t="s">
        <v>1678</v>
      </c>
    </row>
    <row r="977" spans="1:6" x14ac:dyDescent="0.25">
      <c r="A977" t="s">
        <v>1522</v>
      </c>
      <c r="B977" t="s">
        <v>1676</v>
      </c>
      <c r="C977" t="s">
        <v>1677</v>
      </c>
      <c r="D977" t="str">
        <f>HYPERLINK("http://service.sap.com/sap/support/notes/1654991","1654991")</f>
        <v>1654991</v>
      </c>
      <c r="E977">
        <v>1</v>
      </c>
      <c r="F977" t="s">
        <v>1679</v>
      </c>
    </row>
    <row r="978" spans="1:6" x14ac:dyDescent="0.25">
      <c r="A978" t="s">
        <v>1522</v>
      </c>
      <c r="B978" t="s">
        <v>1676</v>
      </c>
      <c r="C978" t="s">
        <v>1677</v>
      </c>
      <c r="D978" t="str">
        <f>HYPERLINK("http://service.sap.com/sap/support/notes/1665257","1665257")</f>
        <v>1665257</v>
      </c>
      <c r="E978">
        <v>2</v>
      </c>
      <c r="F978" t="s">
        <v>1680</v>
      </c>
    </row>
    <row r="979" spans="1:6" x14ac:dyDescent="0.25">
      <c r="A979" t="s">
        <v>1522</v>
      </c>
      <c r="B979" t="s">
        <v>181</v>
      </c>
      <c r="C979" t="s">
        <v>182</v>
      </c>
    </row>
    <row r="980" spans="1:6" x14ac:dyDescent="0.25">
      <c r="A980" t="s">
        <v>1522</v>
      </c>
      <c r="B980" t="s">
        <v>1681</v>
      </c>
      <c r="C980" t="s">
        <v>1682</v>
      </c>
    </row>
    <row r="981" spans="1:6" x14ac:dyDescent="0.25">
      <c r="A981" t="s">
        <v>1522</v>
      </c>
      <c r="B981" t="s">
        <v>1683</v>
      </c>
      <c r="C981" t="s">
        <v>1684</v>
      </c>
      <c r="D981" t="str">
        <f>HYPERLINK("http://service.sap.com/sap/support/notes/1619317","1619317")</f>
        <v>1619317</v>
      </c>
      <c r="E981">
        <v>2</v>
      </c>
      <c r="F981" t="s">
        <v>1685</v>
      </c>
    </row>
    <row r="982" spans="1:6" x14ac:dyDescent="0.25">
      <c r="A982" t="s">
        <v>1522</v>
      </c>
      <c r="B982" t="s">
        <v>1683</v>
      </c>
      <c r="C982" t="s">
        <v>1684</v>
      </c>
      <c r="D982" t="str">
        <f>HYPERLINK("http://service.sap.com/sap/support/notes/1625975","1625975")</f>
        <v>1625975</v>
      </c>
      <c r="E982">
        <v>3</v>
      </c>
      <c r="F982" t="s">
        <v>1686</v>
      </c>
    </row>
    <row r="983" spans="1:6" x14ac:dyDescent="0.25">
      <c r="A983" t="s">
        <v>1522</v>
      </c>
      <c r="B983" t="s">
        <v>1683</v>
      </c>
      <c r="C983" t="s">
        <v>1684</v>
      </c>
      <c r="D983" t="str">
        <f>HYPERLINK("http://service.sap.com/sap/support/notes/1630610","1630610")</f>
        <v>1630610</v>
      </c>
      <c r="E983">
        <v>4</v>
      </c>
      <c r="F983" t="s">
        <v>1687</v>
      </c>
    </row>
    <row r="984" spans="1:6" x14ac:dyDescent="0.25">
      <c r="A984" t="s">
        <v>1522</v>
      </c>
      <c r="B984" t="s">
        <v>183</v>
      </c>
      <c r="C984" t="s">
        <v>184</v>
      </c>
      <c r="D984" t="str">
        <f>HYPERLINK("http://service.sap.com/sap/support/notes/1608388","1608388")</f>
        <v>1608388</v>
      </c>
      <c r="E984">
        <v>1</v>
      </c>
      <c r="F984" t="s">
        <v>185</v>
      </c>
    </row>
    <row r="985" spans="1:6" x14ac:dyDescent="0.25">
      <c r="A985" t="s">
        <v>1522</v>
      </c>
      <c r="B985" t="s">
        <v>183</v>
      </c>
      <c r="C985" t="s">
        <v>184</v>
      </c>
      <c r="D985" t="str">
        <f>HYPERLINK("http://service.sap.com/sap/support/notes/1623268","1623268")</f>
        <v>1623268</v>
      </c>
      <c r="E985">
        <v>2</v>
      </c>
      <c r="F985" t="s">
        <v>1688</v>
      </c>
    </row>
    <row r="986" spans="1:6" x14ac:dyDescent="0.25">
      <c r="A986" t="s">
        <v>1522</v>
      </c>
      <c r="B986" t="s">
        <v>183</v>
      </c>
      <c r="C986" t="s">
        <v>184</v>
      </c>
      <c r="D986" t="str">
        <f>HYPERLINK("http://service.sap.com/sap/support/notes/1625105","1625105")</f>
        <v>1625105</v>
      </c>
      <c r="E986">
        <v>1</v>
      </c>
      <c r="F986" t="s">
        <v>1689</v>
      </c>
    </row>
    <row r="987" spans="1:6" x14ac:dyDescent="0.25">
      <c r="A987" t="s">
        <v>1522</v>
      </c>
      <c r="B987" t="s">
        <v>183</v>
      </c>
      <c r="C987" t="s">
        <v>184</v>
      </c>
      <c r="D987" t="str">
        <f>HYPERLINK("http://service.sap.com/sap/support/notes/1625263","1625263")</f>
        <v>1625263</v>
      </c>
      <c r="E987">
        <v>1</v>
      </c>
      <c r="F987" t="s">
        <v>1690</v>
      </c>
    </row>
    <row r="988" spans="1:6" x14ac:dyDescent="0.25">
      <c r="A988" t="s">
        <v>1522</v>
      </c>
      <c r="B988" t="s">
        <v>183</v>
      </c>
      <c r="C988" t="s">
        <v>184</v>
      </c>
      <c r="D988" t="str">
        <f>HYPERLINK("http://service.sap.com/sap/support/notes/1625714","1625714")</f>
        <v>1625714</v>
      </c>
      <c r="E988">
        <v>1</v>
      </c>
      <c r="F988" t="s">
        <v>1691</v>
      </c>
    </row>
    <row r="989" spans="1:6" x14ac:dyDescent="0.25">
      <c r="A989" t="s">
        <v>1522</v>
      </c>
      <c r="B989" t="s">
        <v>183</v>
      </c>
      <c r="C989" t="s">
        <v>184</v>
      </c>
      <c r="D989" t="str">
        <f>HYPERLINK("http://service.sap.com/sap/support/notes/1626586","1626586")</f>
        <v>1626586</v>
      </c>
      <c r="E989">
        <v>1</v>
      </c>
      <c r="F989" t="s">
        <v>1692</v>
      </c>
    </row>
    <row r="990" spans="1:6" x14ac:dyDescent="0.25">
      <c r="A990" t="s">
        <v>1522</v>
      </c>
      <c r="B990" t="s">
        <v>183</v>
      </c>
      <c r="C990" t="s">
        <v>184</v>
      </c>
      <c r="D990" t="str">
        <f>HYPERLINK("http://service.sap.com/sap/support/notes/1632437","1632437")</f>
        <v>1632437</v>
      </c>
      <c r="E990">
        <v>1</v>
      </c>
      <c r="F990" t="s">
        <v>1693</v>
      </c>
    </row>
    <row r="991" spans="1:6" x14ac:dyDescent="0.25">
      <c r="A991" t="s">
        <v>1522</v>
      </c>
      <c r="B991" t="s">
        <v>183</v>
      </c>
      <c r="C991" t="s">
        <v>184</v>
      </c>
      <c r="D991" t="str">
        <f>HYPERLINK("http://service.sap.com/sap/support/notes/1637824","1637824")</f>
        <v>1637824</v>
      </c>
      <c r="E991">
        <v>1</v>
      </c>
      <c r="F991" t="s">
        <v>1694</v>
      </c>
    </row>
    <row r="992" spans="1:6" x14ac:dyDescent="0.25">
      <c r="A992" t="s">
        <v>1522</v>
      </c>
      <c r="B992" t="s">
        <v>183</v>
      </c>
      <c r="C992" t="s">
        <v>184</v>
      </c>
      <c r="D992" t="str">
        <f>HYPERLINK("http://service.sap.com/sap/support/notes/1640453","1640453")</f>
        <v>1640453</v>
      </c>
      <c r="E992">
        <v>1</v>
      </c>
      <c r="F992" t="s">
        <v>1695</v>
      </c>
    </row>
    <row r="993" spans="1:6" x14ac:dyDescent="0.25">
      <c r="A993" t="s">
        <v>1522</v>
      </c>
      <c r="B993" t="s">
        <v>183</v>
      </c>
      <c r="C993" t="s">
        <v>184</v>
      </c>
      <c r="D993" t="str">
        <f>HYPERLINK("http://service.sap.com/sap/support/notes/1652975","1652975")</f>
        <v>1652975</v>
      </c>
      <c r="E993">
        <v>2</v>
      </c>
      <c r="F993" t="s">
        <v>1696</v>
      </c>
    </row>
    <row r="994" spans="1:6" x14ac:dyDescent="0.25">
      <c r="A994" t="s">
        <v>1522</v>
      </c>
      <c r="B994" t="s">
        <v>183</v>
      </c>
      <c r="C994" t="s">
        <v>184</v>
      </c>
      <c r="D994" t="str">
        <f>HYPERLINK("http://service.sap.com/sap/support/notes/1665941","1665941")</f>
        <v>1665941</v>
      </c>
      <c r="E994">
        <v>3</v>
      </c>
      <c r="F994" t="s">
        <v>1697</v>
      </c>
    </row>
    <row r="995" spans="1:6" x14ac:dyDescent="0.25">
      <c r="A995" t="s">
        <v>1522</v>
      </c>
      <c r="B995" t="s">
        <v>183</v>
      </c>
      <c r="C995" t="s">
        <v>184</v>
      </c>
      <c r="D995" t="str">
        <f>HYPERLINK("http://service.sap.com/sap/support/notes/1673896","1673896")</f>
        <v>1673896</v>
      </c>
      <c r="E995">
        <v>3</v>
      </c>
      <c r="F995" t="s">
        <v>1698</v>
      </c>
    </row>
    <row r="996" spans="1:6" x14ac:dyDescent="0.25">
      <c r="A996" t="s">
        <v>1522</v>
      </c>
      <c r="B996" t="s">
        <v>186</v>
      </c>
      <c r="C996" t="s">
        <v>1699</v>
      </c>
      <c r="D996" t="str">
        <f>HYPERLINK("http://service.sap.com/sap/support/notes/1131547","1131547")</f>
        <v>1131547</v>
      </c>
      <c r="E996">
        <v>5</v>
      </c>
      <c r="F996" t="s">
        <v>1700</v>
      </c>
    </row>
    <row r="997" spans="1:6" x14ac:dyDescent="0.25">
      <c r="A997" t="s">
        <v>1522</v>
      </c>
      <c r="B997" t="s">
        <v>188</v>
      </c>
      <c r="C997" t="s">
        <v>189</v>
      </c>
      <c r="D997" t="str">
        <f>HYPERLINK("http://service.sap.com/sap/support/notes/1616648","1616648")</f>
        <v>1616648</v>
      </c>
      <c r="E997">
        <v>1</v>
      </c>
      <c r="F997" t="s">
        <v>1701</v>
      </c>
    </row>
    <row r="998" spans="1:6" x14ac:dyDescent="0.25">
      <c r="A998" t="s">
        <v>1522</v>
      </c>
      <c r="B998" t="s">
        <v>191</v>
      </c>
      <c r="C998" t="s">
        <v>192</v>
      </c>
      <c r="D998" t="str">
        <f>HYPERLINK("http://service.sap.com/sap/support/notes/1612257","1612257")</f>
        <v>1612257</v>
      </c>
      <c r="E998">
        <v>4</v>
      </c>
      <c r="F998" t="s">
        <v>1702</v>
      </c>
    </row>
    <row r="999" spans="1:6" x14ac:dyDescent="0.25">
      <c r="A999" t="s">
        <v>1522</v>
      </c>
      <c r="B999" t="s">
        <v>191</v>
      </c>
      <c r="C999" t="s">
        <v>192</v>
      </c>
      <c r="D999" t="str">
        <f>HYPERLINK("http://service.sap.com/sap/support/notes/1617127","1617127")</f>
        <v>1617127</v>
      </c>
      <c r="E999">
        <v>4</v>
      </c>
      <c r="F999" t="s">
        <v>1703</v>
      </c>
    </row>
    <row r="1000" spans="1:6" x14ac:dyDescent="0.25">
      <c r="A1000" t="s">
        <v>1522</v>
      </c>
      <c r="B1000" t="s">
        <v>191</v>
      </c>
      <c r="C1000" t="s">
        <v>192</v>
      </c>
      <c r="D1000" t="str">
        <f>HYPERLINK("http://service.sap.com/sap/support/notes/1627923","1627923")</f>
        <v>1627923</v>
      </c>
      <c r="E1000">
        <v>1</v>
      </c>
      <c r="F1000" t="s">
        <v>1704</v>
      </c>
    </row>
    <row r="1001" spans="1:6" x14ac:dyDescent="0.25">
      <c r="A1001" t="s">
        <v>1522</v>
      </c>
      <c r="B1001" t="s">
        <v>191</v>
      </c>
      <c r="C1001" t="s">
        <v>192</v>
      </c>
      <c r="D1001" t="str">
        <f>HYPERLINK("http://service.sap.com/sap/support/notes/1636842","1636842")</f>
        <v>1636842</v>
      </c>
      <c r="E1001">
        <v>2</v>
      </c>
      <c r="F1001" t="s">
        <v>1705</v>
      </c>
    </row>
    <row r="1002" spans="1:6" x14ac:dyDescent="0.25">
      <c r="A1002" t="s">
        <v>1522</v>
      </c>
      <c r="B1002" t="s">
        <v>191</v>
      </c>
      <c r="C1002" t="s">
        <v>192</v>
      </c>
      <c r="D1002" t="str">
        <f>HYPERLINK("http://service.sap.com/sap/support/notes/1650878","1650878")</f>
        <v>1650878</v>
      </c>
      <c r="E1002">
        <v>2</v>
      </c>
      <c r="F1002" t="s">
        <v>1706</v>
      </c>
    </row>
    <row r="1003" spans="1:6" x14ac:dyDescent="0.25">
      <c r="A1003" t="s">
        <v>1522</v>
      </c>
      <c r="B1003" t="s">
        <v>191</v>
      </c>
      <c r="C1003" t="s">
        <v>192</v>
      </c>
      <c r="D1003" t="str">
        <f>HYPERLINK("http://service.sap.com/sap/support/notes/1652015","1652015")</f>
        <v>1652015</v>
      </c>
      <c r="E1003">
        <v>1</v>
      </c>
      <c r="F1003" t="s">
        <v>1707</v>
      </c>
    </row>
    <row r="1004" spans="1:6" x14ac:dyDescent="0.25">
      <c r="A1004" t="s">
        <v>1522</v>
      </c>
      <c r="B1004" t="s">
        <v>191</v>
      </c>
      <c r="C1004" t="s">
        <v>192</v>
      </c>
      <c r="D1004" t="str">
        <f>HYPERLINK("http://service.sap.com/sap/support/notes/1653573","1653573")</f>
        <v>1653573</v>
      </c>
      <c r="E1004">
        <v>1</v>
      </c>
      <c r="F1004" t="s">
        <v>1708</v>
      </c>
    </row>
    <row r="1005" spans="1:6" x14ac:dyDescent="0.25">
      <c r="A1005" t="s">
        <v>1522</v>
      </c>
      <c r="B1005" t="s">
        <v>191</v>
      </c>
      <c r="C1005" t="s">
        <v>192</v>
      </c>
      <c r="D1005" t="str">
        <f>HYPERLINK("http://service.sap.com/sap/support/notes/1669340","1669340")</f>
        <v>1669340</v>
      </c>
      <c r="E1005">
        <v>3</v>
      </c>
      <c r="F1005" t="s">
        <v>1709</v>
      </c>
    </row>
    <row r="1006" spans="1:6" x14ac:dyDescent="0.25">
      <c r="A1006" t="s">
        <v>1522</v>
      </c>
      <c r="B1006" t="s">
        <v>191</v>
      </c>
      <c r="C1006" t="s">
        <v>192</v>
      </c>
      <c r="D1006" t="str">
        <f>HYPERLINK("http://service.sap.com/sap/support/notes/1671765","1671765")</f>
        <v>1671765</v>
      </c>
      <c r="E1006">
        <v>1</v>
      </c>
      <c r="F1006" t="s">
        <v>1710</v>
      </c>
    </row>
    <row r="1007" spans="1:6" x14ac:dyDescent="0.25">
      <c r="A1007" t="s">
        <v>1522</v>
      </c>
      <c r="B1007" t="s">
        <v>191</v>
      </c>
      <c r="C1007" t="s">
        <v>192</v>
      </c>
      <c r="D1007" t="str">
        <f>HYPERLINK("http://service.sap.com/sap/support/notes/1672427","1672427")</f>
        <v>1672427</v>
      </c>
      <c r="E1007">
        <v>1</v>
      </c>
      <c r="F1007" t="s">
        <v>1711</v>
      </c>
    </row>
    <row r="1008" spans="1:6" x14ac:dyDescent="0.25">
      <c r="A1008" t="s">
        <v>1522</v>
      </c>
      <c r="B1008" t="s">
        <v>1712</v>
      </c>
      <c r="C1008" t="s">
        <v>1713</v>
      </c>
      <c r="D1008" t="str">
        <f>HYPERLINK("http://service.sap.com/sap/support/notes/1638990","1638990")</f>
        <v>1638990</v>
      </c>
      <c r="E1008">
        <v>1</v>
      </c>
      <c r="F1008" t="s">
        <v>1714</v>
      </c>
    </row>
    <row r="1009" spans="1:6" x14ac:dyDescent="0.25">
      <c r="A1009" t="s">
        <v>1522</v>
      </c>
      <c r="B1009" t="s">
        <v>1715</v>
      </c>
      <c r="C1009" t="s">
        <v>1716</v>
      </c>
      <c r="D1009" t="str">
        <f>HYPERLINK("http://service.sap.com/sap/support/notes/1617504","1617504")</f>
        <v>1617504</v>
      </c>
      <c r="E1009">
        <v>3</v>
      </c>
      <c r="F1009" t="s">
        <v>1717</v>
      </c>
    </row>
    <row r="1010" spans="1:6" x14ac:dyDescent="0.25">
      <c r="A1010" t="s">
        <v>1522</v>
      </c>
      <c r="B1010" t="s">
        <v>1718</v>
      </c>
      <c r="C1010" t="s">
        <v>1719</v>
      </c>
    </row>
    <row r="1011" spans="1:6" x14ac:dyDescent="0.25">
      <c r="A1011" t="s">
        <v>1522</v>
      </c>
      <c r="B1011" t="s">
        <v>1720</v>
      </c>
      <c r="C1011" t="s">
        <v>1721</v>
      </c>
      <c r="D1011" t="str">
        <f>HYPERLINK("http://service.sap.com/sap/support/notes/1626893","1626893")</f>
        <v>1626893</v>
      </c>
      <c r="E1011">
        <v>2</v>
      </c>
      <c r="F1011" t="s">
        <v>1722</v>
      </c>
    </row>
    <row r="1012" spans="1:6" x14ac:dyDescent="0.25">
      <c r="A1012" t="s">
        <v>1522</v>
      </c>
      <c r="B1012" t="s">
        <v>1723</v>
      </c>
      <c r="C1012" t="s">
        <v>1724</v>
      </c>
    </row>
    <row r="1013" spans="1:6" x14ac:dyDescent="0.25">
      <c r="A1013" t="s">
        <v>1522</v>
      </c>
      <c r="B1013" t="s">
        <v>1725</v>
      </c>
      <c r="C1013" t="s">
        <v>1726</v>
      </c>
    </row>
    <row r="1014" spans="1:6" x14ac:dyDescent="0.25">
      <c r="A1014" t="s">
        <v>1522</v>
      </c>
      <c r="B1014" t="s">
        <v>1727</v>
      </c>
      <c r="C1014" t="s">
        <v>1728</v>
      </c>
      <c r="D1014" t="str">
        <f>HYPERLINK("http://service.sap.com/sap/support/notes/888696","888696")</f>
        <v>888696</v>
      </c>
      <c r="E1014">
        <v>7</v>
      </c>
      <c r="F1014" t="s">
        <v>1729</v>
      </c>
    </row>
    <row r="1015" spans="1:6" x14ac:dyDescent="0.25">
      <c r="A1015" t="s">
        <v>1522</v>
      </c>
      <c r="B1015" t="s">
        <v>1727</v>
      </c>
      <c r="C1015" t="s">
        <v>1728</v>
      </c>
      <c r="D1015" t="str">
        <f>HYPERLINK("http://service.sap.com/sap/support/notes/999408","999408")</f>
        <v>999408</v>
      </c>
      <c r="E1015">
        <v>5</v>
      </c>
      <c r="F1015" t="s">
        <v>1730</v>
      </c>
    </row>
    <row r="1016" spans="1:6" x14ac:dyDescent="0.25">
      <c r="A1016" t="s">
        <v>1522</v>
      </c>
      <c r="B1016" t="s">
        <v>1727</v>
      </c>
      <c r="C1016" t="s">
        <v>1728</v>
      </c>
      <c r="D1016" t="str">
        <f>HYPERLINK("http://service.sap.com/sap/support/notes/1030026","1030026")</f>
        <v>1030026</v>
      </c>
      <c r="E1016">
        <v>5</v>
      </c>
      <c r="F1016" t="s">
        <v>1731</v>
      </c>
    </row>
    <row r="1017" spans="1:6" x14ac:dyDescent="0.25">
      <c r="A1017" t="s">
        <v>1522</v>
      </c>
      <c r="B1017" t="s">
        <v>1727</v>
      </c>
      <c r="C1017" t="s">
        <v>1728</v>
      </c>
      <c r="D1017" t="str">
        <f>HYPERLINK("http://service.sap.com/sap/support/notes/1115428","1115428")</f>
        <v>1115428</v>
      </c>
      <c r="E1017">
        <v>6</v>
      </c>
      <c r="F1017" t="s">
        <v>1732</v>
      </c>
    </row>
    <row r="1018" spans="1:6" x14ac:dyDescent="0.25">
      <c r="A1018" t="s">
        <v>1522</v>
      </c>
      <c r="B1018" t="s">
        <v>1727</v>
      </c>
      <c r="C1018" t="s">
        <v>1728</v>
      </c>
      <c r="D1018" t="str">
        <f>HYPERLINK("http://service.sap.com/sap/support/notes/1175680","1175680")</f>
        <v>1175680</v>
      </c>
      <c r="E1018">
        <v>15</v>
      </c>
      <c r="F1018" t="s">
        <v>1733</v>
      </c>
    </row>
    <row r="1019" spans="1:6" x14ac:dyDescent="0.25">
      <c r="A1019" t="s">
        <v>1522</v>
      </c>
      <c r="B1019" t="s">
        <v>1727</v>
      </c>
      <c r="C1019" t="s">
        <v>1728</v>
      </c>
      <c r="D1019" t="str">
        <f>HYPERLINK("http://service.sap.com/sap/support/notes/1280271","1280271")</f>
        <v>1280271</v>
      </c>
      <c r="E1019">
        <v>5</v>
      </c>
      <c r="F1019" t="s">
        <v>1734</v>
      </c>
    </row>
    <row r="1020" spans="1:6" x14ac:dyDescent="0.25">
      <c r="A1020" t="s">
        <v>1522</v>
      </c>
      <c r="B1020" t="s">
        <v>1727</v>
      </c>
      <c r="C1020" t="s">
        <v>1728</v>
      </c>
      <c r="D1020" t="str">
        <f>HYPERLINK("http://service.sap.com/sap/support/notes/1284446","1284446")</f>
        <v>1284446</v>
      </c>
      <c r="E1020">
        <v>4</v>
      </c>
      <c r="F1020" t="s">
        <v>1735</v>
      </c>
    </row>
    <row r="1021" spans="1:6" x14ac:dyDescent="0.25">
      <c r="A1021" t="s">
        <v>1522</v>
      </c>
      <c r="B1021" t="s">
        <v>1727</v>
      </c>
      <c r="C1021" t="s">
        <v>1728</v>
      </c>
      <c r="D1021" t="str">
        <f>HYPERLINK("http://service.sap.com/sap/support/notes/1333410","1333410")</f>
        <v>1333410</v>
      </c>
      <c r="E1021">
        <v>4</v>
      </c>
      <c r="F1021" t="s">
        <v>1736</v>
      </c>
    </row>
    <row r="1022" spans="1:6" x14ac:dyDescent="0.25">
      <c r="A1022" t="s">
        <v>1522</v>
      </c>
      <c r="B1022" t="s">
        <v>1727</v>
      </c>
      <c r="C1022" t="s">
        <v>1728</v>
      </c>
      <c r="D1022" t="str">
        <f>HYPERLINK("http://service.sap.com/sap/support/notes/1341886","1341886")</f>
        <v>1341886</v>
      </c>
      <c r="E1022">
        <v>5</v>
      </c>
      <c r="F1022" t="s">
        <v>1737</v>
      </c>
    </row>
    <row r="1023" spans="1:6" x14ac:dyDescent="0.25">
      <c r="A1023" t="s">
        <v>1522</v>
      </c>
      <c r="B1023" t="s">
        <v>1727</v>
      </c>
      <c r="C1023" t="s">
        <v>1728</v>
      </c>
      <c r="D1023" t="str">
        <f>HYPERLINK("http://service.sap.com/sap/support/notes/1487473","1487473")</f>
        <v>1487473</v>
      </c>
      <c r="E1023">
        <v>5</v>
      </c>
      <c r="F1023" t="s">
        <v>1738</v>
      </c>
    </row>
    <row r="1024" spans="1:6" x14ac:dyDescent="0.25">
      <c r="A1024" t="s">
        <v>1522</v>
      </c>
      <c r="B1024" t="s">
        <v>1727</v>
      </c>
      <c r="C1024" t="s">
        <v>1728</v>
      </c>
      <c r="D1024" t="str">
        <f>HYPERLINK("http://service.sap.com/sap/support/notes/1529033","1529033")</f>
        <v>1529033</v>
      </c>
      <c r="E1024">
        <v>2</v>
      </c>
      <c r="F1024" t="s">
        <v>1739</v>
      </c>
    </row>
    <row r="1025" spans="1:6" x14ac:dyDescent="0.25">
      <c r="A1025" t="s">
        <v>1522</v>
      </c>
      <c r="B1025" t="s">
        <v>1740</v>
      </c>
      <c r="C1025" t="s">
        <v>350</v>
      </c>
      <c r="D1025" t="str">
        <f>HYPERLINK("http://service.sap.com/sap/support/notes/1646832","1646832")</f>
        <v>1646832</v>
      </c>
      <c r="E1025">
        <v>5</v>
      </c>
      <c r="F1025" t="s">
        <v>1741</v>
      </c>
    </row>
    <row r="1026" spans="1:6" x14ac:dyDescent="0.25">
      <c r="A1026" t="s">
        <v>1522</v>
      </c>
      <c r="B1026" t="s">
        <v>203</v>
      </c>
      <c r="C1026" t="s">
        <v>1742</v>
      </c>
      <c r="D1026" t="str">
        <f>HYPERLINK("http://service.sap.com/sap/support/notes/1606500","1606500")</f>
        <v>1606500</v>
      </c>
      <c r="E1026">
        <v>1</v>
      </c>
      <c r="F1026" t="s">
        <v>1743</v>
      </c>
    </row>
    <row r="1027" spans="1:6" x14ac:dyDescent="0.25">
      <c r="A1027" t="s">
        <v>1522</v>
      </c>
      <c r="B1027" t="s">
        <v>205</v>
      </c>
      <c r="C1027" t="s">
        <v>206</v>
      </c>
      <c r="D1027" t="str">
        <f>HYPERLINK("http://service.sap.com/sap/support/notes/1627104","1627104")</f>
        <v>1627104</v>
      </c>
      <c r="E1027">
        <v>2</v>
      </c>
      <c r="F1027" t="s">
        <v>1744</v>
      </c>
    </row>
    <row r="1028" spans="1:6" x14ac:dyDescent="0.25">
      <c r="A1028" t="s">
        <v>1522</v>
      </c>
      <c r="B1028" t="s">
        <v>207</v>
      </c>
      <c r="C1028" t="s">
        <v>208</v>
      </c>
      <c r="D1028" t="str">
        <f>HYPERLINK("http://service.sap.com/sap/support/notes/1606306","1606306")</f>
        <v>1606306</v>
      </c>
      <c r="E1028">
        <v>2</v>
      </c>
      <c r="F1028" t="s">
        <v>1745</v>
      </c>
    </row>
    <row r="1029" spans="1:6" x14ac:dyDescent="0.25">
      <c r="A1029" t="s">
        <v>1522</v>
      </c>
      <c r="B1029" t="s">
        <v>207</v>
      </c>
      <c r="C1029" t="s">
        <v>208</v>
      </c>
      <c r="D1029" t="str">
        <f>HYPERLINK("http://service.sap.com/sap/support/notes/1614852","1614852")</f>
        <v>1614852</v>
      </c>
      <c r="E1029">
        <v>3</v>
      </c>
      <c r="F1029" t="s">
        <v>1746</v>
      </c>
    </row>
    <row r="1030" spans="1:6" x14ac:dyDescent="0.25">
      <c r="A1030" t="s">
        <v>1522</v>
      </c>
      <c r="B1030" t="s">
        <v>207</v>
      </c>
      <c r="C1030" t="s">
        <v>208</v>
      </c>
      <c r="D1030" t="str">
        <f>HYPERLINK("http://service.sap.com/sap/support/notes/1641050","1641050")</f>
        <v>1641050</v>
      </c>
      <c r="E1030">
        <v>4</v>
      </c>
      <c r="F1030" t="s">
        <v>1747</v>
      </c>
    </row>
    <row r="1031" spans="1:6" x14ac:dyDescent="0.25">
      <c r="A1031" t="s">
        <v>1522</v>
      </c>
      <c r="B1031" t="s">
        <v>207</v>
      </c>
      <c r="C1031" t="s">
        <v>208</v>
      </c>
      <c r="D1031" t="str">
        <f>HYPERLINK("http://service.sap.com/sap/support/notes/1643917","1643917")</f>
        <v>1643917</v>
      </c>
      <c r="E1031">
        <v>2</v>
      </c>
      <c r="F1031" t="s">
        <v>1748</v>
      </c>
    </row>
    <row r="1032" spans="1:6" x14ac:dyDescent="0.25">
      <c r="A1032" t="s">
        <v>1522</v>
      </c>
      <c r="B1032" t="s">
        <v>207</v>
      </c>
      <c r="C1032" t="s">
        <v>208</v>
      </c>
      <c r="D1032" t="str">
        <f>HYPERLINK("http://service.sap.com/sap/support/notes/1656121","1656121")</f>
        <v>1656121</v>
      </c>
      <c r="E1032">
        <v>1</v>
      </c>
      <c r="F1032" t="s">
        <v>1749</v>
      </c>
    </row>
    <row r="1033" spans="1:6" x14ac:dyDescent="0.25">
      <c r="A1033" t="s">
        <v>1522</v>
      </c>
      <c r="B1033" t="s">
        <v>207</v>
      </c>
      <c r="C1033" t="s">
        <v>208</v>
      </c>
      <c r="D1033" t="str">
        <f>HYPERLINK("http://service.sap.com/sap/support/notes/1670810","1670810")</f>
        <v>1670810</v>
      </c>
      <c r="E1033">
        <v>1</v>
      </c>
      <c r="F1033" t="s">
        <v>1750</v>
      </c>
    </row>
    <row r="1034" spans="1:6" x14ac:dyDescent="0.25">
      <c r="A1034" t="s">
        <v>1522</v>
      </c>
      <c r="B1034" t="s">
        <v>212</v>
      </c>
      <c r="C1034" t="s">
        <v>213</v>
      </c>
      <c r="D1034" t="str">
        <f>HYPERLINK("http://service.sap.com/sap/support/notes/1624793","1624793")</f>
        <v>1624793</v>
      </c>
      <c r="E1034">
        <v>1</v>
      </c>
      <c r="F1034" t="s">
        <v>1751</v>
      </c>
    </row>
    <row r="1035" spans="1:6" x14ac:dyDescent="0.25">
      <c r="A1035" t="s">
        <v>1522</v>
      </c>
      <c r="B1035" t="s">
        <v>212</v>
      </c>
      <c r="C1035" t="s">
        <v>213</v>
      </c>
      <c r="D1035" t="str">
        <f>HYPERLINK("http://service.sap.com/sap/support/notes/1631117","1631117")</f>
        <v>1631117</v>
      </c>
      <c r="E1035">
        <v>1</v>
      </c>
      <c r="F1035" t="s">
        <v>1752</v>
      </c>
    </row>
    <row r="1036" spans="1:6" x14ac:dyDescent="0.25">
      <c r="A1036" t="s">
        <v>1522</v>
      </c>
      <c r="B1036" t="s">
        <v>212</v>
      </c>
      <c r="C1036" t="s">
        <v>213</v>
      </c>
      <c r="D1036" t="str">
        <f>HYPERLINK("http://service.sap.com/sap/support/notes/1641206","1641206")</f>
        <v>1641206</v>
      </c>
      <c r="E1036">
        <v>2</v>
      </c>
      <c r="F1036" t="s">
        <v>1753</v>
      </c>
    </row>
    <row r="1037" spans="1:6" x14ac:dyDescent="0.25">
      <c r="A1037" t="s">
        <v>1522</v>
      </c>
      <c r="B1037" t="s">
        <v>212</v>
      </c>
      <c r="C1037" t="s">
        <v>213</v>
      </c>
      <c r="D1037" t="str">
        <f>HYPERLINK("http://service.sap.com/sap/support/notes/1641563","1641563")</f>
        <v>1641563</v>
      </c>
      <c r="E1037">
        <v>2</v>
      </c>
      <c r="F1037" t="s">
        <v>1754</v>
      </c>
    </row>
    <row r="1038" spans="1:6" x14ac:dyDescent="0.25">
      <c r="A1038" t="s">
        <v>1522</v>
      </c>
      <c r="B1038" t="s">
        <v>212</v>
      </c>
      <c r="C1038" t="s">
        <v>213</v>
      </c>
      <c r="D1038" t="str">
        <f>HYPERLINK("http://service.sap.com/sap/support/notes/1643248","1643248")</f>
        <v>1643248</v>
      </c>
      <c r="E1038">
        <v>1</v>
      </c>
      <c r="F1038" t="s">
        <v>1755</v>
      </c>
    </row>
    <row r="1039" spans="1:6" x14ac:dyDescent="0.25">
      <c r="A1039" t="s">
        <v>1522</v>
      </c>
      <c r="B1039" t="s">
        <v>212</v>
      </c>
      <c r="C1039" t="s">
        <v>213</v>
      </c>
      <c r="D1039" t="str">
        <f>HYPERLINK("http://service.sap.com/sap/support/notes/1644908","1644908")</f>
        <v>1644908</v>
      </c>
      <c r="E1039">
        <v>1</v>
      </c>
      <c r="F1039" t="s">
        <v>1756</v>
      </c>
    </row>
    <row r="1040" spans="1:6" x14ac:dyDescent="0.25">
      <c r="A1040" t="s">
        <v>1522</v>
      </c>
      <c r="B1040" t="s">
        <v>212</v>
      </c>
      <c r="C1040" t="s">
        <v>213</v>
      </c>
      <c r="D1040" t="str">
        <f>HYPERLINK("http://service.sap.com/sap/support/notes/1664085","1664085")</f>
        <v>1664085</v>
      </c>
      <c r="E1040">
        <v>1</v>
      </c>
      <c r="F1040" t="s">
        <v>1757</v>
      </c>
    </row>
    <row r="1041" spans="1:6" x14ac:dyDescent="0.25">
      <c r="A1041" t="s">
        <v>1522</v>
      </c>
      <c r="B1041" t="s">
        <v>212</v>
      </c>
      <c r="C1041" t="s">
        <v>213</v>
      </c>
      <c r="D1041" t="str">
        <f>HYPERLINK("http://service.sap.com/sap/support/notes/1665211","1665211")</f>
        <v>1665211</v>
      </c>
      <c r="E1041">
        <v>1</v>
      </c>
      <c r="F1041" t="s">
        <v>1758</v>
      </c>
    </row>
    <row r="1042" spans="1:6" x14ac:dyDescent="0.25">
      <c r="A1042" t="s">
        <v>1522</v>
      </c>
      <c r="B1042" t="s">
        <v>212</v>
      </c>
      <c r="C1042" t="s">
        <v>213</v>
      </c>
      <c r="D1042" t="str">
        <f>HYPERLINK("http://service.sap.com/sap/support/notes/1671458","1671458")</f>
        <v>1671458</v>
      </c>
      <c r="E1042">
        <v>2</v>
      </c>
      <c r="F1042" t="s">
        <v>1759</v>
      </c>
    </row>
    <row r="1043" spans="1:6" x14ac:dyDescent="0.25">
      <c r="A1043" t="s">
        <v>1522</v>
      </c>
      <c r="B1043" t="s">
        <v>212</v>
      </c>
      <c r="C1043" t="s">
        <v>213</v>
      </c>
      <c r="D1043" t="str">
        <f>HYPERLINK("http://service.sap.com/sap/support/notes/1671585","1671585")</f>
        <v>1671585</v>
      </c>
      <c r="E1043">
        <v>1</v>
      </c>
      <c r="F1043" t="s">
        <v>1760</v>
      </c>
    </row>
    <row r="1044" spans="1:6" x14ac:dyDescent="0.25">
      <c r="A1044" t="s">
        <v>1522</v>
      </c>
      <c r="B1044" t="s">
        <v>212</v>
      </c>
      <c r="C1044" t="s">
        <v>213</v>
      </c>
      <c r="D1044" t="str">
        <f>HYPERLINK("http://service.sap.com/sap/support/notes/1672385","1672385")</f>
        <v>1672385</v>
      </c>
      <c r="E1044">
        <v>1</v>
      </c>
      <c r="F1044" t="s">
        <v>1761</v>
      </c>
    </row>
    <row r="1045" spans="1:6" x14ac:dyDescent="0.25">
      <c r="A1045" t="s">
        <v>1522</v>
      </c>
      <c r="B1045" t="s">
        <v>1762</v>
      </c>
      <c r="C1045" t="s">
        <v>1763</v>
      </c>
      <c r="D1045" t="str">
        <f>HYPERLINK("http://service.sap.com/sap/support/notes/1606207","1606207")</f>
        <v>1606207</v>
      </c>
      <c r="E1045">
        <v>1</v>
      </c>
      <c r="F1045" t="s">
        <v>1764</v>
      </c>
    </row>
    <row r="1046" spans="1:6" x14ac:dyDescent="0.25">
      <c r="A1046" t="s">
        <v>1522</v>
      </c>
      <c r="B1046" t="s">
        <v>1762</v>
      </c>
      <c r="C1046" t="s">
        <v>1763</v>
      </c>
      <c r="D1046" t="str">
        <f>HYPERLINK("http://service.sap.com/sap/support/notes/1654854","1654854")</f>
        <v>1654854</v>
      </c>
      <c r="E1046">
        <v>1</v>
      </c>
      <c r="F1046" t="s">
        <v>1765</v>
      </c>
    </row>
    <row r="1047" spans="1:6" x14ac:dyDescent="0.25">
      <c r="A1047" t="s">
        <v>1522</v>
      </c>
      <c r="B1047" t="s">
        <v>1762</v>
      </c>
      <c r="C1047" t="s">
        <v>1763</v>
      </c>
      <c r="D1047" t="str">
        <f>HYPERLINK("http://service.sap.com/sap/support/notes/1660995","1660995")</f>
        <v>1660995</v>
      </c>
      <c r="E1047">
        <v>1</v>
      </c>
      <c r="F1047" t="s">
        <v>1766</v>
      </c>
    </row>
    <row r="1048" spans="1:6" x14ac:dyDescent="0.25">
      <c r="A1048" t="s">
        <v>1522</v>
      </c>
      <c r="B1048" t="s">
        <v>1762</v>
      </c>
      <c r="C1048" t="s">
        <v>1763</v>
      </c>
      <c r="D1048" t="str">
        <f>HYPERLINK("http://service.sap.com/sap/support/notes/1662361","1662361")</f>
        <v>1662361</v>
      </c>
      <c r="E1048">
        <v>4</v>
      </c>
      <c r="F1048" t="s">
        <v>1767</v>
      </c>
    </row>
    <row r="1049" spans="1:6" x14ac:dyDescent="0.25">
      <c r="A1049" t="s">
        <v>1522</v>
      </c>
      <c r="B1049" t="s">
        <v>1768</v>
      </c>
      <c r="C1049" t="s">
        <v>1769</v>
      </c>
      <c r="D1049" t="str">
        <f>HYPERLINK("http://service.sap.com/sap/support/notes/1622256","1622256")</f>
        <v>1622256</v>
      </c>
      <c r="E1049">
        <v>1</v>
      </c>
      <c r="F1049" t="s">
        <v>1770</v>
      </c>
    </row>
    <row r="1050" spans="1:6" x14ac:dyDescent="0.25">
      <c r="A1050" t="s">
        <v>1522</v>
      </c>
      <c r="B1050" t="s">
        <v>215</v>
      </c>
      <c r="C1050" t="s">
        <v>216</v>
      </c>
      <c r="D1050" t="str">
        <f>HYPERLINK("http://service.sap.com/sap/support/notes/1626748","1626748")</f>
        <v>1626748</v>
      </c>
      <c r="E1050">
        <v>1</v>
      </c>
      <c r="F1050" t="s">
        <v>1771</v>
      </c>
    </row>
    <row r="1051" spans="1:6" x14ac:dyDescent="0.25">
      <c r="A1051" t="s">
        <v>1522</v>
      </c>
      <c r="B1051" t="s">
        <v>215</v>
      </c>
      <c r="C1051" t="s">
        <v>216</v>
      </c>
      <c r="D1051" t="str">
        <f>HYPERLINK("http://service.sap.com/sap/support/notes/1634244","1634244")</f>
        <v>1634244</v>
      </c>
      <c r="E1051">
        <v>1</v>
      </c>
      <c r="F1051" t="s">
        <v>1772</v>
      </c>
    </row>
    <row r="1052" spans="1:6" x14ac:dyDescent="0.25">
      <c r="A1052" t="s">
        <v>1522</v>
      </c>
      <c r="B1052" t="s">
        <v>215</v>
      </c>
      <c r="C1052" t="s">
        <v>216</v>
      </c>
      <c r="D1052" t="str">
        <f>HYPERLINK("http://service.sap.com/sap/support/notes/1638405","1638405")</f>
        <v>1638405</v>
      </c>
      <c r="E1052">
        <v>1</v>
      </c>
      <c r="F1052" t="s">
        <v>1773</v>
      </c>
    </row>
    <row r="1053" spans="1:6" x14ac:dyDescent="0.25">
      <c r="A1053" t="s">
        <v>1522</v>
      </c>
      <c r="B1053" t="s">
        <v>215</v>
      </c>
      <c r="C1053" t="s">
        <v>216</v>
      </c>
      <c r="D1053" t="str">
        <f>HYPERLINK("http://service.sap.com/sap/support/notes/1642788","1642788")</f>
        <v>1642788</v>
      </c>
      <c r="E1053">
        <v>1</v>
      </c>
      <c r="F1053" t="s">
        <v>1774</v>
      </c>
    </row>
    <row r="1054" spans="1:6" x14ac:dyDescent="0.25">
      <c r="A1054" t="s">
        <v>1522</v>
      </c>
      <c r="B1054" t="s">
        <v>215</v>
      </c>
      <c r="C1054" t="s">
        <v>216</v>
      </c>
      <c r="D1054" t="str">
        <f>HYPERLINK("http://service.sap.com/sap/support/notes/1643775","1643775")</f>
        <v>1643775</v>
      </c>
      <c r="E1054">
        <v>1</v>
      </c>
      <c r="F1054" t="s">
        <v>1775</v>
      </c>
    </row>
    <row r="1055" spans="1:6" x14ac:dyDescent="0.25">
      <c r="A1055" t="s">
        <v>1522</v>
      </c>
      <c r="B1055" t="s">
        <v>215</v>
      </c>
      <c r="C1055" t="s">
        <v>216</v>
      </c>
      <c r="D1055" t="str">
        <f>HYPERLINK("http://service.sap.com/sap/support/notes/1645482","1645482")</f>
        <v>1645482</v>
      </c>
      <c r="E1055">
        <v>1</v>
      </c>
      <c r="F1055" t="s">
        <v>1776</v>
      </c>
    </row>
    <row r="1056" spans="1:6" x14ac:dyDescent="0.25">
      <c r="A1056" t="s">
        <v>1522</v>
      </c>
      <c r="B1056" t="s">
        <v>215</v>
      </c>
      <c r="C1056" t="s">
        <v>216</v>
      </c>
      <c r="D1056" t="str">
        <f>HYPERLINK("http://service.sap.com/sap/support/notes/1646330","1646330")</f>
        <v>1646330</v>
      </c>
      <c r="E1056">
        <v>1</v>
      </c>
      <c r="F1056" t="s">
        <v>1777</v>
      </c>
    </row>
    <row r="1057" spans="1:6" x14ac:dyDescent="0.25">
      <c r="A1057" t="s">
        <v>1522</v>
      </c>
      <c r="B1057" t="s">
        <v>215</v>
      </c>
      <c r="C1057" t="s">
        <v>216</v>
      </c>
      <c r="D1057" t="str">
        <f>HYPERLINK("http://service.sap.com/sap/support/notes/1651312","1651312")</f>
        <v>1651312</v>
      </c>
      <c r="E1057">
        <v>1</v>
      </c>
      <c r="F1057" t="s">
        <v>1778</v>
      </c>
    </row>
    <row r="1058" spans="1:6" x14ac:dyDescent="0.25">
      <c r="A1058" t="s">
        <v>1522</v>
      </c>
      <c r="B1058" t="s">
        <v>215</v>
      </c>
      <c r="C1058" t="s">
        <v>216</v>
      </c>
      <c r="D1058" t="str">
        <f>HYPERLINK("http://service.sap.com/sap/support/notes/1651861","1651861")</f>
        <v>1651861</v>
      </c>
      <c r="E1058">
        <v>2</v>
      </c>
      <c r="F1058" t="s">
        <v>1779</v>
      </c>
    </row>
    <row r="1059" spans="1:6" x14ac:dyDescent="0.25">
      <c r="A1059" t="s">
        <v>1522</v>
      </c>
      <c r="B1059" t="s">
        <v>215</v>
      </c>
      <c r="C1059" t="s">
        <v>216</v>
      </c>
      <c r="D1059" t="str">
        <f>HYPERLINK("http://service.sap.com/sap/support/notes/1656657","1656657")</f>
        <v>1656657</v>
      </c>
      <c r="E1059">
        <v>1</v>
      </c>
      <c r="F1059" t="s">
        <v>1780</v>
      </c>
    </row>
    <row r="1060" spans="1:6" x14ac:dyDescent="0.25">
      <c r="A1060" t="s">
        <v>1522</v>
      </c>
      <c r="B1060" t="s">
        <v>215</v>
      </c>
      <c r="C1060" t="s">
        <v>216</v>
      </c>
      <c r="D1060" t="str">
        <f>HYPERLINK("http://service.sap.com/sap/support/notes/1656718","1656718")</f>
        <v>1656718</v>
      </c>
      <c r="E1060">
        <v>1</v>
      </c>
      <c r="F1060" t="s">
        <v>1781</v>
      </c>
    </row>
    <row r="1061" spans="1:6" x14ac:dyDescent="0.25">
      <c r="A1061" t="s">
        <v>1522</v>
      </c>
      <c r="B1061" t="s">
        <v>215</v>
      </c>
      <c r="C1061" t="s">
        <v>216</v>
      </c>
      <c r="D1061" t="str">
        <f>HYPERLINK("http://service.sap.com/sap/support/notes/1657414","1657414")</f>
        <v>1657414</v>
      </c>
      <c r="E1061">
        <v>1</v>
      </c>
      <c r="F1061" t="s">
        <v>1782</v>
      </c>
    </row>
    <row r="1062" spans="1:6" x14ac:dyDescent="0.25">
      <c r="A1062" t="s">
        <v>1522</v>
      </c>
      <c r="B1062" t="s">
        <v>215</v>
      </c>
      <c r="C1062" t="s">
        <v>216</v>
      </c>
      <c r="D1062" t="str">
        <f>HYPERLINK("http://service.sap.com/sap/support/notes/1659927","1659927")</f>
        <v>1659927</v>
      </c>
      <c r="E1062">
        <v>1</v>
      </c>
      <c r="F1062" t="s">
        <v>1783</v>
      </c>
    </row>
    <row r="1063" spans="1:6" x14ac:dyDescent="0.25">
      <c r="A1063" t="s">
        <v>1522</v>
      </c>
      <c r="B1063" t="s">
        <v>215</v>
      </c>
      <c r="C1063" t="s">
        <v>216</v>
      </c>
      <c r="D1063" t="str">
        <f>HYPERLINK("http://service.sap.com/sap/support/notes/1660982","1660982")</f>
        <v>1660982</v>
      </c>
      <c r="E1063">
        <v>4</v>
      </c>
      <c r="F1063" t="s">
        <v>1784</v>
      </c>
    </row>
    <row r="1064" spans="1:6" x14ac:dyDescent="0.25">
      <c r="A1064" t="s">
        <v>1522</v>
      </c>
      <c r="B1064" t="s">
        <v>215</v>
      </c>
      <c r="C1064" t="s">
        <v>216</v>
      </c>
      <c r="D1064" t="str">
        <f>HYPERLINK("http://service.sap.com/sap/support/notes/1665258","1665258")</f>
        <v>1665258</v>
      </c>
      <c r="E1064">
        <v>1</v>
      </c>
      <c r="F1064" t="s">
        <v>1785</v>
      </c>
    </row>
    <row r="1065" spans="1:6" x14ac:dyDescent="0.25">
      <c r="A1065" t="s">
        <v>1522</v>
      </c>
      <c r="B1065" t="s">
        <v>215</v>
      </c>
      <c r="C1065" t="s">
        <v>216</v>
      </c>
      <c r="D1065" t="str">
        <f>HYPERLINK("http://service.sap.com/sap/support/notes/1665881","1665881")</f>
        <v>1665881</v>
      </c>
      <c r="E1065">
        <v>1</v>
      </c>
      <c r="F1065" t="s">
        <v>1786</v>
      </c>
    </row>
    <row r="1066" spans="1:6" x14ac:dyDescent="0.25">
      <c r="A1066" t="s">
        <v>1522</v>
      </c>
      <c r="B1066" t="s">
        <v>1787</v>
      </c>
      <c r="C1066" t="s">
        <v>1788</v>
      </c>
      <c r="D1066" t="str">
        <f>HYPERLINK("http://service.sap.com/sap/support/notes/1599465","1599465")</f>
        <v>1599465</v>
      </c>
      <c r="E1066">
        <v>3</v>
      </c>
      <c r="F1066" t="s">
        <v>1789</v>
      </c>
    </row>
    <row r="1067" spans="1:6" x14ac:dyDescent="0.25">
      <c r="A1067" t="s">
        <v>1522</v>
      </c>
      <c r="B1067" t="s">
        <v>1787</v>
      </c>
      <c r="C1067" t="s">
        <v>1788</v>
      </c>
      <c r="D1067" t="str">
        <f>HYPERLINK("http://service.sap.com/sap/support/notes/1647885","1647885")</f>
        <v>1647885</v>
      </c>
      <c r="E1067">
        <v>1</v>
      </c>
      <c r="F1067" t="s">
        <v>1790</v>
      </c>
    </row>
    <row r="1068" spans="1:6" x14ac:dyDescent="0.25">
      <c r="A1068" t="s">
        <v>1522</v>
      </c>
      <c r="B1068" t="s">
        <v>1787</v>
      </c>
      <c r="C1068" t="s">
        <v>1788</v>
      </c>
      <c r="D1068" t="str">
        <f>HYPERLINK("http://service.sap.com/sap/support/notes/1667231","1667231")</f>
        <v>1667231</v>
      </c>
      <c r="E1068">
        <v>1</v>
      </c>
      <c r="F1068" t="s">
        <v>1791</v>
      </c>
    </row>
    <row r="1069" spans="1:6" x14ac:dyDescent="0.25">
      <c r="A1069" t="s">
        <v>1522</v>
      </c>
      <c r="B1069" t="s">
        <v>1792</v>
      </c>
      <c r="C1069" t="s">
        <v>1793</v>
      </c>
      <c r="D1069" t="str">
        <f>HYPERLINK("http://service.sap.com/sap/support/notes/1293811","1293811")</f>
        <v>1293811</v>
      </c>
      <c r="E1069">
        <v>1</v>
      </c>
      <c r="F1069" t="s">
        <v>1794</v>
      </c>
    </row>
    <row r="1070" spans="1:6" x14ac:dyDescent="0.25">
      <c r="A1070" t="s">
        <v>1522</v>
      </c>
      <c r="B1070" t="s">
        <v>1795</v>
      </c>
      <c r="C1070" t="s">
        <v>1796</v>
      </c>
      <c r="D1070" t="str">
        <f>HYPERLINK("http://service.sap.com/sap/support/notes/1467441","1467441")</f>
        <v>1467441</v>
      </c>
      <c r="E1070">
        <v>3</v>
      </c>
      <c r="F1070" t="s">
        <v>1797</v>
      </c>
    </row>
    <row r="1071" spans="1:6" x14ac:dyDescent="0.25">
      <c r="A1071" t="s">
        <v>1522</v>
      </c>
      <c r="B1071" t="s">
        <v>1795</v>
      </c>
      <c r="C1071" t="s">
        <v>1796</v>
      </c>
      <c r="D1071" t="str">
        <f>HYPERLINK("http://service.sap.com/sap/support/notes/1501288","1501288")</f>
        <v>1501288</v>
      </c>
      <c r="E1071">
        <v>4</v>
      </c>
      <c r="F1071" t="s">
        <v>1798</v>
      </c>
    </row>
    <row r="1072" spans="1:6" x14ac:dyDescent="0.25">
      <c r="A1072" t="s">
        <v>1522</v>
      </c>
      <c r="B1072" t="s">
        <v>1795</v>
      </c>
      <c r="C1072" t="s">
        <v>1796</v>
      </c>
      <c r="D1072" t="str">
        <f>HYPERLINK("http://service.sap.com/sap/support/notes/1512014","1512014")</f>
        <v>1512014</v>
      </c>
      <c r="E1072">
        <v>3</v>
      </c>
      <c r="F1072" t="s">
        <v>1799</v>
      </c>
    </row>
    <row r="1073" spans="1:6" x14ac:dyDescent="0.25">
      <c r="A1073" t="s">
        <v>1522</v>
      </c>
      <c r="B1073" t="s">
        <v>1795</v>
      </c>
      <c r="C1073" t="s">
        <v>1796</v>
      </c>
      <c r="D1073" t="str">
        <f>HYPERLINK("http://service.sap.com/sap/support/notes/1551533","1551533")</f>
        <v>1551533</v>
      </c>
      <c r="E1073">
        <v>2</v>
      </c>
      <c r="F1073" t="s">
        <v>1800</v>
      </c>
    </row>
    <row r="1074" spans="1:6" x14ac:dyDescent="0.25">
      <c r="A1074" t="s">
        <v>1522</v>
      </c>
      <c r="B1074" t="s">
        <v>1795</v>
      </c>
      <c r="C1074" t="s">
        <v>1796</v>
      </c>
      <c r="D1074" t="str">
        <f>HYPERLINK("http://service.sap.com/sap/support/notes/1579381","1579381")</f>
        <v>1579381</v>
      </c>
      <c r="E1074">
        <v>1</v>
      </c>
      <c r="F1074" t="s">
        <v>1801</v>
      </c>
    </row>
    <row r="1075" spans="1:6" x14ac:dyDescent="0.25">
      <c r="A1075" t="s">
        <v>1522</v>
      </c>
      <c r="B1075" t="s">
        <v>1795</v>
      </c>
      <c r="C1075" t="s">
        <v>1796</v>
      </c>
      <c r="D1075" t="str">
        <f>HYPERLINK("http://service.sap.com/sap/support/notes/1602374","1602374")</f>
        <v>1602374</v>
      </c>
      <c r="E1075">
        <v>2</v>
      </c>
      <c r="F1075" t="s">
        <v>1802</v>
      </c>
    </row>
    <row r="1076" spans="1:6" x14ac:dyDescent="0.25">
      <c r="A1076" t="s">
        <v>1522</v>
      </c>
      <c r="B1076" t="s">
        <v>1795</v>
      </c>
      <c r="C1076" t="s">
        <v>1796</v>
      </c>
      <c r="D1076" t="str">
        <f>HYPERLINK("http://service.sap.com/sap/support/notes/1625065","1625065")</f>
        <v>1625065</v>
      </c>
      <c r="E1076">
        <v>1</v>
      </c>
      <c r="F1076" t="s">
        <v>1803</v>
      </c>
    </row>
    <row r="1077" spans="1:6" x14ac:dyDescent="0.25">
      <c r="A1077" t="s">
        <v>1522</v>
      </c>
      <c r="B1077" t="s">
        <v>1795</v>
      </c>
      <c r="C1077" t="s">
        <v>1796</v>
      </c>
      <c r="D1077" t="str">
        <f>HYPERLINK("http://service.sap.com/sap/support/notes/1641696","1641696")</f>
        <v>1641696</v>
      </c>
      <c r="E1077">
        <v>3</v>
      </c>
      <c r="F1077" t="s">
        <v>1804</v>
      </c>
    </row>
    <row r="1078" spans="1:6" x14ac:dyDescent="0.25">
      <c r="A1078" t="s">
        <v>1522</v>
      </c>
      <c r="B1078" t="s">
        <v>1795</v>
      </c>
      <c r="C1078" t="s">
        <v>1796</v>
      </c>
      <c r="D1078" t="str">
        <f>HYPERLINK("http://service.sap.com/sap/support/notes/1668522","1668522")</f>
        <v>1668522</v>
      </c>
      <c r="E1078">
        <v>1</v>
      </c>
      <c r="F1078" t="s">
        <v>1805</v>
      </c>
    </row>
    <row r="1079" spans="1:6" x14ac:dyDescent="0.25">
      <c r="A1079" t="s">
        <v>1522</v>
      </c>
      <c r="B1079" t="s">
        <v>1806</v>
      </c>
      <c r="C1079" t="s">
        <v>1807</v>
      </c>
      <c r="D1079" t="str">
        <f>HYPERLINK("http://service.sap.com/sap/support/notes/1564786","1564786")</f>
        <v>1564786</v>
      </c>
      <c r="E1079">
        <v>2</v>
      </c>
      <c r="F1079" t="s">
        <v>1808</v>
      </c>
    </row>
    <row r="1080" spans="1:6" x14ac:dyDescent="0.25">
      <c r="A1080" t="s">
        <v>1522</v>
      </c>
      <c r="B1080" t="s">
        <v>1809</v>
      </c>
      <c r="C1080" t="s">
        <v>1810</v>
      </c>
      <c r="D1080" t="str">
        <f>HYPERLINK("http://service.sap.com/sap/support/notes/1552077","1552077")</f>
        <v>1552077</v>
      </c>
      <c r="E1080">
        <v>4</v>
      </c>
      <c r="F1080" t="s">
        <v>1811</v>
      </c>
    </row>
    <row r="1081" spans="1:6" x14ac:dyDescent="0.25">
      <c r="A1081" t="s">
        <v>1522</v>
      </c>
      <c r="B1081" t="s">
        <v>1809</v>
      </c>
      <c r="C1081" t="s">
        <v>1810</v>
      </c>
      <c r="D1081" t="str">
        <f>HYPERLINK("http://service.sap.com/sap/support/notes/1638055","1638055")</f>
        <v>1638055</v>
      </c>
      <c r="E1081">
        <v>1</v>
      </c>
      <c r="F1081" t="s">
        <v>1812</v>
      </c>
    </row>
    <row r="1082" spans="1:6" x14ac:dyDescent="0.25">
      <c r="A1082" t="s">
        <v>1522</v>
      </c>
      <c r="B1082" t="s">
        <v>1809</v>
      </c>
      <c r="C1082" t="s">
        <v>1810</v>
      </c>
      <c r="D1082" t="str">
        <f>HYPERLINK("http://service.sap.com/sap/support/notes/1655855","1655855")</f>
        <v>1655855</v>
      </c>
      <c r="E1082">
        <v>2</v>
      </c>
      <c r="F1082" t="s">
        <v>1813</v>
      </c>
    </row>
    <row r="1083" spans="1:6" x14ac:dyDescent="0.25">
      <c r="A1083" t="s">
        <v>1522</v>
      </c>
      <c r="B1083" t="s">
        <v>1814</v>
      </c>
      <c r="C1083" t="s">
        <v>1815</v>
      </c>
      <c r="D1083" t="str">
        <f>HYPERLINK("http://service.sap.com/sap/support/notes/1510991","1510991")</f>
        <v>1510991</v>
      </c>
      <c r="E1083">
        <v>2</v>
      </c>
      <c r="F1083" t="s">
        <v>1816</v>
      </c>
    </row>
    <row r="1084" spans="1:6" x14ac:dyDescent="0.25">
      <c r="A1084" t="s">
        <v>1522</v>
      </c>
      <c r="B1084" t="s">
        <v>218</v>
      </c>
      <c r="C1084" t="s">
        <v>126</v>
      </c>
      <c r="D1084" t="str">
        <f>HYPERLINK("http://service.sap.com/sap/support/notes/1641539","1641539")</f>
        <v>1641539</v>
      </c>
      <c r="E1084">
        <v>1</v>
      </c>
      <c r="F1084" t="s">
        <v>1817</v>
      </c>
    </row>
    <row r="1085" spans="1:6" x14ac:dyDescent="0.25">
      <c r="A1085" t="s">
        <v>1522</v>
      </c>
      <c r="B1085" t="s">
        <v>220</v>
      </c>
      <c r="C1085" t="s">
        <v>128</v>
      </c>
      <c r="D1085" t="str">
        <f>HYPERLINK("http://service.sap.com/sap/support/notes/395134","395134")</f>
        <v>395134</v>
      </c>
      <c r="E1085">
        <v>3</v>
      </c>
      <c r="F1085" t="s">
        <v>1818</v>
      </c>
    </row>
    <row r="1086" spans="1:6" x14ac:dyDescent="0.25">
      <c r="A1086" t="s">
        <v>1522</v>
      </c>
      <c r="B1086" t="s">
        <v>220</v>
      </c>
      <c r="C1086" t="s">
        <v>128</v>
      </c>
      <c r="D1086" t="str">
        <f>HYPERLINK("http://service.sap.com/sap/support/notes/889754","889754")</f>
        <v>889754</v>
      </c>
      <c r="E1086">
        <v>5</v>
      </c>
      <c r="F1086" t="s">
        <v>1819</v>
      </c>
    </row>
    <row r="1087" spans="1:6" x14ac:dyDescent="0.25">
      <c r="A1087" t="s">
        <v>1522</v>
      </c>
      <c r="B1087" t="s">
        <v>220</v>
      </c>
      <c r="C1087" t="s">
        <v>128</v>
      </c>
      <c r="D1087" t="str">
        <f>HYPERLINK("http://service.sap.com/sap/support/notes/1608539","1608539")</f>
        <v>1608539</v>
      </c>
      <c r="E1087">
        <v>1</v>
      </c>
      <c r="F1087" t="s">
        <v>222</v>
      </c>
    </row>
    <row r="1088" spans="1:6" x14ac:dyDescent="0.25">
      <c r="A1088" t="s">
        <v>1522</v>
      </c>
      <c r="B1088" t="s">
        <v>220</v>
      </c>
      <c r="C1088" t="s">
        <v>128</v>
      </c>
      <c r="D1088" t="str">
        <f>HYPERLINK("http://service.sap.com/sap/support/notes/1616442","1616442")</f>
        <v>1616442</v>
      </c>
      <c r="E1088">
        <v>9</v>
      </c>
      <c r="F1088" t="s">
        <v>1820</v>
      </c>
    </row>
    <row r="1089" spans="1:6" x14ac:dyDescent="0.25">
      <c r="A1089" t="s">
        <v>1522</v>
      </c>
      <c r="B1089" t="s">
        <v>220</v>
      </c>
      <c r="C1089" t="s">
        <v>128</v>
      </c>
      <c r="D1089" t="str">
        <f>HYPERLINK("http://service.sap.com/sap/support/notes/1618596","1618596")</f>
        <v>1618596</v>
      </c>
      <c r="E1089">
        <v>2</v>
      </c>
      <c r="F1089" t="s">
        <v>1821</v>
      </c>
    </row>
    <row r="1090" spans="1:6" x14ac:dyDescent="0.25">
      <c r="A1090" t="s">
        <v>1522</v>
      </c>
      <c r="B1090" t="s">
        <v>220</v>
      </c>
      <c r="C1090" t="s">
        <v>128</v>
      </c>
      <c r="D1090" t="str">
        <f>HYPERLINK("http://service.sap.com/sap/support/notes/1626224","1626224")</f>
        <v>1626224</v>
      </c>
      <c r="E1090">
        <v>2</v>
      </c>
      <c r="F1090" t="s">
        <v>1822</v>
      </c>
    </row>
    <row r="1091" spans="1:6" x14ac:dyDescent="0.25">
      <c r="A1091" t="s">
        <v>1522</v>
      </c>
      <c r="B1091" t="s">
        <v>220</v>
      </c>
      <c r="C1091" t="s">
        <v>128</v>
      </c>
      <c r="D1091" t="str">
        <f>HYPERLINK("http://service.sap.com/sap/support/notes/1626653","1626653")</f>
        <v>1626653</v>
      </c>
      <c r="E1091">
        <v>1</v>
      </c>
      <c r="F1091" t="s">
        <v>1823</v>
      </c>
    </row>
    <row r="1092" spans="1:6" x14ac:dyDescent="0.25">
      <c r="A1092" t="s">
        <v>1522</v>
      </c>
      <c r="B1092" t="s">
        <v>220</v>
      </c>
      <c r="C1092" t="s">
        <v>128</v>
      </c>
      <c r="D1092" t="str">
        <f>HYPERLINK("http://service.sap.com/sap/support/notes/1636027","1636027")</f>
        <v>1636027</v>
      </c>
      <c r="E1092">
        <v>2</v>
      </c>
      <c r="F1092" t="s">
        <v>1824</v>
      </c>
    </row>
    <row r="1093" spans="1:6" x14ac:dyDescent="0.25">
      <c r="A1093" t="s">
        <v>1522</v>
      </c>
      <c r="B1093" t="s">
        <v>220</v>
      </c>
      <c r="C1093" t="s">
        <v>128</v>
      </c>
      <c r="D1093" t="str">
        <f>HYPERLINK("http://service.sap.com/sap/support/notes/1639076","1639076")</f>
        <v>1639076</v>
      </c>
      <c r="E1093">
        <v>1</v>
      </c>
      <c r="F1093" t="s">
        <v>1825</v>
      </c>
    </row>
    <row r="1094" spans="1:6" x14ac:dyDescent="0.25">
      <c r="A1094" t="s">
        <v>1522</v>
      </c>
      <c r="B1094" t="s">
        <v>220</v>
      </c>
      <c r="C1094" t="s">
        <v>128</v>
      </c>
      <c r="D1094" t="str">
        <f>HYPERLINK("http://service.sap.com/sap/support/notes/1640349","1640349")</f>
        <v>1640349</v>
      </c>
      <c r="E1094">
        <v>2</v>
      </c>
      <c r="F1094" t="s">
        <v>1826</v>
      </c>
    </row>
    <row r="1095" spans="1:6" x14ac:dyDescent="0.25">
      <c r="A1095" t="s">
        <v>1522</v>
      </c>
      <c r="B1095" t="s">
        <v>220</v>
      </c>
      <c r="C1095" t="s">
        <v>128</v>
      </c>
      <c r="D1095" t="str">
        <f>HYPERLINK("http://service.sap.com/sap/support/notes/1640641","1640641")</f>
        <v>1640641</v>
      </c>
      <c r="E1095">
        <v>1</v>
      </c>
      <c r="F1095" t="s">
        <v>1827</v>
      </c>
    </row>
    <row r="1096" spans="1:6" x14ac:dyDescent="0.25">
      <c r="A1096" t="s">
        <v>1522</v>
      </c>
      <c r="B1096" t="s">
        <v>220</v>
      </c>
      <c r="C1096" t="s">
        <v>128</v>
      </c>
      <c r="D1096" t="str">
        <f>HYPERLINK("http://service.sap.com/sap/support/notes/1643266","1643266")</f>
        <v>1643266</v>
      </c>
      <c r="E1096">
        <v>5</v>
      </c>
      <c r="F1096" t="s">
        <v>1828</v>
      </c>
    </row>
    <row r="1097" spans="1:6" x14ac:dyDescent="0.25">
      <c r="A1097" t="s">
        <v>1522</v>
      </c>
      <c r="B1097" t="s">
        <v>220</v>
      </c>
      <c r="C1097" t="s">
        <v>128</v>
      </c>
      <c r="D1097" t="str">
        <f>HYPERLINK("http://service.sap.com/sap/support/notes/1643475","1643475")</f>
        <v>1643475</v>
      </c>
      <c r="E1097">
        <v>1</v>
      </c>
      <c r="F1097" t="s">
        <v>1829</v>
      </c>
    </row>
    <row r="1098" spans="1:6" x14ac:dyDescent="0.25">
      <c r="A1098" t="s">
        <v>1522</v>
      </c>
      <c r="B1098" t="s">
        <v>220</v>
      </c>
      <c r="C1098" t="s">
        <v>128</v>
      </c>
      <c r="D1098" t="str">
        <f>HYPERLINK("http://service.sap.com/sap/support/notes/1643684","1643684")</f>
        <v>1643684</v>
      </c>
      <c r="E1098">
        <v>1</v>
      </c>
      <c r="F1098" t="s">
        <v>1830</v>
      </c>
    </row>
    <row r="1099" spans="1:6" x14ac:dyDescent="0.25">
      <c r="A1099" t="s">
        <v>1522</v>
      </c>
      <c r="B1099" t="s">
        <v>220</v>
      </c>
      <c r="C1099" t="s">
        <v>128</v>
      </c>
      <c r="D1099" t="str">
        <f>HYPERLINK("http://service.sap.com/sap/support/notes/1645052","1645052")</f>
        <v>1645052</v>
      </c>
      <c r="E1099">
        <v>1</v>
      </c>
      <c r="F1099" t="s">
        <v>1831</v>
      </c>
    </row>
    <row r="1100" spans="1:6" x14ac:dyDescent="0.25">
      <c r="A1100" t="s">
        <v>1522</v>
      </c>
      <c r="B1100" t="s">
        <v>220</v>
      </c>
      <c r="C1100" t="s">
        <v>128</v>
      </c>
      <c r="D1100" t="str">
        <f>HYPERLINK("http://service.sap.com/sap/support/notes/1645746","1645746")</f>
        <v>1645746</v>
      </c>
      <c r="E1100">
        <v>1</v>
      </c>
      <c r="F1100" t="s">
        <v>1826</v>
      </c>
    </row>
    <row r="1101" spans="1:6" x14ac:dyDescent="0.25">
      <c r="A1101" t="s">
        <v>1522</v>
      </c>
      <c r="B1101" t="s">
        <v>220</v>
      </c>
      <c r="C1101" t="s">
        <v>128</v>
      </c>
      <c r="D1101" t="str">
        <f>HYPERLINK("http://service.sap.com/sap/support/notes/1649575","1649575")</f>
        <v>1649575</v>
      </c>
      <c r="E1101">
        <v>1</v>
      </c>
      <c r="F1101" t="s">
        <v>1832</v>
      </c>
    </row>
    <row r="1102" spans="1:6" x14ac:dyDescent="0.25">
      <c r="A1102" t="s">
        <v>1522</v>
      </c>
      <c r="B1102" t="s">
        <v>220</v>
      </c>
      <c r="C1102" t="s">
        <v>128</v>
      </c>
      <c r="D1102" t="str">
        <f>HYPERLINK("http://service.sap.com/sap/support/notes/1651484","1651484")</f>
        <v>1651484</v>
      </c>
      <c r="E1102">
        <v>2</v>
      </c>
      <c r="F1102" t="s">
        <v>1833</v>
      </c>
    </row>
    <row r="1103" spans="1:6" x14ac:dyDescent="0.25">
      <c r="A1103" t="s">
        <v>1522</v>
      </c>
      <c r="B1103" t="s">
        <v>220</v>
      </c>
      <c r="C1103" t="s">
        <v>128</v>
      </c>
      <c r="D1103" t="str">
        <f>HYPERLINK("http://service.sap.com/sap/support/notes/1653004","1653004")</f>
        <v>1653004</v>
      </c>
      <c r="E1103">
        <v>1</v>
      </c>
      <c r="F1103" t="s">
        <v>1834</v>
      </c>
    </row>
    <row r="1104" spans="1:6" x14ac:dyDescent="0.25">
      <c r="A1104" t="s">
        <v>1522</v>
      </c>
      <c r="B1104" t="s">
        <v>220</v>
      </c>
      <c r="C1104" t="s">
        <v>128</v>
      </c>
      <c r="D1104" t="str">
        <f>HYPERLINK("http://service.sap.com/sap/support/notes/1655244","1655244")</f>
        <v>1655244</v>
      </c>
      <c r="E1104">
        <v>1</v>
      </c>
      <c r="F1104" t="s">
        <v>1835</v>
      </c>
    </row>
    <row r="1105" spans="1:6" x14ac:dyDescent="0.25">
      <c r="A1105" t="s">
        <v>1522</v>
      </c>
      <c r="B1105" t="s">
        <v>220</v>
      </c>
      <c r="C1105" t="s">
        <v>128</v>
      </c>
      <c r="D1105" t="str">
        <f>HYPERLINK("http://service.sap.com/sap/support/notes/1662135","1662135")</f>
        <v>1662135</v>
      </c>
      <c r="E1105">
        <v>4</v>
      </c>
      <c r="F1105" t="s">
        <v>1836</v>
      </c>
    </row>
    <row r="1106" spans="1:6" x14ac:dyDescent="0.25">
      <c r="A1106" t="s">
        <v>1522</v>
      </c>
      <c r="B1106" t="s">
        <v>220</v>
      </c>
      <c r="C1106" t="s">
        <v>128</v>
      </c>
      <c r="D1106" t="str">
        <f>HYPERLINK("http://service.sap.com/sap/support/notes/1662918","1662918")</f>
        <v>1662918</v>
      </c>
      <c r="E1106">
        <v>1</v>
      </c>
      <c r="F1106" t="s">
        <v>1826</v>
      </c>
    </row>
    <row r="1107" spans="1:6" x14ac:dyDescent="0.25">
      <c r="A1107" t="s">
        <v>1522</v>
      </c>
      <c r="B1107" t="s">
        <v>220</v>
      </c>
      <c r="C1107" t="s">
        <v>128</v>
      </c>
      <c r="D1107" t="str">
        <f>HYPERLINK("http://service.sap.com/sap/support/notes/1666911","1666911")</f>
        <v>1666911</v>
      </c>
      <c r="E1107">
        <v>3</v>
      </c>
      <c r="F1107" t="s">
        <v>1837</v>
      </c>
    </row>
    <row r="1108" spans="1:6" x14ac:dyDescent="0.25">
      <c r="A1108" t="s">
        <v>1522</v>
      </c>
      <c r="B1108" t="s">
        <v>220</v>
      </c>
      <c r="C1108" t="s">
        <v>128</v>
      </c>
      <c r="D1108" t="str">
        <f>HYPERLINK("http://service.sap.com/sap/support/notes/1667805","1667805")</f>
        <v>1667805</v>
      </c>
      <c r="E1108">
        <v>4</v>
      </c>
      <c r="F1108" t="s">
        <v>1838</v>
      </c>
    </row>
    <row r="1109" spans="1:6" x14ac:dyDescent="0.25">
      <c r="A1109" t="s">
        <v>1522</v>
      </c>
      <c r="B1109" t="s">
        <v>1839</v>
      </c>
      <c r="C1109" t="s">
        <v>1840</v>
      </c>
      <c r="D1109" t="str">
        <f>HYPERLINK("http://service.sap.com/sap/support/notes/605682","605682")</f>
        <v>605682</v>
      </c>
      <c r="E1109">
        <v>3</v>
      </c>
      <c r="F1109" t="s">
        <v>1841</v>
      </c>
    </row>
    <row r="1110" spans="1:6" x14ac:dyDescent="0.25">
      <c r="A1110" t="s">
        <v>1522</v>
      </c>
      <c r="B1110" t="s">
        <v>1839</v>
      </c>
      <c r="C1110" t="s">
        <v>1840</v>
      </c>
      <c r="D1110" t="str">
        <f>HYPERLINK("http://service.sap.com/sap/support/notes/1622257","1622257")</f>
        <v>1622257</v>
      </c>
      <c r="E1110">
        <v>1</v>
      </c>
      <c r="F1110" t="s">
        <v>1842</v>
      </c>
    </row>
    <row r="1111" spans="1:6" x14ac:dyDescent="0.25">
      <c r="A1111" t="s">
        <v>1522</v>
      </c>
      <c r="B1111" t="s">
        <v>1839</v>
      </c>
      <c r="C1111" t="s">
        <v>1840</v>
      </c>
      <c r="D1111" t="str">
        <f>HYPERLINK("http://service.sap.com/sap/support/notes/1640447","1640447")</f>
        <v>1640447</v>
      </c>
      <c r="E1111">
        <v>4</v>
      </c>
      <c r="F1111" t="s">
        <v>1843</v>
      </c>
    </row>
    <row r="1112" spans="1:6" x14ac:dyDescent="0.25">
      <c r="A1112" t="s">
        <v>1522</v>
      </c>
      <c r="B1112" t="s">
        <v>1844</v>
      </c>
      <c r="C1112" t="s">
        <v>1845</v>
      </c>
      <c r="D1112" t="str">
        <f>HYPERLINK("http://service.sap.com/sap/support/notes/1639261","1639261")</f>
        <v>1639261</v>
      </c>
      <c r="E1112">
        <v>1</v>
      </c>
      <c r="F1112" t="s">
        <v>1846</v>
      </c>
    </row>
    <row r="1113" spans="1:6" x14ac:dyDescent="0.25">
      <c r="A1113" t="s">
        <v>1522</v>
      </c>
      <c r="B1113" t="s">
        <v>1844</v>
      </c>
      <c r="C1113" t="s">
        <v>1845</v>
      </c>
      <c r="D1113" t="str">
        <f>HYPERLINK("http://service.sap.com/sap/support/notes/1665761","1665761")</f>
        <v>1665761</v>
      </c>
      <c r="E1113">
        <v>1</v>
      </c>
      <c r="F1113" t="s">
        <v>1847</v>
      </c>
    </row>
    <row r="1114" spans="1:6" x14ac:dyDescent="0.25">
      <c r="A1114" t="s">
        <v>1522</v>
      </c>
      <c r="B1114" t="s">
        <v>1848</v>
      </c>
      <c r="C1114" t="s">
        <v>237</v>
      </c>
      <c r="D1114" t="str">
        <f>HYPERLINK("http://service.sap.com/sap/support/notes/1588121","1588121")</f>
        <v>1588121</v>
      </c>
      <c r="E1114">
        <v>3</v>
      </c>
      <c r="F1114" t="s">
        <v>1849</v>
      </c>
    </row>
    <row r="1115" spans="1:6" x14ac:dyDescent="0.25">
      <c r="A1115" t="s">
        <v>1522</v>
      </c>
      <c r="B1115" t="s">
        <v>1848</v>
      </c>
      <c r="C1115" t="s">
        <v>237</v>
      </c>
      <c r="D1115" t="str">
        <f>HYPERLINK("http://service.sap.com/sap/support/notes/1660906","1660906")</f>
        <v>1660906</v>
      </c>
      <c r="E1115">
        <v>1</v>
      </c>
      <c r="F1115" t="s">
        <v>1850</v>
      </c>
    </row>
    <row r="1116" spans="1:6" x14ac:dyDescent="0.25">
      <c r="A1116" t="s">
        <v>1522</v>
      </c>
      <c r="B1116" t="s">
        <v>1851</v>
      </c>
      <c r="C1116" t="s">
        <v>1852</v>
      </c>
    </row>
    <row r="1117" spans="1:6" x14ac:dyDescent="0.25">
      <c r="A1117" t="s">
        <v>1522</v>
      </c>
      <c r="B1117" t="s">
        <v>1853</v>
      </c>
      <c r="C1117" t="s">
        <v>237</v>
      </c>
      <c r="D1117" t="str">
        <f>HYPERLINK("http://service.sap.com/sap/support/notes/1622937","1622937")</f>
        <v>1622937</v>
      </c>
      <c r="E1117">
        <v>3</v>
      </c>
      <c r="F1117" t="s">
        <v>1854</v>
      </c>
    </row>
    <row r="1118" spans="1:6" x14ac:dyDescent="0.25">
      <c r="A1118" t="s">
        <v>1522</v>
      </c>
      <c r="B1118" t="s">
        <v>1853</v>
      </c>
      <c r="C1118" t="s">
        <v>237</v>
      </c>
      <c r="D1118" t="str">
        <f>HYPERLINK("http://service.sap.com/sap/support/notes/1653274","1653274")</f>
        <v>1653274</v>
      </c>
      <c r="E1118">
        <v>2</v>
      </c>
      <c r="F1118" t="s">
        <v>1855</v>
      </c>
    </row>
    <row r="1119" spans="1:6" x14ac:dyDescent="0.25">
      <c r="A1119" t="s">
        <v>1522</v>
      </c>
      <c r="B1119" t="s">
        <v>1853</v>
      </c>
      <c r="C1119" t="s">
        <v>237</v>
      </c>
      <c r="D1119" t="str">
        <f>HYPERLINK("http://service.sap.com/sap/support/notes/1670382","1670382")</f>
        <v>1670382</v>
      </c>
      <c r="E1119">
        <v>1</v>
      </c>
      <c r="F1119" t="s">
        <v>1856</v>
      </c>
    </row>
    <row r="1120" spans="1:6" x14ac:dyDescent="0.25">
      <c r="A1120" t="s">
        <v>1522</v>
      </c>
      <c r="B1120" t="s">
        <v>224</v>
      </c>
      <c r="C1120" t="s">
        <v>1857</v>
      </c>
      <c r="D1120" t="str">
        <f>HYPERLINK("http://service.sap.com/sap/support/notes/1640172","1640172")</f>
        <v>1640172</v>
      </c>
      <c r="E1120">
        <v>1</v>
      </c>
      <c r="F1120" t="s">
        <v>1858</v>
      </c>
    </row>
    <row r="1121" spans="1:6" x14ac:dyDescent="0.25">
      <c r="A1121" t="s">
        <v>1522</v>
      </c>
      <c r="B1121" t="s">
        <v>224</v>
      </c>
      <c r="C1121" t="s">
        <v>1857</v>
      </c>
      <c r="D1121" t="str">
        <f>HYPERLINK("http://service.sap.com/sap/support/notes/1660920","1660920")</f>
        <v>1660920</v>
      </c>
      <c r="E1121">
        <v>1</v>
      </c>
      <c r="F1121" t="s">
        <v>1859</v>
      </c>
    </row>
    <row r="1122" spans="1:6" x14ac:dyDescent="0.25">
      <c r="A1122" t="s">
        <v>1522</v>
      </c>
      <c r="B1122" t="s">
        <v>226</v>
      </c>
      <c r="C1122" t="s">
        <v>14</v>
      </c>
      <c r="D1122" t="str">
        <f>HYPERLINK("http://service.sap.com/sap/support/notes/1497291","1497291")</f>
        <v>1497291</v>
      </c>
      <c r="E1122">
        <v>3</v>
      </c>
      <c r="F1122" t="s">
        <v>1860</v>
      </c>
    </row>
    <row r="1123" spans="1:6" x14ac:dyDescent="0.25">
      <c r="A1123" t="s">
        <v>1522</v>
      </c>
      <c r="B1123" t="s">
        <v>226</v>
      </c>
      <c r="C1123" t="s">
        <v>14</v>
      </c>
      <c r="D1123" t="str">
        <f>HYPERLINK("http://service.sap.com/sap/support/notes/1604221","1604221")</f>
        <v>1604221</v>
      </c>
      <c r="E1123">
        <v>6</v>
      </c>
      <c r="F1123" t="s">
        <v>228</v>
      </c>
    </row>
    <row r="1124" spans="1:6" x14ac:dyDescent="0.25">
      <c r="A1124" t="s">
        <v>1522</v>
      </c>
      <c r="B1124" t="s">
        <v>226</v>
      </c>
      <c r="C1124" t="s">
        <v>14</v>
      </c>
      <c r="D1124" t="str">
        <f>HYPERLINK("http://service.sap.com/sap/support/notes/1621831","1621831")</f>
        <v>1621831</v>
      </c>
      <c r="E1124">
        <v>1</v>
      </c>
      <c r="F1124" t="s">
        <v>1861</v>
      </c>
    </row>
    <row r="1125" spans="1:6" x14ac:dyDescent="0.25">
      <c r="A1125" t="s">
        <v>1522</v>
      </c>
      <c r="B1125" t="s">
        <v>226</v>
      </c>
      <c r="C1125" t="s">
        <v>14</v>
      </c>
      <c r="D1125" t="str">
        <f>HYPERLINK("http://service.sap.com/sap/support/notes/1625193","1625193")</f>
        <v>1625193</v>
      </c>
      <c r="E1125">
        <v>1</v>
      </c>
      <c r="F1125" t="s">
        <v>1862</v>
      </c>
    </row>
    <row r="1126" spans="1:6" x14ac:dyDescent="0.25">
      <c r="A1126" t="s">
        <v>1522</v>
      </c>
      <c r="B1126" t="s">
        <v>226</v>
      </c>
      <c r="C1126" t="s">
        <v>14</v>
      </c>
      <c r="D1126" t="str">
        <f>HYPERLINK("http://service.sap.com/sap/support/notes/1633835","1633835")</f>
        <v>1633835</v>
      </c>
      <c r="E1126">
        <v>1</v>
      </c>
      <c r="F1126" t="s">
        <v>1863</v>
      </c>
    </row>
    <row r="1127" spans="1:6" x14ac:dyDescent="0.25">
      <c r="A1127" t="s">
        <v>1522</v>
      </c>
      <c r="B1127" t="s">
        <v>226</v>
      </c>
      <c r="C1127" t="s">
        <v>14</v>
      </c>
      <c r="D1127" t="str">
        <f>HYPERLINK("http://service.sap.com/sap/support/notes/1634847","1634847")</f>
        <v>1634847</v>
      </c>
      <c r="E1127">
        <v>3</v>
      </c>
      <c r="F1127" t="s">
        <v>1864</v>
      </c>
    </row>
    <row r="1128" spans="1:6" x14ac:dyDescent="0.25">
      <c r="A1128" t="s">
        <v>1522</v>
      </c>
      <c r="B1128" t="s">
        <v>226</v>
      </c>
      <c r="C1128" t="s">
        <v>14</v>
      </c>
      <c r="D1128" t="str">
        <f>HYPERLINK("http://service.sap.com/sap/support/notes/1638776","1638776")</f>
        <v>1638776</v>
      </c>
      <c r="E1128">
        <v>1</v>
      </c>
      <c r="F1128" t="s">
        <v>1865</v>
      </c>
    </row>
    <row r="1129" spans="1:6" x14ac:dyDescent="0.25">
      <c r="A1129" t="s">
        <v>1522</v>
      </c>
      <c r="B1129" t="s">
        <v>226</v>
      </c>
      <c r="C1129" t="s">
        <v>14</v>
      </c>
      <c r="D1129" t="str">
        <f>HYPERLINK("http://service.sap.com/sap/support/notes/1642921","1642921")</f>
        <v>1642921</v>
      </c>
      <c r="E1129">
        <v>1</v>
      </c>
      <c r="F1129" t="s">
        <v>1866</v>
      </c>
    </row>
    <row r="1130" spans="1:6" x14ac:dyDescent="0.25">
      <c r="A1130" t="s">
        <v>1522</v>
      </c>
      <c r="B1130" t="s">
        <v>226</v>
      </c>
      <c r="C1130" t="s">
        <v>14</v>
      </c>
      <c r="D1130" t="str">
        <f>HYPERLINK("http://service.sap.com/sap/support/notes/1652712","1652712")</f>
        <v>1652712</v>
      </c>
      <c r="E1130">
        <v>1</v>
      </c>
      <c r="F1130" t="s">
        <v>1867</v>
      </c>
    </row>
    <row r="1131" spans="1:6" x14ac:dyDescent="0.25">
      <c r="A1131" t="s">
        <v>1522</v>
      </c>
      <c r="B1131" t="s">
        <v>226</v>
      </c>
      <c r="C1131" t="s">
        <v>14</v>
      </c>
      <c r="D1131" t="str">
        <f>HYPERLINK("http://service.sap.com/sap/support/notes/1658521","1658521")</f>
        <v>1658521</v>
      </c>
      <c r="E1131">
        <v>1</v>
      </c>
      <c r="F1131" t="s">
        <v>1868</v>
      </c>
    </row>
    <row r="1132" spans="1:6" x14ac:dyDescent="0.25">
      <c r="A1132" t="s">
        <v>1522</v>
      </c>
      <c r="B1132" t="s">
        <v>226</v>
      </c>
      <c r="C1132" t="s">
        <v>14</v>
      </c>
      <c r="D1132" t="str">
        <f>HYPERLINK("http://service.sap.com/sap/support/notes/1659332","1659332")</f>
        <v>1659332</v>
      </c>
      <c r="E1132">
        <v>1</v>
      </c>
      <c r="F1132" t="s">
        <v>1869</v>
      </c>
    </row>
    <row r="1133" spans="1:6" x14ac:dyDescent="0.25">
      <c r="A1133" t="s">
        <v>1522</v>
      </c>
      <c r="B1133" t="s">
        <v>226</v>
      </c>
      <c r="C1133" t="s">
        <v>14</v>
      </c>
      <c r="D1133" t="str">
        <f>HYPERLINK("http://service.sap.com/sap/support/notes/1660356","1660356")</f>
        <v>1660356</v>
      </c>
      <c r="E1133">
        <v>1</v>
      </c>
      <c r="F1133" t="s">
        <v>1870</v>
      </c>
    </row>
    <row r="1134" spans="1:6" x14ac:dyDescent="0.25">
      <c r="A1134" t="s">
        <v>1522</v>
      </c>
      <c r="B1134" t="s">
        <v>226</v>
      </c>
      <c r="C1134" t="s">
        <v>14</v>
      </c>
      <c r="D1134" t="str">
        <f>HYPERLINK("http://service.sap.com/sap/support/notes/1672341","1672341")</f>
        <v>1672341</v>
      </c>
      <c r="E1134">
        <v>1</v>
      </c>
      <c r="F1134" t="s">
        <v>1871</v>
      </c>
    </row>
    <row r="1135" spans="1:6" x14ac:dyDescent="0.25">
      <c r="A1135" t="s">
        <v>1522</v>
      </c>
      <c r="B1135" t="s">
        <v>1872</v>
      </c>
      <c r="C1135" t="s">
        <v>1845</v>
      </c>
      <c r="D1135" t="str">
        <f>HYPERLINK("http://service.sap.com/sap/support/notes/1609437","1609437")</f>
        <v>1609437</v>
      </c>
      <c r="E1135">
        <v>1</v>
      </c>
      <c r="F1135" t="s">
        <v>1873</v>
      </c>
    </row>
    <row r="1136" spans="1:6" x14ac:dyDescent="0.25">
      <c r="A1136" t="s">
        <v>1522</v>
      </c>
      <c r="B1136" t="s">
        <v>1872</v>
      </c>
      <c r="C1136" t="s">
        <v>1845</v>
      </c>
      <c r="D1136" t="str">
        <f>HYPERLINK("http://service.sap.com/sap/support/notes/1632967","1632967")</f>
        <v>1632967</v>
      </c>
      <c r="E1136">
        <v>1</v>
      </c>
      <c r="F1136" t="s">
        <v>1874</v>
      </c>
    </row>
    <row r="1137" spans="1:6" x14ac:dyDescent="0.25">
      <c r="A1137" t="s">
        <v>1522</v>
      </c>
      <c r="B1137" t="s">
        <v>233</v>
      </c>
      <c r="C1137" t="s">
        <v>234</v>
      </c>
      <c r="D1137" t="str">
        <f>HYPERLINK("http://service.sap.com/sap/support/notes/1609772","1609772")</f>
        <v>1609772</v>
      </c>
      <c r="E1137">
        <v>2</v>
      </c>
      <c r="F1137" t="s">
        <v>1875</v>
      </c>
    </row>
    <row r="1138" spans="1:6" x14ac:dyDescent="0.25">
      <c r="A1138" t="s">
        <v>1522</v>
      </c>
      <c r="B1138" t="s">
        <v>233</v>
      </c>
      <c r="C1138" t="s">
        <v>234</v>
      </c>
      <c r="D1138" t="str">
        <f>HYPERLINK("http://service.sap.com/sap/support/notes/1647683","1647683")</f>
        <v>1647683</v>
      </c>
      <c r="E1138">
        <v>1</v>
      </c>
      <c r="F1138" t="s">
        <v>1876</v>
      </c>
    </row>
    <row r="1139" spans="1:6" x14ac:dyDescent="0.25">
      <c r="A1139" t="s">
        <v>1522</v>
      </c>
      <c r="B1139" t="s">
        <v>233</v>
      </c>
      <c r="C1139" t="s">
        <v>234</v>
      </c>
      <c r="D1139" t="str">
        <f>HYPERLINK("http://service.sap.com/sap/support/notes/1661092","1661092")</f>
        <v>1661092</v>
      </c>
      <c r="E1139">
        <v>1</v>
      </c>
      <c r="F1139" t="s">
        <v>1877</v>
      </c>
    </row>
    <row r="1140" spans="1:6" x14ac:dyDescent="0.25">
      <c r="A1140" t="s">
        <v>1522</v>
      </c>
      <c r="B1140" t="s">
        <v>236</v>
      </c>
      <c r="C1140" t="s">
        <v>237</v>
      </c>
      <c r="D1140" t="str">
        <f>HYPERLINK("http://service.sap.com/sap/support/notes/370287","370287")</f>
        <v>370287</v>
      </c>
      <c r="E1140">
        <v>1</v>
      </c>
      <c r="F1140" t="s">
        <v>1878</v>
      </c>
    </row>
    <row r="1141" spans="1:6" x14ac:dyDescent="0.25">
      <c r="A1141" t="s">
        <v>1522</v>
      </c>
      <c r="B1141" t="s">
        <v>236</v>
      </c>
      <c r="C1141" t="s">
        <v>237</v>
      </c>
      <c r="D1141" t="str">
        <f>HYPERLINK("http://service.sap.com/sap/support/notes/1610956","1610956")</f>
        <v>1610956</v>
      </c>
      <c r="E1141">
        <v>1</v>
      </c>
      <c r="F1141" t="s">
        <v>1879</v>
      </c>
    </row>
    <row r="1142" spans="1:6" x14ac:dyDescent="0.25">
      <c r="A1142" t="s">
        <v>1522</v>
      </c>
      <c r="B1142" t="s">
        <v>236</v>
      </c>
      <c r="C1142" t="s">
        <v>237</v>
      </c>
      <c r="D1142" t="str">
        <f>HYPERLINK("http://service.sap.com/sap/support/notes/1652728","1652728")</f>
        <v>1652728</v>
      </c>
      <c r="E1142">
        <v>1</v>
      </c>
      <c r="F1142" t="s">
        <v>1880</v>
      </c>
    </row>
    <row r="1143" spans="1:6" x14ac:dyDescent="0.25">
      <c r="A1143" t="s">
        <v>1522</v>
      </c>
      <c r="B1143" t="s">
        <v>236</v>
      </c>
      <c r="C1143" t="s">
        <v>237</v>
      </c>
      <c r="D1143" t="str">
        <f>HYPERLINK("http://service.sap.com/sap/support/notes/1666054","1666054")</f>
        <v>1666054</v>
      </c>
      <c r="E1143">
        <v>2</v>
      </c>
      <c r="F1143" t="s">
        <v>1881</v>
      </c>
    </row>
    <row r="1144" spans="1:6" x14ac:dyDescent="0.25">
      <c r="A1144" t="s">
        <v>1522</v>
      </c>
      <c r="B1144" t="s">
        <v>1882</v>
      </c>
      <c r="C1144" t="s">
        <v>1883</v>
      </c>
      <c r="D1144" t="str">
        <f>HYPERLINK("http://service.sap.com/sap/support/notes/1654272","1654272")</f>
        <v>1654272</v>
      </c>
      <c r="E1144">
        <v>2</v>
      </c>
      <c r="F1144" t="s">
        <v>1884</v>
      </c>
    </row>
    <row r="1145" spans="1:6" x14ac:dyDescent="0.25">
      <c r="A1145" t="s">
        <v>1522</v>
      </c>
      <c r="B1145" t="s">
        <v>1882</v>
      </c>
      <c r="C1145" t="s">
        <v>1883</v>
      </c>
      <c r="D1145" t="str">
        <f>HYPERLINK("http://service.sap.com/sap/support/notes/1671025","1671025")</f>
        <v>1671025</v>
      </c>
      <c r="E1145">
        <v>3</v>
      </c>
      <c r="F1145" t="s">
        <v>1885</v>
      </c>
    </row>
    <row r="1146" spans="1:6" x14ac:dyDescent="0.25">
      <c r="A1146" t="s">
        <v>1522</v>
      </c>
      <c r="B1146" t="s">
        <v>1886</v>
      </c>
      <c r="C1146" t="s">
        <v>1887</v>
      </c>
      <c r="D1146" t="str">
        <f>HYPERLINK("http://service.sap.com/sap/support/notes/1656636","1656636")</f>
        <v>1656636</v>
      </c>
      <c r="E1146">
        <v>1</v>
      </c>
      <c r="F1146" t="s">
        <v>1888</v>
      </c>
    </row>
    <row r="1147" spans="1:6" x14ac:dyDescent="0.25">
      <c r="A1147" t="s">
        <v>1522</v>
      </c>
      <c r="B1147" t="s">
        <v>1889</v>
      </c>
      <c r="C1147" t="s">
        <v>1890</v>
      </c>
      <c r="D1147" t="str">
        <f>HYPERLINK("http://service.sap.com/sap/support/notes/1640214","1640214")</f>
        <v>1640214</v>
      </c>
      <c r="E1147">
        <v>7</v>
      </c>
      <c r="F1147" t="s">
        <v>1891</v>
      </c>
    </row>
    <row r="1148" spans="1:6" x14ac:dyDescent="0.25">
      <c r="A1148" t="s">
        <v>1522</v>
      </c>
      <c r="B1148" t="s">
        <v>1889</v>
      </c>
      <c r="C1148" t="s">
        <v>1890</v>
      </c>
      <c r="D1148" t="str">
        <f>HYPERLINK("http://service.sap.com/sap/support/notes/1643267","1643267")</f>
        <v>1643267</v>
      </c>
      <c r="E1148">
        <v>6</v>
      </c>
      <c r="F1148" t="s">
        <v>1892</v>
      </c>
    </row>
    <row r="1149" spans="1:6" x14ac:dyDescent="0.25">
      <c r="A1149" t="s">
        <v>1522</v>
      </c>
      <c r="B1149" t="s">
        <v>1889</v>
      </c>
      <c r="C1149" t="s">
        <v>1890</v>
      </c>
      <c r="D1149" t="str">
        <f>HYPERLINK("http://service.sap.com/sap/support/notes/1651740","1651740")</f>
        <v>1651740</v>
      </c>
      <c r="E1149">
        <v>1</v>
      </c>
      <c r="F1149" t="s">
        <v>1893</v>
      </c>
    </row>
    <row r="1150" spans="1:6" x14ac:dyDescent="0.25">
      <c r="A1150" t="s">
        <v>1522</v>
      </c>
      <c r="B1150" t="s">
        <v>1889</v>
      </c>
      <c r="C1150" t="s">
        <v>1890</v>
      </c>
      <c r="D1150" t="str">
        <f>HYPERLINK("http://service.sap.com/sap/support/notes/1657939","1657939")</f>
        <v>1657939</v>
      </c>
      <c r="E1150">
        <v>1</v>
      </c>
      <c r="F1150" t="s">
        <v>1894</v>
      </c>
    </row>
    <row r="1151" spans="1:6" x14ac:dyDescent="0.25">
      <c r="A1151" t="s">
        <v>1522</v>
      </c>
      <c r="B1151" t="s">
        <v>1889</v>
      </c>
      <c r="C1151" t="s">
        <v>1890</v>
      </c>
      <c r="D1151" t="str">
        <f>HYPERLINK("http://service.sap.com/sap/support/notes/1658168","1658168")</f>
        <v>1658168</v>
      </c>
      <c r="E1151">
        <v>1</v>
      </c>
      <c r="F1151" t="s">
        <v>1895</v>
      </c>
    </row>
    <row r="1152" spans="1:6" x14ac:dyDescent="0.25">
      <c r="A1152" t="s">
        <v>1522</v>
      </c>
      <c r="B1152" t="s">
        <v>1889</v>
      </c>
      <c r="C1152" t="s">
        <v>1890</v>
      </c>
      <c r="D1152" t="str">
        <f>HYPERLINK("http://service.sap.com/sap/support/notes/1666403","1666403")</f>
        <v>1666403</v>
      </c>
      <c r="E1152">
        <v>3</v>
      </c>
      <c r="F1152" t="s">
        <v>1896</v>
      </c>
    </row>
    <row r="1153" spans="1:6" x14ac:dyDescent="0.25">
      <c r="A1153" t="s">
        <v>1522</v>
      </c>
      <c r="B1153" t="s">
        <v>239</v>
      </c>
      <c r="C1153" t="s">
        <v>240</v>
      </c>
    </row>
    <row r="1154" spans="1:6" x14ac:dyDescent="0.25">
      <c r="A1154" t="s">
        <v>1522</v>
      </c>
      <c r="B1154" t="s">
        <v>241</v>
      </c>
      <c r="C1154" t="s">
        <v>14</v>
      </c>
      <c r="D1154" t="str">
        <f>HYPERLINK("http://service.sap.com/sap/support/notes/873002","873002")</f>
        <v>873002</v>
      </c>
      <c r="E1154">
        <v>2</v>
      </c>
      <c r="F1154" t="s">
        <v>242</v>
      </c>
    </row>
    <row r="1155" spans="1:6" x14ac:dyDescent="0.25">
      <c r="A1155" t="s">
        <v>1522</v>
      </c>
      <c r="B1155" t="s">
        <v>241</v>
      </c>
      <c r="C1155" t="s">
        <v>14</v>
      </c>
      <c r="D1155" t="str">
        <f>HYPERLINK("http://service.sap.com/sap/support/notes/1412071","1412071")</f>
        <v>1412071</v>
      </c>
      <c r="E1155">
        <v>4</v>
      </c>
      <c r="F1155" t="s">
        <v>1897</v>
      </c>
    </row>
    <row r="1156" spans="1:6" x14ac:dyDescent="0.25">
      <c r="A1156" t="s">
        <v>1522</v>
      </c>
      <c r="B1156" t="s">
        <v>241</v>
      </c>
      <c r="C1156" t="s">
        <v>14</v>
      </c>
      <c r="D1156" t="str">
        <f>HYPERLINK("http://service.sap.com/sap/support/notes/1526646","1526646")</f>
        <v>1526646</v>
      </c>
      <c r="E1156">
        <v>2</v>
      </c>
      <c r="F1156" t="s">
        <v>1898</v>
      </c>
    </row>
    <row r="1157" spans="1:6" x14ac:dyDescent="0.25">
      <c r="A1157" t="s">
        <v>1522</v>
      </c>
      <c r="B1157" t="s">
        <v>241</v>
      </c>
      <c r="C1157" t="s">
        <v>14</v>
      </c>
      <c r="D1157" t="str">
        <f>HYPERLINK("http://service.sap.com/sap/support/notes/1613985","1613985")</f>
        <v>1613985</v>
      </c>
      <c r="E1157">
        <v>3</v>
      </c>
      <c r="F1157" t="s">
        <v>1899</v>
      </c>
    </row>
    <row r="1158" spans="1:6" x14ac:dyDescent="0.25">
      <c r="A1158" t="s">
        <v>1522</v>
      </c>
      <c r="B1158" t="s">
        <v>241</v>
      </c>
      <c r="C1158" t="s">
        <v>14</v>
      </c>
      <c r="D1158" t="str">
        <f>HYPERLINK("http://service.sap.com/sap/support/notes/1627685","1627685")</f>
        <v>1627685</v>
      </c>
      <c r="E1158">
        <v>1</v>
      </c>
      <c r="F1158" t="s">
        <v>1900</v>
      </c>
    </row>
    <row r="1159" spans="1:6" x14ac:dyDescent="0.25">
      <c r="A1159" t="s">
        <v>1522</v>
      </c>
      <c r="B1159" t="s">
        <v>241</v>
      </c>
      <c r="C1159" t="s">
        <v>14</v>
      </c>
      <c r="D1159" t="str">
        <f>HYPERLINK("http://service.sap.com/sap/support/notes/1630486","1630486")</f>
        <v>1630486</v>
      </c>
      <c r="E1159">
        <v>1</v>
      </c>
      <c r="F1159" t="s">
        <v>1901</v>
      </c>
    </row>
    <row r="1160" spans="1:6" x14ac:dyDescent="0.25">
      <c r="A1160" t="s">
        <v>1522</v>
      </c>
      <c r="B1160" t="s">
        <v>241</v>
      </c>
      <c r="C1160" t="s">
        <v>14</v>
      </c>
      <c r="D1160" t="str">
        <f>HYPERLINK("http://service.sap.com/sap/support/notes/1630700","1630700")</f>
        <v>1630700</v>
      </c>
      <c r="E1160">
        <v>4</v>
      </c>
      <c r="F1160" t="s">
        <v>1899</v>
      </c>
    </row>
    <row r="1161" spans="1:6" x14ac:dyDescent="0.25">
      <c r="A1161" t="s">
        <v>1522</v>
      </c>
      <c r="B1161" t="s">
        <v>241</v>
      </c>
      <c r="C1161" t="s">
        <v>14</v>
      </c>
      <c r="D1161" t="str">
        <f>HYPERLINK("http://service.sap.com/sap/support/notes/1635324","1635324")</f>
        <v>1635324</v>
      </c>
      <c r="E1161">
        <v>1</v>
      </c>
      <c r="F1161" t="s">
        <v>1902</v>
      </c>
    </row>
    <row r="1162" spans="1:6" x14ac:dyDescent="0.25">
      <c r="A1162" t="s">
        <v>1522</v>
      </c>
      <c r="B1162" t="s">
        <v>241</v>
      </c>
      <c r="C1162" t="s">
        <v>14</v>
      </c>
      <c r="D1162" t="str">
        <f>HYPERLINK("http://service.sap.com/sap/support/notes/1638542","1638542")</f>
        <v>1638542</v>
      </c>
      <c r="E1162">
        <v>1</v>
      </c>
      <c r="F1162" t="s">
        <v>1903</v>
      </c>
    </row>
    <row r="1163" spans="1:6" x14ac:dyDescent="0.25">
      <c r="A1163" t="s">
        <v>1522</v>
      </c>
      <c r="B1163" t="s">
        <v>241</v>
      </c>
      <c r="C1163" t="s">
        <v>14</v>
      </c>
      <c r="D1163" t="str">
        <f>HYPERLINK("http://service.sap.com/sap/support/notes/1648523","1648523")</f>
        <v>1648523</v>
      </c>
      <c r="E1163">
        <v>1</v>
      </c>
      <c r="F1163" t="s">
        <v>1904</v>
      </c>
    </row>
    <row r="1164" spans="1:6" x14ac:dyDescent="0.25">
      <c r="A1164" t="s">
        <v>1522</v>
      </c>
      <c r="B1164" t="s">
        <v>241</v>
      </c>
      <c r="C1164" t="s">
        <v>14</v>
      </c>
      <c r="D1164" t="str">
        <f>HYPERLINK("http://service.sap.com/sap/support/notes/1650891","1650891")</f>
        <v>1650891</v>
      </c>
      <c r="E1164">
        <v>1</v>
      </c>
      <c r="F1164" t="s">
        <v>1905</v>
      </c>
    </row>
    <row r="1165" spans="1:6" x14ac:dyDescent="0.25">
      <c r="A1165" t="s">
        <v>1522</v>
      </c>
      <c r="B1165" t="s">
        <v>241</v>
      </c>
      <c r="C1165" t="s">
        <v>14</v>
      </c>
      <c r="D1165" t="str">
        <f>HYPERLINK("http://service.sap.com/sap/support/notes/1655780","1655780")</f>
        <v>1655780</v>
      </c>
      <c r="E1165">
        <v>2</v>
      </c>
      <c r="F1165" t="s">
        <v>1906</v>
      </c>
    </row>
    <row r="1166" spans="1:6" x14ac:dyDescent="0.25">
      <c r="A1166" t="s">
        <v>1522</v>
      </c>
      <c r="B1166" t="s">
        <v>241</v>
      </c>
      <c r="C1166" t="s">
        <v>14</v>
      </c>
      <c r="D1166" t="str">
        <f>HYPERLINK("http://service.sap.com/sap/support/notes/1656443","1656443")</f>
        <v>1656443</v>
      </c>
      <c r="E1166">
        <v>4</v>
      </c>
      <c r="F1166" t="s">
        <v>1907</v>
      </c>
    </row>
    <row r="1167" spans="1:6" x14ac:dyDescent="0.25">
      <c r="A1167" t="s">
        <v>1522</v>
      </c>
      <c r="B1167" t="s">
        <v>1908</v>
      </c>
      <c r="C1167" t="s">
        <v>1845</v>
      </c>
      <c r="D1167" t="str">
        <f>HYPERLINK("http://service.sap.com/sap/support/notes/1608196","1608196")</f>
        <v>1608196</v>
      </c>
      <c r="E1167">
        <v>1</v>
      </c>
      <c r="F1167" t="s">
        <v>1909</v>
      </c>
    </row>
    <row r="1168" spans="1:6" x14ac:dyDescent="0.25">
      <c r="A1168" t="s">
        <v>1522</v>
      </c>
      <c r="B1168" t="s">
        <v>1908</v>
      </c>
      <c r="C1168" t="s">
        <v>1845</v>
      </c>
      <c r="D1168" t="str">
        <f>HYPERLINK("http://service.sap.com/sap/support/notes/1670162","1670162")</f>
        <v>1670162</v>
      </c>
      <c r="E1168">
        <v>1</v>
      </c>
      <c r="F1168" t="s">
        <v>1910</v>
      </c>
    </row>
    <row r="1169" spans="1:6" x14ac:dyDescent="0.25">
      <c r="A1169" t="s">
        <v>1522</v>
      </c>
      <c r="B1169" t="s">
        <v>245</v>
      </c>
      <c r="C1169" t="s">
        <v>246</v>
      </c>
      <c r="D1169" t="str">
        <f>HYPERLINK("http://service.sap.com/sap/support/notes/1606017","1606017")</f>
        <v>1606017</v>
      </c>
      <c r="E1169">
        <v>3</v>
      </c>
      <c r="F1169" t="s">
        <v>1911</v>
      </c>
    </row>
    <row r="1170" spans="1:6" x14ac:dyDescent="0.25">
      <c r="A1170" t="s">
        <v>1522</v>
      </c>
      <c r="B1170" t="s">
        <v>245</v>
      </c>
      <c r="C1170" t="s">
        <v>246</v>
      </c>
      <c r="D1170" t="str">
        <f>HYPERLINK("http://service.sap.com/sap/support/notes/1623745","1623745")</f>
        <v>1623745</v>
      </c>
      <c r="E1170">
        <v>2</v>
      </c>
      <c r="F1170" t="s">
        <v>1912</v>
      </c>
    </row>
    <row r="1171" spans="1:6" x14ac:dyDescent="0.25">
      <c r="A1171" t="s">
        <v>1522</v>
      </c>
      <c r="B1171" t="s">
        <v>245</v>
      </c>
      <c r="C1171" t="s">
        <v>246</v>
      </c>
      <c r="D1171" t="str">
        <f>HYPERLINK("http://service.sap.com/sap/support/notes/1635165","1635165")</f>
        <v>1635165</v>
      </c>
      <c r="E1171">
        <v>2</v>
      </c>
      <c r="F1171" t="s">
        <v>1913</v>
      </c>
    </row>
    <row r="1172" spans="1:6" x14ac:dyDescent="0.25">
      <c r="A1172" t="s">
        <v>1522</v>
      </c>
      <c r="B1172" t="s">
        <v>245</v>
      </c>
      <c r="C1172" t="s">
        <v>246</v>
      </c>
      <c r="D1172" t="str">
        <f>HYPERLINK("http://service.sap.com/sap/support/notes/1645349","1645349")</f>
        <v>1645349</v>
      </c>
      <c r="E1172">
        <v>1</v>
      </c>
      <c r="F1172" t="s">
        <v>1914</v>
      </c>
    </row>
    <row r="1173" spans="1:6" x14ac:dyDescent="0.25">
      <c r="A1173" t="s">
        <v>1522</v>
      </c>
      <c r="B1173" t="s">
        <v>1915</v>
      </c>
      <c r="C1173" t="s">
        <v>231</v>
      </c>
      <c r="D1173" t="str">
        <f>HYPERLINK("http://service.sap.com/sap/support/notes/1630907","1630907")</f>
        <v>1630907</v>
      </c>
      <c r="E1173">
        <v>2</v>
      </c>
      <c r="F1173" t="s">
        <v>1916</v>
      </c>
    </row>
    <row r="1174" spans="1:6" x14ac:dyDescent="0.25">
      <c r="A1174" t="s">
        <v>1522</v>
      </c>
      <c r="B1174" t="s">
        <v>1915</v>
      </c>
      <c r="C1174" t="s">
        <v>231</v>
      </c>
      <c r="D1174" t="str">
        <f>HYPERLINK("http://service.sap.com/sap/support/notes/1639314","1639314")</f>
        <v>1639314</v>
      </c>
      <c r="E1174">
        <v>1</v>
      </c>
      <c r="F1174" t="s">
        <v>1917</v>
      </c>
    </row>
    <row r="1175" spans="1:6" x14ac:dyDescent="0.25">
      <c r="A1175" t="s">
        <v>1522</v>
      </c>
      <c r="B1175" t="s">
        <v>1918</v>
      </c>
      <c r="C1175" t="s">
        <v>237</v>
      </c>
      <c r="D1175" t="str">
        <f>HYPERLINK("http://service.sap.com/sap/support/notes/1413931","1413931")</f>
        <v>1413931</v>
      </c>
      <c r="E1175">
        <v>1</v>
      </c>
      <c r="F1175" t="s">
        <v>1919</v>
      </c>
    </row>
    <row r="1176" spans="1:6" x14ac:dyDescent="0.25">
      <c r="A1176" t="s">
        <v>1522</v>
      </c>
      <c r="B1176" t="s">
        <v>1918</v>
      </c>
      <c r="C1176" t="s">
        <v>237</v>
      </c>
      <c r="D1176" t="str">
        <f>HYPERLINK("http://service.sap.com/sap/support/notes/1571657","1571657")</f>
        <v>1571657</v>
      </c>
      <c r="E1176">
        <v>2</v>
      </c>
      <c r="F1176" t="s">
        <v>1920</v>
      </c>
    </row>
    <row r="1177" spans="1:6" x14ac:dyDescent="0.25">
      <c r="A1177" t="s">
        <v>1522</v>
      </c>
      <c r="B1177" t="s">
        <v>1918</v>
      </c>
      <c r="C1177" t="s">
        <v>237</v>
      </c>
      <c r="D1177" t="str">
        <f>HYPERLINK("http://service.sap.com/sap/support/notes/1612836","1612836")</f>
        <v>1612836</v>
      </c>
      <c r="E1177">
        <v>1</v>
      </c>
      <c r="F1177" t="s">
        <v>1921</v>
      </c>
    </row>
    <row r="1178" spans="1:6" x14ac:dyDescent="0.25">
      <c r="A1178" t="s">
        <v>1522</v>
      </c>
      <c r="B1178" t="s">
        <v>1918</v>
      </c>
      <c r="C1178" t="s">
        <v>237</v>
      </c>
      <c r="D1178" t="str">
        <f>HYPERLINK("http://service.sap.com/sap/support/notes/1622749","1622749")</f>
        <v>1622749</v>
      </c>
      <c r="E1178">
        <v>2</v>
      </c>
      <c r="F1178" t="s">
        <v>1922</v>
      </c>
    </row>
    <row r="1179" spans="1:6" x14ac:dyDescent="0.25">
      <c r="A1179" t="s">
        <v>1522</v>
      </c>
      <c r="B1179" t="s">
        <v>1918</v>
      </c>
      <c r="C1179" t="s">
        <v>237</v>
      </c>
      <c r="D1179" t="str">
        <f>HYPERLINK("http://service.sap.com/sap/support/notes/1640914","1640914")</f>
        <v>1640914</v>
      </c>
      <c r="E1179">
        <v>1</v>
      </c>
      <c r="F1179" t="s">
        <v>1923</v>
      </c>
    </row>
    <row r="1180" spans="1:6" x14ac:dyDescent="0.25">
      <c r="A1180" t="s">
        <v>1522</v>
      </c>
      <c r="B1180" t="s">
        <v>1918</v>
      </c>
      <c r="C1180" t="s">
        <v>237</v>
      </c>
      <c r="D1180" t="str">
        <f>HYPERLINK("http://service.sap.com/sap/support/notes/1658538","1658538")</f>
        <v>1658538</v>
      </c>
      <c r="E1180">
        <v>2</v>
      </c>
      <c r="F1180" t="s">
        <v>1924</v>
      </c>
    </row>
    <row r="1181" spans="1:6" x14ac:dyDescent="0.25">
      <c r="A1181" t="s">
        <v>1522</v>
      </c>
      <c r="B1181" t="s">
        <v>1925</v>
      </c>
      <c r="C1181" t="s">
        <v>1574</v>
      </c>
      <c r="D1181" t="str">
        <f>HYPERLINK("http://service.sap.com/sap/support/notes/1313016","1313016")</f>
        <v>1313016</v>
      </c>
      <c r="E1181">
        <v>1</v>
      </c>
      <c r="F1181" t="s">
        <v>1926</v>
      </c>
    </row>
    <row r="1182" spans="1:6" x14ac:dyDescent="0.25">
      <c r="A1182" t="s">
        <v>1522</v>
      </c>
      <c r="B1182" t="s">
        <v>1925</v>
      </c>
      <c r="C1182" t="s">
        <v>1574</v>
      </c>
      <c r="D1182" t="str">
        <f>HYPERLINK("http://service.sap.com/sap/support/notes/1358962","1358962")</f>
        <v>1358962</v>
      </c>
      <c r="E1182">
        <v>2</v>
      </c>
      <c r="F1182" t="s">
        <v>1927</v>
      </c>
    </row>
    <row r="1183" spans="1:6" x14ac:dyDescent="0.25">
      <c r="A1183" t="s">
        <v>1522</v>
      </c>
      <c r="B1183" t="s">
        <v>1925</v>
      </c>
      <c r="C1183" t="s">
        <v>1574</v>
      </c>
      <c r="D1183" t="str">
        <f>HYPERLINK("http://service.sap.com/sap/support/notes/1533811","1533811")</f>
        <v>1533811</v>
      </c>
      <c r="E1183">
        <v>2</v>
      </c>
      <c r="F1183" t="s">
        <v>1928</v>
      </c>
    </row>
    <row r="1184" spans="1:6" x14ac:dyDescent="0.25">
      <c r="A1184" t="s">
        <v>1522</v>
      </c>
      <c r="B1184" t="s">
        <v>1925</v>
      </c>
      <c r="C1184" t="s">
        <v>1574</v>
      </c>
      <c r="D1184" t="str">
        <f>HYPERLINK("http://service.sap.com/sap/support/notes/1559994","1559994")</f>
        <v>1559994</v>
      </c>
      <c r="E1184">
        <v>5</v>
      </c>
      <c r="F1184" t="s">
        <v>1929</v>
      </c>
    </row>
    <row r="1185" spans="1:6" x14ac:dyDescent="0.25">
      <c r="A1185" t="s">
        <v>1522</v>
      </c>
      <c r="B1185" t="s">
        <v>1925</v>
      </c>
      <c r="C1185" t="s">
        <v>1574</v>
      </c>
      <c r="D1185" t="str">
        <f>HYPERLINK("http://service.sap.com/sap/support/notes/1584499","1584499")</f>
        <v>1584499</v>
      </c>
      <c r="E1185">
        <v>6</v>
      </c>
      <c r="F1185" t="s">
        <v>1930</v>
      </c>
    </row>
    <row r="1186" spans="1:6" x14ac:dyDescent="0.25">
      <c r="A1186" t="s">
        <v>1522</v>
      </c>
      <c r="B1186" t="s">
        <v>1925</v>
      </c>
      <c r="C1186" t="s">
        <v>1574</v>
      </c>
      <c r="D1186" t="str">
        <f>HYPERLINK("http://service.sap.com/sap/support/notes/1598918","1598918")</f>
        <v>1598918</v>
      </c>
      <c r="E1186">
        <v>2</v>
      </c>
      <c r="F1186" t="s">
        <v>1931</v>
      </c>
    </row>
    <row r="1187" spans="1:6" x14ac:dyDescent="0.25">
      <c r="A1187" t="s">
        <v>1522</v>
      </c>
      <c r="B1187" t="s">
        <v>1925</v>
      </c>
      <c r="C1187" t="s">
        <v>1574</v>
      </c>
      <c r="D1187" t="str">
        <f>HYPERLINK("http://service.sap.com/sap/support/notes/1608281","1608281")</f>
        <v>1608281</v>
      </c>
      <c r="E1187">
        <v>2</v>
      </c>
      <c r="F1187" t="s">
        <v>1932</v>
      </c>
    </row>
    <row r="1188" spans="1:6" x14ac:dyDescent="0.25">
      <c r="A1188" t="s">
        <v>1522</v>
      </c>
      <c r="B1188" t="s">
        <v>1925</v>
      </c>
      <c r="C1188" t="s">
        <v>1574</v>
      </c>
      <c r="D1188" t="str">
        <f>HYPERLINK("http://service.sap.com/sap/support/notes/1622571","1622571")</f>
        <v>1622571</v>
      </c>
      <c r="E1188">
        <v>5</v>
      </c>
      <c r="F1188" t="s">
        <v>1933</v>
      </c>
    </row>
    <row r="1189" spans="1:6" x14ac:dyDescent="0.25">
      <c r="A1189" t="s">
        <v>1522</v>
      </c>
      <c r="B1189" t="s">
        <v>1925</v>
      </c>
      <c r="C1189" t="s">
        <v>1574</v>
      </c>
      <c r="D1189" t="str">
        <f>HYPERLINK("http://service.sap.com/sap/support/notes/1625646","1625646")</f>
        <v>1625646</v>
      </c>
      <c r="E1189">
        <v>3</v>
      </c>
      <c r="F1189" t="s">
        <v>1934</v>
      </c>
    </row>
    <row r="1190" spans="1:6" x14ac:dyDescent="0.25">
      <c r="A1190" t="s">
        <v>1522</v>
      </c>
      <c r="B1190" t="s">
        <v>1925</v>
      </c>
      <c r="C1190" t="s">
        <v>1574</v>
      </c>
      <c r="D1190" t="str">
        <f>HYPERLINK("http://service.sap.com/sap/support/notes/1627569","1627569")</f>
        <v>1627569</v>
      </c>
      <c r="E1190">
        <v>1</v>
      </c>
      <c r="F1190" t="s">
        <v>1935</v>
      </c>
    </row>
    <row r="1191" spans="1:6" x14ac:dyDescent="0.25">
      <c r="A1191" t="s">
        <v>1522</v>
      </c>
      <c r="B1191" t="s">
        <v>1925</v>
      </c>
      <c r="C1191" t="s">
        <v>1574</v>
      </c>
      <c r="D1191" t="str">
        <f>HYPERLINK("http://service.sap.com/sap/support/notes/1628824","1628824")</f>
        <v>1628824</v>
      </c>
      <c r="E1191">
        <v>2</v>
      </c>
      <c r="F1191" t="s">
        <v>1936</v>
      </c>
    </row>
    <row r="1192" spans="1:6" x14ac:dyDescent="0.25">
      <c r="A1192" t="s">
        <v>1522</v>
      </c>
      <c r="B1192" t="s">
        <v>1925</v>
      </c>
      <c r="C1192" t="s">
        <v>1574</v>
      </c>
      <c r="D1192" t="str">
        <f>HYPERLINK("http://service.sap.com/sap/support/notes/1633685","1633685")</f>
        <v>1633685</v>
      </c>
      <c r="E1192">
        <v>1</v>
      </c>
      <c r="F1192" t="s">
        <v>1937</v>
      </c>
    </row>
    <row r="1193" spans="1:6" x14ac:dyDescent="0.25">
      <c r="A1193" t="s">
        <v>1522</v>
      </c>
      <c r="B1193" t="s">
        <v>1925</v>
      </c>
      <c r="C1193" t="s">
        <v>1574</v>
      </c>
      <c r="D1193" t="str">
        <f>HYPERLINK("http://service.sap.com/sap/support/notes/1635792","1635792")</f>
        <v>1635792</v>
      </c>
      <c r="E1193">
        <v>1</v>
      </c>
      <c r="F1193" t="s">
        <v>1938</v>
      </c>
    </row>
    <row r="1194" spans="1:6" x14ac:dyDescent="0.25">
      <c r="A1194" t="s">
        <v>1522</v>
      </c>
      <c r="B1194" t="s">
        <v>1925</v>
      </c>
      <c r="C1194" t="s">
        <v>1574</v>
      </c>
      <c r="D1194" t="str">
        <f>HYPERLINK("http://service.sap.com/sap/support/notes/1648515","1648515")</f>
        <v>1648515</v>
      </c>
      <c r="E1194">
        <v>1</v>
      </c>
      <c r="F1194" t="s">
        <v>1939</v>
      </c>
    </row>
    <row r="1195" spans="1:6" x14ac:dyDescent="0.25">
      <c r="A1195" t="s">
        <v>1522</v>
      </c>
      <c r="B1195" t="s">
        <v>1925</v>
      </c>
      <c r="C1195" t="s">
        <v>1574</v>
      </c>
      <c r="D1195" t="str">
        <f>HYPERLINK("http://service.sap.com/sap/support/notes/1649189","1649189")</f>
        <v>1649189</v>
      </c>
      <c r="E1195">
        <v>1</v>
      </c>
      <c r="F1195" t="s">
        <v>1940</v>
      </c>
    </row>
    <row r="1196" spans="1:6" x14ac:dyDescent="0.25">
      <c r="A1196" t="s">
        <v>1522</v>
      </c>
      <c r="B1196" t="s">
        <v>1925</v>
      </c>
      <c r="C1196" t="s">
        <v>1574</v>
      </c>
      <c r="D1196" t="str">
        <f>HYPERLINK("http://service.sap.com/sap/support/notes/1650269","1650269")</f>
        <v>1650269</v>
      </c>
      <c r="E1196">
        <v>1</v>
      </c>
      <c r="F1196" t="s">
        <v>1941</v>
      </c>
    </row>
    <row r="1197" spans="1:6" x14ac:dyDescent="0.25">
      <c r="A1197" t="s">
        <v>1522</v>
      </c>
      <c r="B1197" t="s">
        <v>1925</v>
      </c>
      <c r="C1197" t="s">
        <v>1574</v>
      </c>
      <c r="D1197" t="str">
        <f>HYPERLINK("http://service.sap.com/sap/support/notes/1660951","1660951")</f>
        <v>1660951</v>
      </c>
      <c r="E1197">
        <v>2</v>
      </c>
      <c r="F1197" t="s">
        <v>1942</v>
      </c>
    </row>
    <row r="1198" spans="1:6" x14ac:dyDescent="0.25">
      <c r="A1198" t="s">
        <v>1522</v>
      </c>
      <c r="B1198" t="s">
        <v>1943</v>
      </c>
      <c r="C1198" t="s">
        <v>1944</v>
      </c>
      <c r="D1198" t="str">
        <f>HYPERLINK("http://service.sap.com/sap/support/notes/402480","402480")</f>
        <v>402480</v>
      </c>
      <c r="E1198">
        <v>7</v>
      </c>
      <c r="F1198" t="s">
        <v>1945</v>
      </c>
    </row>
    <row r="1199" spans="1:6" x14ac:dyDescent="0.25">
      <c r="A1199" t="s">
        <v>1522</v>
      </c>
      <c r="B1199" t="s">
        <v>1943</v>
      </c>
      <c r="C1199" t="s">
        <v>1944</v>
      </c>
      <c r="D1199" t="str">
        <f>HYPERLINK("http://service.sap.com/sap/support/notes/579470","579470")</f>
        <v>579470</v>
      </c>
      <c r="E1199">
        <v>5</v>
      </c>
      <c r="F1199" t="s">
        <v>1946</v>
      </c>
    </row>
    <row r="1200" spans="1:6" x14ac:dyDescent="0.25">
      <c r="A1200" t="s">
        <v>1522</v>
      </c>
      <c r="B1200" t="s">
        <v>1943</v>
      </c>
      <c r="C1200" t="s">
        <v>1944</v>
      </c>
      <c r="D1200" t="str">
        <f>HYPERLINK("http://service.sap.com/sap/support/notes/1452022","1452022")</f>
        <v>1452022</v>
      </c>
      <c r="E1200">
        <v>5</v>
      </c>
      <c r="F1200" t="s">
        <v>1947</v>
      </c>
    </row>
    <row r="1201" spans="1:6" x14ac:dyDescent="0.25">
      <c r="A1201" t="s">
        <v>1522</v>
      </c>
      <c r="B1201" t="s">
        <v>1943</v>
      </c>
      <c r="C1201" t="s">
        <v>1944</v>
      </c>
      <c r="D1201" t="str">
        <f>HYPERLINK("http://service.sap.com/sap/support/notes/1524362","1524362")</f>
        <v>1524362</v>
      </c>
      <c r="E1201">
        <v>4</v>
      </c>
      <c r="F1201" t="s">
        <v>1948</v>
      </c>
    </row>
    <row r="1202" spans="1:6" x14ac:dyDescent="0.25">
      <c r="A1202" t="s">
        <v>1522</v>
      </c>
      <c r="B1202" t="s">
        <v>1943</v>
      </c>
      <c r="C1202" t="s">
        <v>1944</v>
      </c>
      <c r="D1202" t="str">
        <f>HYPERLINK("http://service.sap.com/sap/support/notes/1534657","1534657")</f>
        <v>1534657</v>
      </c>
      <c r="E1202">
        <v>2</v>
      </c>
      <c r="F1202" t="s">
        <v>1949</v>
      </c>
    </row>
    <row r="1203" spans="1:6" x14ac:dyDescent="0.25">
      <c r="A1203" t="s">
        <v>1522</v>
      </c>
      <c r="B1203" t="s">
        <v>1943</v>
      </c>
      <c r="C1203" t="s">
        <v>1944</v>
      </c>
      <c r="D1203" t="str">
        <f>HYPERLINK("http://service.sap.com/sap/support/notes/1624160","1624160")</f>
        <v>1624160</v>
      </c>
      <c r="E1203">
        <v>1</v>
      </c>
      <c r="F1203" t="s">
        <v>1950</v>
      </c>
    </row>
    <row r="1204" spans="1:6" x14ac:dyDescent="0.25">
      <c r="A1204" t="s">
        <v>1522</v>
      </c>
      <c r="B1204" t="s">
        <v>1943</v>
      </c>
      <c r="C1204" t="s">
        <v>1944</v>
      </c>
      <c r="D1204" t="str">
        <f>HYPERLINK("http://service.sap.com/sap/support/notes/1633297","1633297")</f>
        <v>1633297</v>
      </c>
      <c r="E1204">
        <v>1</v>
      </c>
      <c r="F1204" t="s">
        <v>1951</v>
      </c>
    </row>
    <row r="1205" spans="1:6" x14ac:dyDescent="0.25">
      <c r="A1205" t="s">
        <v>1522</v>
      </c>
      <c r="B1205" t="s">
        <v>1943</v>
      </c>
      <c r="C1205" t="s">
        <v>1944</v>
      </c>
      <c r="D1205" t="str">
        <f>HYPERLINK("http://service.sap.com/sap/support/notes/1633490","1633490")</f>
        <v>1633490</v>
      </c>
      <c r="E1205">
        <v>1</v>
      </c>
      <c r="F1205" t="s">
        <v>1952</v>
      </c>
    </row>
    <row r="1206" spans="1:6" x14ac:dyDescent="0.25">
      <c r="A1206" t="s">
        <v>1522</v>
      </c>
      <c r="B1206" t="s">
        <v>1943</v>
      </c>
      <c r="C1206" t="s">
        <v>1944</v>
      </c>
      <c r="D1206" t="str">
        <f>HYPERLINK("http://service.sap.com/sap/support/notes/1644394","1644394")</f>
        <v>1644394</v>
      </c>
      <c r="E1206">
        <v>2</v>
      </c>
      <c r="F1206" t="s">
        <v>1953</v>
      </c>
    </row>
    <row r="1207" spans="1:6" x14ac:dyDescent="0.25">
      <c r="A1207" t="s">
        <v>1522</v>
      </c>
      <c r="B1207" t="s">
        <v>1943</v>
      </c>
      <c r="C1207" t="s">
        <v>1944</v>
      </c>
      <c r="D1207" t="str">
        <f>HYPERLINK("http://service.sap.com/sap/support/notes/1644471","1644471")</f>
        <v>1644471</v>
      </c>
      <c r="E1207">
        <v>1</v>
      </c>
      <c r="F1207" t="s">
        <v>1954</v>
      </c>
    </row>
    <row r="1208" spans="1:6" x14ac:dyDescent="0.25">
      <c r="A1208" t="s">
        <v>1522</v>
      </c>
      <c r="B1208" t="s">
        <v>1943</v>
      </c>
      <c r="C1208" t="s">
        <v>1944</v>
      </c>
      <c r="D1208" t="str">
        <f>HYPERLINK("http://service.sap.com/sap/support/notes/1664911","1664911")</f>
        <v>1664911</v>
      </c>
      <c r="E1208">
        <v>1</v>
      </c>
      <c r="F1208" t="s">
        <v>1955</v>
      </c>
    </row>
    <row r="1209" spans="1:6" x14ac:dyDescent="0.25">
      <c r="A1209" t="s">
        <v>1522</v>
      </c>
      <c r="B1209" t="s">
        <v>1956</v>
      </c>
      <c r="C1209" t="s">
        <v>350</v>
      </c>
      <c r="D1209" t="str">
        <f>HYPERLINK("http://service.sap.com/sap/support/notes/1579610","1579610")</f>
        <v>1579610</v>
      </c>
      <c r="E1209">
        <v>3</v>
      </c>
      <c r="F1209" t="s">
        <v>1957</v>
      </c>
    </row>
    <row r="1210" spans="1:6" x14ac:dyDescent="0.25">
      <c r="A1210" t="s">
        <v>1522</v>
      </c>
      <c r="B1210" t="s">
        <v>1956</v>
      </c>
      <c r="C1210" t="s">
        <v>350</v>
      </c>
      <c r="D1210" t="str">
        <f>HYPERLINK("http://service.sap.com/sap/support/notes/1624750","1624750")</f>
        <v>1624750</v>
      </c>
      <c r="E1210">
        <v>1</v>
      </c>
      <c r="F1210" t="s">
        <v>1958</v>
      </c>
    </row>
    <row r="1211" spans="1:6" x14ac:dyDescent="0.25">
      <c r="A1211" t="s">
        <v>1522</v>
      </c>
      <c r="B1211" t="s">
        <v>1956</v>
      </c>
      <c r="C1211" t="s">
        <v>350</v>
      </c>
      <c r="D1211" t="str">
        <f>HYPERLINK("http://service.sap.com/sap/support/notes/1627602","1627602")</f>
        <v>1627602</v>
      </c>
      <c r="E1211">
        <v>1</v>
      </c>
      <c r="F1211" t="s">
        <v>1959</v>
      </c>
    </row>
    <row r="1212" spans="1:6" x14ac:dyDescent="0.25">
      <c r="A1212" t="s">
        <v>1522</v>
      </c>
      <c r="B1212" t="s">
        <v>1956</v>
      </c>
      <c r="C1212" t="s">
        <v>350</v>
      </c>
      <c r="D1212" t="str">
        <f>HYPERLINK("http://service.sap.com/sap/support/notes/1629477","1629477")</f>
        <v>1629477</v>
      </c>
      <c r="E1212">
        <v>4</v>
      </c>
      <c r="F1212" t="s">
        <v>1960</v>
      </c>
    </row>
    <row r="1213" spans="1:6" x14ac:dyDescent="0.25">
      <c r="A1213" t="s">
        <v>1522</v>
      </c>
      <c r="B1213" t="s">
        <v>1956</v>
      </c>
      <c r="C1213" t="s">
        <v>350</v>
      </c>
      <c r="D1213" t="str">
        <f>HYPERLINK("http://service.sap.com/sap/support/notes/1655748","1655748")</f>
        <v>1655748</v>
      </c>
      <c r="E1213">
        <v>1</v>
      </c>
      <c r="F1213" t="s">
        <v>1961</v>
      </c>
    </row>
    <row r="1214" spans="1:6" x14ac:dyDescent="0.25">
      <c r="A1214" t="s">
        <v>1522</v>
      </c>
      <c r="B1214" t="s">
        <v>1962</v>
      </c>
      <c r="C1214" t="s">
        <v>1963</v>
      </c>
      <c r="D1214" t="str">
        <f>HYPERLINK("http://service.sap.com/sap/support/notes/726210","726210")</f>
        <v>726210</v>
      </c>
      <c r="E1214">
        <v>4</v>
      </c>
      <c r="F1214" t="s">
        <v>1964</v>
      </c>
    </row>
    <row r="1215" spans="1:6" x14ac:dyDescent="0.25">
      <c r="A1215" t="s">
        <v>1522</v>
      </c>
      <c r="B1215" t="s">
        <v>1962</v>
      </c>
      <c r="C1215" t="s">
        <v>1963</v>
      </c>
      <c r="D1215" t="str">
        <f>HYPERLINK("http://service.sap.com/sap/support/notes/1573231","1573231")</f>
        <v>1573231</v>
      </c>
      <c r="E1215">
        <v>3</v>
      </c>
      <c r="F1215" t="s">
        <v>1965</v>
      </c>
    </row>
    <row r="1216" spans="1:6" x14ac:dyDescent="0.25">
      <c r="A1216" t="s">
        <v>1522</v>
      </c>
      <c r="B1216" t="s">
        <v>1962</v>
      </c>
      <c r="C1216" t="s">
        <v>1963</v>
      </c>
      <c r="D1216" t="str">
        <f>HYPERLINK("http://service.sap.com/sap/support/notes/1586083","1586083")</f>
        <v>1586083</v>
      </c>
      <c r="E1216">
        <v>2</v>
      </c>
      <c r="F1216" t="s">
        <v>1966</v>
      </c>
    </row>
    <row r="1217" spans="1:6" x14ac:dyDescent="0.25">
      <c r="A1217" t="s">
        <v>1522</v>
      </c>
      <c r="B1217" t="s">
        <v>1962</v>
      </c>
      <c r="C1217" t="s">
        <v>1963</v>
      </c>
      <c r="D1217" t="str">
        <f>HYPERLINK("http://service.sap.com/sap/support/notes/1617789","1617789")</f>
        <v>1617789</v>
      </c>
      <c r="E1217">
        <v>1</v>
      </c>
      <c r="F1217" t="s">
        <v>1967</v>
      </c>
    </row>
    <row r="1218" spans="1:6" x14ac:dyDescent="0.25">
      <c r="A1218" t="s">
        <v>1522</v>
      </c>
      <c r="B1218" t="s">
        <v>1968</v>
      </c>
      <c r="C1218" t="s">
        <v>1969</v>
      </c>
      <c r="D1218" t="str">
        <f>HYPERLINK("http://service.sap.com/sap/support/notes/1442025","1442025")</f>
        <v>1442025</v>
      </c>
      <c r="E1218">
        <v>2</v>
      </c>
      <c r="F1218" t="s">
        <v>1970</v>
      </c>
    </row>
    <row r="1219" spans="1:6" x14ac:dyDescent="0.25">
      <c r="A1219" t="s">
        <v>1522</v>
      </c>
      <c r="B1219" t="s">
        <v>1968</v>
      </c>
      <c r="C1219" t="s">
        <v>1969</v>
      </c>
      <c r="D1219" t="str">
        <f>HYPERLINK("http://service.sap.com/sap/support/notes/1535317","1535317")</f>
        <v>1535317</v>
      </c>
      <c r="E1219">
        <v>2</v>
      </c>
      <c r="F1219" t="s">
        <v>1971</v>
      </c>
    </row>
    <row r="1220" spans="1:6" x14ac:dyDescent="0.25">
      <c r="A1220" t="s">
        <v>1522</v>
      </c>
      <c r="B1220" t="s">
        <v>1968</v>
      </c>
      <c r="C1220" t="s">
        <v>1969</v>
      </c>
      <c r="D1220" t="str">
        <f>HYPERLINK("http://service.sap.com/sap/support/notes/1587309","1587309")</f>
        <v>1587309</v>
      </c>
      <c r="E1220">
        <v>3</v>
      </c>
      <c r="F1220" t="s">
        <v>1972</v>
      </c>
    </row>
    <row r="1221" spans="1:6" x14ac:dyDescent="0.25">
      <c r="A1221" t="s">
        <v>1522</v>
      </c>
      <c r="B1221" t="s">
        <v>1968</v>
      </c>
      <c r="C1221" t="s">
        <v>1969</v>
      </c>
      <c r="D1221" t="str">
        <f>HYPERLINK("http://service.sap.com/sap/support/notes/1615414","1615414")</f>
        <v>1615414</v>
      </c>
      <c r="E1221">
        <v>5</v>
      </c>
      <c r="F1221" t="s">
        <v>1973</v>
      </c>
    </row>
    <row r="1222" spans="1:6" x14ac:dyDescent="0.25">
      <c r="A1222" t="s">
        <v>1522</v>
      </c>
      <c r="B1222" t="s">
        <v>1968</v>
      </c>
      <c r="C1222" t="s">
        <v>1969</v>
      </c>
      <c r="D1222" t="str">
        <f>HYPERLINK("http://service.sap.com/sap/support/notes/1622878","1622878")</f>
        <v>1622878</v>
      </c>
      <c r="E1222">
        <v>4</v>
      </c>
      <c r="F1222" t="s">
        <v>1974</v>
      </c>
    </row>
    <row r="1223" spans="1:6" x14ac:dyDescent="0.25">
      <c r="A1223" t="s">
        <v>1522</v>
      </c>
      <c r="B1223" t="s">
        <v>1968</v>
      </c>
      <c r="C1223" t="s">
        <v>1969</v>
      </c>
      <c r="D1223" t="str">
        <f>HYPERLINK("http://service.sap.com/sap/support/notes/1640513","1640513")</f>
        <v>1640513</v>
      </c>
      <c r="E1223">
        <v>1</v>
      </c>
      <c r="F1223" t="s">
        <v>1975</v>
      </c>
    </row>
    <row r="1224" spans="1:6" x14ac:dyDescent="0.25">
      <c r="A1224" t="s">
        <v>1522</v>
      </c>
      <c r="B1224" t="s">
        <v>250</v>
      </c>
      <c r="C1224" t="s">
        <v>251</v>
      </c>
    </row>
    <row r="1225" spans="1:6" x14ac:dyDescent="0.25">
      <c r="A1225" t="s">
        <v>1522</v>
      </c>
      <c r="B1225" t="s">
        <v>252</v>
      </c>
      <c r="C1225" t="s">
        <v>253</v>
      </c>
      <c r="D1225" t="str">
        <f>HYPERLINK("http://service.sap.com/sap/support/notes/995304","995304")</f>
        <v>995304</v>
      </c>
      <c r="E1225">
        <v>3</v>
      </c>
      <c r="F1225" t="s">
        <v>1976</v>
      </c>
    </row>
    <row r="1226" spans="1:6" x14ac:dyDescent="0.25">
      <c r="A1226" t="s">
        <v>1522</v>
      </c>
      <c r="B1226" t="s">
        <v>252</v>
      </c>
      <c r="C1226" t="s">
        <v>253</v>
      </c>
      <c r="D1226" t="str">
        <f>HYPERLINK("http://service.sap.com/sap/support/notes/1530201","1530201")</f>
        <v>1530201</v>
      </c>
      <c r="E1226">
        <v>3</v>
      </c>
      <c r="F1226" t="s">
        <v>1977</v>
      </c>
    </row>
    <row r="1227" spans="1:6" x14ac:dyDescent="0.25">
      <c r="A1227" t="s">
        <v>1522</v>
      </c>
      <c r="B1227" t="s">
        <v>252</v>
      </c>
      <c r="C1227" t="s">
        <v>253</v>
      </c>
      <c r="D1227" t="str">
        <f>HYPERLINK("http://service.sap.com/sap/support/notes/1576853","1576853")</f>
        <v>1576853</v>
      </c>
      <c r="E1227">
        <v>2</v>
      </c>
      <c r="F1227" t="s">
        <v>1978</v>
      </c>
    </row>
    <row r="1228" spans="1:6" x14ac:dyDescent="0.25">
      <c r="A1228" t="s">
        <v>1522</v>
      </c>
      <c r="B1228" t="s">
        <v>252</v>
      </c>
      <c r="C1228" t="s">
        <v>253</v>
      </c>
      <c r="D1228" t="str">
        <f>HYPERLINK("http://service.sap.com/sap/support/notes/1608868","1608868")</f>
        <v>1608868</v>
      </c>
      <c r="E1228">
        <v>3</v>
      </c>
      <c r="F1228" t="s">
        <v>1979</v>
      </c>
    </row>
    <row r="1229" spans="1:6" x14ac:dyDescent="0.25">
      <c r="A1229" t="s">
        <v>1522</v>
      </c>
      <c r="B1229" t="s">
        <v>252</v>
      </c>
      <c r="C1229" t="s">
        <v>253</v>
      </c>
      <c r="D1229" t="str">
        <f>HYPERLINK("http://service.sap.com/sap/support/notes/1609282","1609282")</f>
        <v>1609282</v>
      </c>
      <c r="E1229">
        <v>2</v>
      </c>
      <c r="F1229" t="s">
        <v>1980</v>
      </c>
    </row>
    <row r="1230" spans="1:6" x14ac:dyDescent="0.25">
      <c r="A1230" t="s">
        <v>1522</v>
      </c>
      <c r="B1230" t="s">
        <v>252</v>
      </c>
      <c r="C1230" t="s">
        <v>253</v>
      </c>
      <c r="D1230" t="str">
        <f>HYPERLINK("http://service.sap.com/sap/support/notes/1610310","1610310")</f>
        <v>1610310</v>
      </c>
      <c r="E1230">
        <v>2</v>
      </c>
      <c r="F1230" t="s">
        <v>1981</v>
      </c>
    </row>
    <row r="1231" spans="1:6" x14ac:dyDescent="0.25">
      <c r="A1231" t="s">
        <v>1522</v>
      </c>
      <c r="B1231" t="s">
        <v>252</v>
      </c>
      <c r="C1231" t="s">
        <v>253</v>
      </c>
      <c r="D1231" t="str">
        <f>HYPERLINK("http://service.sap.com/sap/support/notes/1612878","1612878")</f>
        <v>1612878</v>
      </c>
      <c r="E1231">
        <v>2</v>
      </c>
      <c r="F1231" t="s">
        <v>1982</v>
      </c>
    </row>
    <row r="1232" spans="1:6" x14ac:dyDescent="0.25">
      <c r="A1232" t="s">
        <v>1522</v>
      </c>
      <c r="B1232" t="s">
        <v>252</v>
      </c>
      <c r="C1232" t="s">
        <v>253</v>
      </c>
      <c r="D1232" t="str">
        <f>HYPERLINK("http://service.sap.com/sap/support/notes/1615167","1615167")</f>
        <v>1615167</v>
      </c>
      <c r="E1232">
        <v>3</v>
      </c>
      <c r="F1232" t="s">
        <v>1983</v>
      </c>
    </row>
    <row r="1233" spans="1:6" x14ac:dyDescent="0.25">
      <c r="A1233" t="s">
        <v>1522</v>
      </c>
      <c r="B1233" t="s">
        <v>252</v>
      </c>
      <c r="C1233" t="s">
        <v>253</v>
      </c>
      <c r="D1233" t="str">
        <f>HYPERLINK("http://service.sap.com/sap/support/notes/1621984","1621984")</f>
        <v>1621984</v>
      </c>
      <c r="E1233">
        <v>2</v>
      </c>
      <c r="F1233" t="s">
        <v>1984</v>
      </c>
    </row>
    <row r="1234" spans="1:6" x14ac:dyDescent="0.25">
      <c r="A1234" t="s">
        <v>1522</v>
      </c>
      <c r="B1234" t="s">
        <v>252</v>
      </c>
      <c r="C1234" t="s">
        <v>253</v>
      </c>
      <c r="D1234" t="str">
        <f>HYPERLINK("http://service.sap.com/sap/support/notes/1622619","1622619")</f>
        <v>1622619</v>
      </c>
      <c r="E1234">
        <v>1</v>
      </c>
      <c r="F1234" t="s">
        <v>1985</v>
      </c>
    </row>
    <row r="1235" spans="1:6" x14ac:dyDescent="0.25">
      <c r="A1235" t="s">
        <v>1522</v>
      </c>
      <c r="B1235" t="s">
        <v>252</v>
      </c>
      <c r="C1235" t="s">
        <v>253</v>
      </c>
      <c r="D1235" t="str">
        <f>HYPERLINK("http://service.sap.com/sap/support/notes/1626977","1626977")</f>
        <v>1626977</v>
      </c>
      <c r="E1235">
        <v>12</v>
      </c>
      <c r="F1235" t="s">
        <v>1986</v>
      </c>
    </row>
    <row r="1236" spans="1:6" x14ac:dyDescent="0.25">
      <c r="A1236" t="s">
        <v>1522</v>
      </c>
      <c r="B1236" t="s">
        <v>252</v>
      </c>
      <c r="C1236" t="s">
        <v>253</v>
      </c>
      <c r="D1236" t="str">
        <f>HYPERLINK("http://service.sap.com/sap/support/notes/1628361","1628361")</f>
        <v>1628361</v>
      </c>
      <c r="E1236">
        <v>1</v>
      </c>
      <c r="F1236" t="s">
        <v>1987</v>
      </c>
    </row>
    <row r="1237" spans="1:6" x14ac:dyDescent="0.25">
      <c r="A1237" t="s">
        <v>1522</v>
      </c>
      <c r="B1237" t="s">
        <v>252</v>
      </c>
      <c r="C1237" t="s">
        <v>253</v>
      </c>
      <c r="D1237" t="str">
        <f>HYPERLINK("http://service.sap.com/sap/support/notes/1632995","1632995")</f>
        <v>1632995</v>
      </c>
      <c r="E1237">
        <v>3</v>
      </c>
      <c r="F1237" t="s">
        <v>1988</v>
      </c>
    </row>
    <row r="1238" spans="1:6" x14ac:dyDescent="0.25">
      <c r="A1238" t="s">
        <v>1522</v>
      </c>
      <c r="B1238" t="s">
        <v>252</v>
      </c>
      <c r="C1238" t="s">
        <v>253</v>
      </c>
      <c r="D1238" t="str">
        <f>HYPERLINK("http://service.sap.com/sap/support/notes/1635621","1635621")</f>
        <v>1635621</v>
      </c>
      <c r="E1238">
        <v>1</v>
      </c>
      <c r="F1238" t="s">
        <v>1989</v>
      </c>
    </row>
    <row r="1239" spans="1:6" x14ac:dyDescent="0.25">
      <c r="A1239" t="s">
        <v>1522</v>
      </c>
      <c r="B1239" t="s">
        <v>252</v>
      </c>
      <c r="C1239" t="s">
        <v>253</v>
      </c>
      <c r="D1239" t="str">
        <f>HYPERLINK("http://service.sap.com/sap/support/notes/1638573","1638573")</f>
        <v>1638573</v>
      </c>
      <c r="E1239">
        <v>1</v>
      </c>
      <c r="F1239" t="s">
        <v>1990</v>
      </c>
    </row>
    <row r="1240" spans="1:6" x14ac:dyDescent="0.25">
      <c r="A1240" t="s">
        <v>1522</v>
      </c>
      <c r="B1240" t="s">
        <v>252</v>
      </c>
      <c r="C1240" t="s">
        <v>253</v>
      </c>
      <c r="D1240" t="str">
        <f>HYPERLINK("http://service.sap.com/sap/support/notes/1639462","1639462")</f>
        <v>1639462</v>
      </c>
      <c r="E1240">
        <v>2</v>
      </c>
      <c r="F1240" t="s">
        <v>1991</v>
      </c>
    </row>
    <row r="1241" spans="1:6" x14ac:dyDescent="0.25">
      <c r="A1241" t="s">
        <v>1522</v>
      </c>
      <c r="B1241" t="s">
        <v>252</v>
      </c>
      <c r="C1241" t="s">
        <v>253</v>
      </c>
      <c r="D1241" t="str">
        <f>HYPERLINK("http://service.sap.com/sap/support/notes/1640783","1640783")</f>
        <v>1640783</v>
      </c>
      <c r="E1241">
        <v>1</v>
      </c>
      <c r="F1241" t="s">
        <v>1992</v>
      </c>
    </row>
    <row r="1242" spans="1:6" x14ac:dyDescent="0.25">
      <c r="A1242" t="s">
        <v>1522</v>
      </c>
      <c r="B1242" t="s">
        <v>252</v>
      </c>
      <c r="C1242" t="s">
        <v>253</v>
      </c>
      <c r="D1242" t="str">
        <f>HYPERLINK("http://service.sap.com/sap/support/notes/1643622","1643622")</f>
        <v>1643622</v>
      </c>
      <c r="E1242">
        <v>2</v>
      </c>
      <c r="F1242" t="s">
        <v>1993</v>
      </c>
    </row>
    <row r="1243" spans="1:6" x14ac:dyDescent="0.25">
      <c r="A1243" t="s">
        <v>1522</v>
      </c>
      <c r="B1243" t="s">
        <v>252</v>
      </c>
      <c r="C1243" t="s">
        <v>253</v>
      </c>
      <c r="D1243" t="str">
        <f>HYPERLINK("http://service.sap.com/sap/support/notes/1645287","1645287")</f>
        <v>1645287</v>
      </c>
      <c r="E1243">
        <v>1</v>
      </c>
      <c r="F1243" t="s">
        <v>1994</v>
      </c>
    </row>
    <row r="1244" spans="1:6" x14ac:dyDescent="0.25">
      <c r="A1244" t="s">
        <v>1522</v>
      </c>
      <c r="B1244" t="s">
        <v>252</v>
      </c>
      <c r="C1244" t="s">
        <v>253</v>
      </c>
      <c r="D1244" t="str">
        <f>HYPERLINK("http://service.sap.com/sap/support/notes/1645751","1645751")</f>
        <v>1645751</v>
      </c>
      <c r="E1244">
        <v>1</v>
      </c>
      <c r="F1244" t="s">
        <v>1995</v>
      </c>
    </row>
    <row r="1245" spans="1:6" x14ac:dyDescent="0.25">
      <c r="A1245" t="s">
        <v>1522</v>
      </c>
      <c r="B1245" t="s">
        <v>252</v>
      </c>
      <c r="C1245" t="s">
        <v>253</v>
      </c>
      <c r="D1245" t="str">
        <f>HYPERLINK("http://service.sap.com/sap/support/notes/1645929","1645929")</f>
        <v>1645929</v>
      </c>
      <c r="E1245">
        <v>1</v>
      </c>
      <c r="F1245" t="s">
        <v>1996</v>
      </c>
    </row>
    <row r="1246" spans="1:6" x14ac:dyDescent="0.25">
      <c r="A1246" t="s">
        <v>1522</v>
      </c>
      <c r="B1246" t="s">
        <v>252</v>
      </c>
      <c r="C1246" t="s">
        <v>253</v>
      </c>
      <c r="D1246" t="str">
        <f>HYPERLINK("http://service.sap.com/sap/support/notes/1646241","1646241")</f>
        <v>1646241</v>
      </c>
      <c r="E1246">
        <v>1</v>
      </c>
      <c r="F1246" t="s">
        <v>1997</v>
      </c>
    </row>
    <row r="1247" spans="1:6" x14ac:dyDescent="0.25">
      <c r="A1247" t="s">
        <v>1522</v>
      </c>
      <c r="B1247" t="s">
        <v>252</v>
      </c>
      <c r="C1247" t="s">
        <v>253</v>
      </c>
      <c r="D1247" t="str">
        <f>HYPERLINK("http://service.sap.com/sap/support/notes/1648155","1648155")</f>
        <v>1648155</v>
      </c>
      <c r="E1247">
        <v>2</v>
      </c>
      <c r="F1247" t="s">
        <v>1998</v>
      </c>
    </row>
    <row r="1248" spans="1:6" x14ac:dyDescent="0.25">
      <c r="A1248" t="s">
        <v>1522</v>
      </c>
      <c r="B1248" t="s">
        <v>252</v>
      </c>
      <c r="C1248" t="s">
        <v>253</v>
      </c>
      <c r="D1248" t="str">
        <f>HYPERLINK("http://service.sap.com/sap/support/notes/1648620","1648620")</f>
        <v>1648620</v>
      </c>
      <c r="E1248">
        <v>1</v>
      </c>
      <c r="F1248" t="s">
        <v>1999</v>
      </c>
    </row>
    <row r="1249" spans="1:6" x14ac:dyDescent="0.25">
      <c r="A1249" t="s">
        <v>1522</v>
      </c>
      <c r="B1249" t="s">
        <v>252</v>
      </c>
      <c r="C1249" t="s">
        <v>253</v>
      </c>
      <c r="D1249" t="str">
        <f>HYPERLINK("http://service.sap.com/sap/support/notes/1649446","1649446")</f>
        <v>1649446</v>
      </c>
      <c r="E1249">
        <v>3</v>
      </c>
      <c r="F1249" t="s">
        <v>2000</v>
      </c>
    </row>
    <row r="1250" spans="1:6" x14ac:dyDescent="0.25">
      <c r="A1250" t="s">
        <v>1522</v>
      </c>
      <c r="B1250" t="s">
        <v>252</v>
      </c>
      <c r="C1250" t="s">
        <v>253</v>
      </c>
      <c r="D1250" t="str">
        <f>HYPERLINK("http://service.sap.com/sap/support/notes/1652113","1652113")</f>
        <v>1652113</v>
      </c>
      <c r="E1250">
        <v>2</v>
      </c>
      <c r="F1250" t="s">
        <v>2001</v>
      </c>
    </row>
    <row r="1251" spans="1:6" x14ac:dyDescent="0.25">
      <c r="A1251" t="s">
        <v>1522</v>
      </c>
      <c r="B1251" t="s">
        <v>252</v>
      </c>
      <c r="C1251" t="s">
        <v>253</v>
      </c>
      <c r="D1251" t="str">
        <f>HYPERLINK("http://service.sap.com/sap/support/notes/1652647","1652647")</f>
        <v>1652647</v>
      </c>
      <c r="E1251">
        <v>3</v>
      </c>
      <c r="F1251" t="s">
        <v>2002</v>
      </c>
    </row>
    <row r="1252" spans="1:6" x14ac:dyDescent="0.25">
      <c r="A1252" t="s">
        <v>1522</v>
      </c>
      <c r="B1252" t="s">
        <v>252</v>
      </c>
      <c r="C1252" t="s">
        <v>253</v>
      </c>
      <c r="D1252" t="str">
        <f>HYPERLINK("http://service.sap.com/sap/support/notes/1656460","1656460")</f>
        <v>1656460</v>
      </c>
      <c r="E1252">
        <v>2</v>
      </c>
      <c r="F1252" t="s">
        <v>2003</v>
      </c>
    </row>
    <row r="1253" spans="1:6" x14ac:dyDescent="0.25">
      <c r="A1253" t="s">
        <v>1522</v>
      </c>
      <c r="B1253" t="s">
        <v>252</v>
      </c>
      <c r="C1253" t="s">
        <v>253</v>
      </c>
      <c r="D1253" t="str">
        <f>HYPERLINK("http://service.sap.com/sap/support/notes/1660080","1660080")</f>
        <v>1660080</v>
      </c>
      <c r="E1253">
        <v>1</v>
      </c>
      <c r="F1253" t="s">
        <v>2004</v>
      </c>
    </row>
    <row r="1254" spans="1:6" x14ac:dyDescent="0.25">
      <c r="A1254" t="s">
        <v>1522</v>
      </c>
      <c r="B1254" t="s">
        <v>252</v>
      </c>
      <c r="C1254" t="s">
        <v>253</v>
      </c>
      <c r="D1254" t="str">
        <f>HYPERLINK("http://service.sap.com/sap/support/notes/1660176","1660176")</f>
        <v>1660176</v>
      </c>
      <c r="E1254">
        <v>1</v>
      </c>
      <c r="F1254" t="s">
        <v>2005</v>
      </c>
    </row>
    <row r="1255" spans="1:6" x14ac:dyDescent="0.25">
      <c r="A1255" t="s">
        <v>1522</v>
      </c>
      <c r="B1255" t="s">
        <v>252</v>
      </c>
      <c r="C1255" t="s">
        <v>253</v>
      </c>
      <c r="D1255" t="str">
        <f>HYPERLINK("http://service.sap.com/sap/support/notes/1667455","1667455")</f>
        <v>1667455</v>
      </c>
      <c r="E1255">
        <v>1</v>
      </c>
      <c r="F1255" t="s">
        <v>2006</v>
      </c>
    </row>
    <row r="1256" spans="1:6" x14ac:dyDescent="0.25">
      <c r="A1256" t="s">
        <v>1522</v>
      </c>
      <c r="B1256" t="s">
        <v>2007</v>
      </c>
      <c r="C1256" t="s">
        <v>2008</v>
      </c>
      <c r="D1256" t="str">
        <f>HYPERLINK("http://service.sap.com/sap/support/notes/1614471","1614471")</f>
        <v>1614471</v>
      </c>
      <c r="E1256">
        <v>3</v>
      </c>
      <c r="F1256" t="s">
        <v>2009</v>
      </c>
    </row>
    <row r="1257" spans="1:6" x14ac:dyDescent="0.25">
      <c r="A1257" t="s">
        <v>1522</v>
      </c>
      <c r="B1257" t="s">
        <v>2010</v>
      </c>
      <c r="C1257" t="s">
        <v>2011</v>
      </c>
      <c r="D1257" t="str">
        <f>HYPERLINK("http://service.sap.com/sap/support/notes/1547634","1547634")</f>
        <v>1547634</v>
      </c>
      <c r="E1257">
        <v>9</v>
      </c>
      <c r="F1257" t="s">
        <v>2012</v>
      </c>
    </row>
    <row r="1258" spans="1:6" x14ac:dyDescent="0.25">
      <c r="A1258" t="s">
        <v>1522</v>
      </c>
      <c r="B1258" t="s">
        <v>257</v>
      </c>
      <c r="C1258" t="s">
        <v>258</v>
      </c>
      <c r="D1258" t="str">
        <f>HYPERLINK("http://service.sap.com/sap/support/notes/1617375","1617375")</f>
        <v>1617375</v>
      </c>
      <c r="E1258">
        <v>4</v>
      </c>
      <c r="F1258" t="s">
        <v>2013</v>
      </c>
    </row>
    <row r="1259" spans="1:6" x14ac:dyDescent="0.25">
      <c r="A1259" t="s">
        <v>1522</v>
      </c>
      <c r="B1259" t="s">
        <v>260</v>
      </c>
      <c r="C1259" t="s">
        <v>261</v>
      </c>
      <c r="D1259" t="str">
        <f>HYPERLINK("http://service.sap.com/sap/support/notes/1591304","1591304")</f>
        <v>1591304</v>
      </c>
      <c r="E1259">
        <v>3</v>
      </c>
      <c r="F1259" t="s">
        <v>2014</v>
      </c>
    </row>
    <row r="1260" spans="1:6" x14ac:dyDescent="0.25">
      <c r="A1260" t="s">
        <v>1522</v>
      </c>
      <c r="B1260" t="s">
        <v>260</v>
      </c>
      <c r="C1260" t="s">
        <v>261</v>
      </c>
      <c r="D1260" t="str">
        <f>HYPERLINK("http://service.sap.com/sap/support/notes/1620305","1620305")</f>
        <v>1620305</v>
      </c>
      <c r="E1260">
        <v>1</v>
      </c>
      <c r="F1260" t="s">
        <v>2015</v>
      </c>
    </row>
    <row r="1261" spans="1:6" x14ac:dyDescent="0.25">
      <c r="A1261" t="s">
        <v>1522</v>
      </c>
      <c r="B1261" t="s">
        <v>260</v>
      </c>
      <c r="C1261" t="s">
        <v>261</v>
      </c>
      <c r="D1261" t="str">
        <f>HYPERLINK("http://service.sap.com/sap/support/notes/1658675","1658675")</f>
        <v>1658675</v>
      </c>
      <c r="E1261">
        <v>1</v>
      </c>
      <c r="F1261" t="s">
        <v>2016</v>
      </c>
    </row>
    <row r="1262" spans="1:6" x14ac:dyDescent="0.25">
      <c r="A1262" t="s">
        <v>1522</v>
      </c>
      <c r="B1262" t="s">
        <v>2017</v>
      </c>
      <c r="C1262" t="s">
        <v>2018</v>
      </c>
      <c r="D1262" t="str">
        <f>HYPERLINK("http://service.sap.com/sap/support/notes/1623762","1623762")</f>
        <v>1623762</v>
      </c>
      <c r="E1262">
        <v>1</v>
      </c>
      <c r="F1262" t="s">
        <v>2019</v>
      </c>
    </row>
    <row r="1263" spans="1:6" x14ac:dyDescent="0.25">
      <c r="A1263" t="s">
        <v>1522</v>
      </c>
      <c r="B1263" t="s">
        <v>2017</v>
      </c>
      <c r="C1263" t="s">
        <v>2018</v>
      </c>
      <c r="D1263" t="str">
        <f>HYPERLINK("http://service.sap.com/sap/support/notes/1627466","1627466")</f>
        <v>1627466</v>
      </c>
      <c r="E1263">
        <v>1</v>
      </c>
      <c r="F1263" t="s">
        <v>2020</v>
      </c>
    </row>
    <row r="1264" spans="1:6" x14ac:dyDescent="0.25">
      <c r="A1264" t="s">
        <v>1522</v>
      </c>
      <c r="B1264" t="s">
        <v>2017</v>
      </c>
      <c r="C1264" t="s">
        <v>2018</v>
      </c>
      <c r="D1264" t="str">
        <f>HYPERLINK("http://service.sap.com/sap/support/notes/1628459","1628459")</f>
        <v>1628459</v>
      </c>
      <c r="E1264">
        <v>1</v>
      </c>
      <c r="F1264" t="s">
        <v>2021</v>
      </c>
    </row>
    <row r="1265" spans="1:6" x14ac:dyDescent="0.25">
      <c r="A1265" t="s">
        <v>1522</v>
      </c>
      <c r="B1265" t="s">
        <v>2017</v>
      </c>
      <c r="C1265" t="s">
        <v>2018</v>
      </c>
      <c r="D1265" t="str">
        <f>HYPERLINK("http://service.sap.com/sap/support/notes/1636056","1636056")</f>
        <v>1636056</v>
      </c>
      <c r="E1265">
        <v>1</v>
      </c>
      <c r="F1265" t="s">
        <v>2022</v>
      </c>
    </row>
    <row r="1266" spans="1:6" x14ac:dyDescent="0.25">
      <c r="A1266" t="s">
        <v>1522</v>
      </c>
      <c r="B1266" t="s">
        <v>2017</v>
      </c>
      <c r="C1266" t="s">
        <v>2018</v>
      </c>
      <c r="D1266" t="str">
        <f>HYPERLINK("http://service.sap.com/sap/support/notes/1639676","1639676")</f>
        <v>1639676</v>
      </c>
      <c r="E1266">
        <v>1</v>
      </c>
      <c r="F1266" t="s">
        <v>2023</v>
      </c>
    </row>
    <row r="1267" spans="1:6" x14ac:dyDescent="0.25">
      <c r="A1267" t="s">
        <v>1522</v>
      </c>
      <c r="B1267" t="s">
        <v>2017</v>
      </c>
      <c r="C1267" t="s">
        <v>2018</v>
      </c>
      <c r="D1267" t="str">
        <f>HYPERLINK("http://service.sap.com/sap/support/notes/1643260","1643260")</f>
        <v>1643260</v>
      </c>
      <c r="E1267">
        <v>8</v>
      </c>
      <c r="F1267" t="s">
        <v>2024</v>
      </c>
    </row>
    <row r="1268" spans="1:6" x14ac:dyDescent="0.25">
      <c r="A1268" t="s">
        <v>1522</v>
      </c>
      <c r="B1268" t="s">
        <v>2017</v>
      </c>
      <c r="C1268" t="s">
        <v>2018</v>
      </c>
      <c r="D1268" t="str">
        <f>HYPERLINK("http://service.sap.com/sap/support/notes/1656387","1656387")</f>
        <v>1656387</v>
      </c>
      <c r="E1268">
        <v>1</v>
      </c>
      <c r="F1268" t="s">
        <v>2025</v>
      </c>
    </row>
    <row r="1269" spans="1:6" x14ac:dyDescent="0.25">
      <c r="A1269" t="s">
        <v>1522</v>
      </c>
      <c r="B1269" t="s">
        <v>2017</v>
      </c>
      <c r="C1269" t="s">
        <v>2018</v>
      </c>
      <c r="D1269" t="str">
        <f>HYPERLINK("http://service.sap.com/sap/support/notes/1659414","1659414")</f>
        <v>1659414</v>
      </c>
      <c r="E1269">
        <v>4</v>
      </c>
      <c r="F1269" t="s">
        <v>2026</v>
      </c>
    </row>
    <row r="1270" spans="1:6" x14ac:dyDescent="0.25">
      <c r="A1270" t="s">
        <v>1522</v>
      </c>
      <c r="B1270" t="s">
        <v>2017</v>
      </c>
      <c r="C1270" t="s">
        <v>2018</v>
      </c>
      <c r="D1270" t="str">
        <f>HYPERLINK("http://service.sap.com/sap/support/notes/1666077","1666077")</f>
        <v>1666077</v>
      </c>
      <c r="E1270">
        <v>1</v>
      </c>
      <c r="F1270" t="s">
        <v>2027</v>
      </c>
    </row>
    <row r="1271" spans="1:6" x14ac:dyDescent="0.25">
      <c r="A1271" t="s">
        <v>1522</v>
      </c>
      <c r="B1271" t="s">
        <v>2017</v>
      </c>
      <c r="C1271" t="s">
        <v>2018</v>
      </c>
      <c r="D1271" t="str">
        <f>HYPERLINK("http://service.sap.com/sap/support/notes/1666080","1666080")</f>
        <v>1666080</v>
      </c>
      <c r="E1271">
        <v>1</v>
      </c>
      <c r="F1271" t="s">
        <v>2028</v>
      </c>
    </row>
    <row r="1272" spans="1:6" x14ac:dyDescent="0.25">
      <c r="A1272" t="s">
        <v>1522</v>
      </c>
      <c r="B1272" t="s">
        <v>2017</v>
      </c>
      <c r="C1272" t="s">
        <v>2018</v>
      </c>
      <c r="D1272" t="str">
        <f>HYPERLINK("http://service.sap.com/sap/support/notes/1668310","1668310")</f>
        <v>1668310</v>
      </c>
      <c r="E1272">
        <v>2</v>
      </c>
      <c r="F1272" t="s">
        <v>2029</v>
      </c>
    </row>
    <row r="1273" spans="1:6" x14ac:dyDescent="0.25">
      <c r="A1273" t="s">
        <v>1522</v>
      </c>
      <c r="B1273" t="s">
        <v>2017</v>
      </c>
      <c r="C1273" t="s">
        <v>2018</v>
      </c>
      <c r="D1273" t="str">
        <f>HYPERLINK("http://service.sap.com/sap/support/notes/1669875","1669875")</f>
        <v>1669875</v>
      </c>
      <c r="E1273">
        <v>2</v>
      </c>
      <c r="F1273" t="s">
        <v>2030</v>
      </c>
    </row>
    <row r="1274" spans="1:6" x14ac:dyDescent="0.25">
      <c r="A1274" t="s">
        <v>1522</v>
      </c>
      <c r="B1274" t="s">
        <v>266</v>
      </c>
      <c r="C1274" t="s">
        <v>267</v>
      </c>
      <c r="D1274" t="str">
        <f>HYPERLINK("http://service.sap.com/sap/support/notes/1537968","1537968")</f>
        <v>1537968</v>
      </c>
      <c r="E1274">
        <v>2</v>
      </c>
      <c r="F1274" t="s">
        <v>2031</v>
      </c>
    </row>
    <row r="1275" spans="1:6" x14ac:dyDescent="0.25">
      <c r="A1275" t="s">
        <v>1522</v>
      </c>
      <c r="B1275" t="s">
        <v>266</v>
      </c>
      <c r="C1275" t="s">
        <v>267</v>
      </c>
      <c r="D1275" t="str">
        <f>HYPERLINK("http://service.sap.com/sap/support/notes/1572507","1572507")</f>
        <v>1572507</v>
      </c>
      <c r="E1275">
        <v>4</v>
      </c>
      <c r="F1275" t="s">
        <v>2032</v>
      </c>
    </row>
    <row r="1276" spans="1:6" x14ac:dyDescent="0.25">
      <c r="A1276" t="s">
        <v>1522</v>
      </c>
      <c r="B1276" t="s">
        <v>266</v>
      </c>
      <c r="C1276" t="s">
        <v>267</v>
      </c>
      <c r="D1276" t="str">
        <f>HYPERLINK("http://service.sap.com/sap/support/notes/1601599","1601599")</f>
        <v>1601599</v>
      </c>
      <c r="E1276">
        <v>4</v>
      </c>
      <c r="F1276" t="s">
        <v>2033</v>
      </c>
    </row>
    <row r="1277" spans="1:6" x14ac:dyDescent="0.25">
      <c r="A1277" t="s">
        <v>1522</v>
      </c>
      <c r="B1277" t="s">
        <v>266</v>
      </c>
      <c r="C1277" t="s">
        <v>267</v>
      </c>
      <c r="D1277" t="str">
        <f>HYPERLINK("http://service.sap.com/sap/support/notes/1628816","1628816")</f>
        <v>1628816</v>
      </c>
      <c r="E1277">
        <v>1</v>
      </c>
      <c r="F1277" t="s">
        <v>2034</v>
      </c>
    </row>
    <row r="1278" spans="1:6" x14ac:dyDescent="0.25">
      <c r="A1278" t="s">
        <v>1522</v>
      </c>
      <c r="B1278" t="s">
        <v>266</v>
      </c>
      <c r="C1278" t="s">
        <v>267</v>
      </c>
      <c r="D1278" t="str">
        <f>HYPERLINK("http://service.sap.com/sap/support/notes/1631226","1631226")</f>
        <v>1631226</v>
      </c>
      <c r="E1278">
        <v>2</v>
      </c>
      <c r="F1278" t="s">
        <v>2035</v>
      </c>
    </row>
    <row r="1279" spans="1:6" x14ac:dyDescent="0.25">
      <c r="A1279" t="s">
        <v>1522</v>
      </c>
      <c r="B1279" t="s">
        <v>266</v>
      </c>
      <c r="C1279" t="s">
        <v>267</v>
      </c>
      <c r="D1279" t="str">
        <f>HYPERLINK("http://service.sap.com/sap/support/notes/1632753","1632753")</f>
        <v>1632753</v>
      </c>
      <c r="E1279">
        <v>1</v>
      </c>
      <c r="F1279" t="s">
        <v>2036</v>
      </c>
    </row>
    <row r="1280" spans="1:6" x14ac:dyDescent="0.25">
      <c r="A1280" t="s">
        <v>1522</v>
      </c>
      <c r="B1280" t="s">
        <v>266</v>
      </c>
      <c r="C1280" t="s">
        <v>267</v>
      </c>
      <c r="D1280" t="str">
        <f>HYPERLINK("http://service.sap.com/sap/support/notes/1636656","1636656")</f>
        <v>1636656</v>
      </c>
      <c r="E1280">
        <v>2</v>
      </c>
      <c r="F1280" t="s">
        <v>2037</v>
      </c>
    </row>
    <row r="1281" spans="1:6" x14ac:dyDescent="0.25">
      <c r="A1281" t="s">
        <v>1522</v>
      </c>
      <c r="B1281" t="s">
        <v>266</v>
      </c>
      <c r="C1281" t="s">
        <v>267</v>
      </c>
      <c r="D1281" t="str">
        <f>HYPERLINK("http://service.sap.com/sap/support/notes/1646463","1646463")</f>
        <v>1646463</v>
      </c>
      <c r="E1281">
        <v>1</v>
      </c>
      <c r="F1281" t="s">
        <v>2038</v>
      </c>
    </row>
    <row r="1282" spans="1:6" x14ac:dyDescent="0.25">
      <c r="A1282" t="s">
        <v>1522</v>
      </c>
      <c r="B1282" t="s">
        <v>266</v>
      </c>
      <c r="C1282" t="s">
        <v>267</v>
      </c>
      <c r="D1282" t="str">
        <f>HYPERLINK("http://service.sap.com/sap/support/notes/1646875","1646875")</f>
        <v>1646875</v>
      </c>
      <c r="E1282">
        <v>1</v>
      </c>
      <c r="F1282" t="s">
        <v>2039</v>
      </c>
    </row>
    <row r="1283" spans="1:6" x14ac:dyDescent="0.25">
      <c r="A1283" t="s">
        <v>1522</v>
      </c>
      <c r="B1283" t="s">
        <v>266</v>
      </c>
      <c r="C1283" t="s">
        <v>267</v>
      </c>
      <c r="D1283" t="str">
        <f>HYPERLINK("http://service.sap.com/sap/support/notes/1653649","1653649")</f>
        <v>1653649</v>
      </c>
      <c r="E1283">
        <v>1</v>
      </c>
      <c r="F1283" t="s">
        <v>2040</v>
      </c>
    </row>
    <row r="1284" spans="1:6" x14ac:dyDescent="0.25">
      <c r="A1284" t="s">
        <v>1522</v>
      </c>
      <c r="B1284" t="s">
        <v>266</v>
      </c>
      <c r="C1284" t="s">
        <v>267</v>
      </c>
      <c r="D1284" t="str">
        <f>HYPERLINK("http://service.sap.com/sap/support/notes/1660772","1660772")</f>
        <v>1660772</v>
      </c>
      <c r="E1284">
        <v>2</v>
      </c>
      <c r="F1284" t="s">
        <v>2041</v>
      </c>
    </row>
    <row r="1285" spans="1:6" x14ac:dyDescent="0.25">
      <c r="A1285" t="s">
        <v>1522</v>
      </c>
      <c r="B1285" t="s">
        <v>266</v>
      </c>
      <c r="C1285" t="s">
        <v>267</v>
      </c>
      <c r="D1285" t="str">
        <f>HYPERLINK("http://service.sap.com/sap/support/notes/1669042","1669042")</f>
        <v>1669042</v>
      </c>
      <c r="E1285">
        <v>2</v>
      </c>
      <c r="F1285" t="s">
        <v>2042</v>
      </c>
    </row>
    <row r="1286" spans="1:6" x14ac:dyDescent="0.25">
      <c r="A1286" t="s">
        <v>1522</v>
      </c>
      <c r="B1286" t="s">
        <v>266</v>
      </c>
      <c r="C1286" t="s">
        <v>267</v>
      </c>
      <c r="D1286" t="str">
        <f>HYPERLINK("http://service.sap.com/sap/support/notes/1673962","1673962")</f>
        <v>1673962</v>
      </c>
      <c r="E1286">
        <v>1</v>
      </c>
      <c r="F1286" t="s">
        <v>2043</v>
      </c>
    </row>
    <row r="1287" spans="1:6" x14ac:dyDescent="0.25">
      <c r="A1287" t="s">
        <v>1522</v>
      </c>
      <c r="B1287" t="s">
        <v>272</v>
      </c>
      <c r="C1287" t="s">
        <v>273</v>
      </c>
      <c r="D1287" t="str">
        <f>HYPERLINK("http://service.sap.com/sap/support/notes/1434934","1434934")</f>
        <v>1434934</v>
      </c>
      <c r="E1287">
        <v>1</v>
      </c>
      <c r="F1287" t="s">
        <v>2044</v>
      </c>
    </row>
    <row r="1288" spans="1:6" x14ac:dyDescent="0.25">
      <c r="A1288" t="s">
        <v>1522</v>
      </c>
      <c r="B1288" t="s">
        <v>272</v>
      </c>
      <c r="C1288" t="s">
        <v>273</v>
      </c>
      <c r="D1288" t="str">
        <f>HYPERLINK("http://service.sap.com/sap/support/notes/1597502","1597502")</f>
        <v>1597502</v>
      </c>
      <c r="E1288">
        <v>6</v>
      </c>
      <c r="F1288" t="s">
        <v>2045</v>
      </c>
    </row>
    <row r="1289" spans="1:6" x14ac:dyDescent="0.25">
      <c r="A1289" t="s">
        <v>1522</v>
      </c>
      <c r="B1289" t="s">
        <v>272</v>
      </c>
      <c r="C1289" t="s">
        <v>273</v>
      </c>
      <c r="D1289" t="str">
        <f>HYPERLINK("http://service.sap.com/sap/support/notes/1609313","1609313")</f>
        <v>1609313</v>
      </c>
      <c r="E1289">
        <v>4</v>
      </c>
      <c r="F1289" t="s">
        <v>2046</v>
      </c>
    </row>
    <row r="1290" spans="1:6" x14ac:dyDescent="0.25">
      <c r="A1290" t="s">
        <v>1522</v>
      </c>
      <c r="B1290" t="s">
        <v>272</v>
      </c>
      <c r="C1290" t="s">
        <v>273</v>
      </c>
      <c r="D1290" t="str">
        <f>HYPERLINK("http://service.sap.com/sap/support/notes/1610896","1610896")</f>
        <v>1610896</v>
      </c>
      <c r="E1290">
        <v>2</v>
      </c>
      <c r="F1290" t="s">
        <v>2047</v>
      </c>
    </row>
    <row r="1291" spans="1:6" x14ac:dyDescent="0.25">
      <c r="A1291" t="s">
        <v>1522</v>
      </c>
      <c r="B1291" t="s">
        <v>272</v>
      </c>
      <c r="C1291" t="s">
        <v>273</v>
      </c>
      <c r="D1291" t="str">
        <f>HYPERLINK("http://service.sap.com/sap/support/notes/1613267","1613267")</f>
        <v>1613267</v>
      </c>
      <c r="E1291">
        <v>2</v>
      </c>
      <c r="F1291" t="s">
        <v>2048</v>
      </c>
    </row>
    <row r="1292" spans="1:6" x14ac:dyDescent="0.25">
      <c r="A1292" t="s">
        <v>1522</v>
      </c>
      <c r="B1292" t="s">
        <v>272</v>
      </c>
      <c r="C1292" t="s">
        <v>273</v>
      </c>
      <c r="D1292" t="str">
        <f>HYPERLINK("http://service.sap.com/sap/support/notes/1616818","1616818")</f>
        <v>1616818</v>
      </c>
      <c r="E1292">
        <v>2</v>
      </c>
      <c r="F1292" t="s">
        <v>2049</v>
      </c>
    </row>
    <row r="1293" spans="1:6" x14ac:dyDescent="0.25">
      <c r="A1293" t="s">
        <v>1522</v>
      </c>
      <c r="B1293" t="s">
        <v>272</v>
      </c>
      <c r="C1293" t="s">
        <v>273</v>
      </c>
      <c r="D1293" t="str">
        <f>HYPERLINK("http://service.sap.com/sap/support/notes/1620859","1620859")</f>
        <v>1620859</v>
      </c>
      <c r="E1293">
        <v>1</v>
      </c>
      <c r="F1293" t="s">
        <v>2050</v>
      </c>
    </row>
    <row r="1294" spans="1:6" x14ac:dyDescent="0.25">
      <c r="A1294" t="s">
        <v>1522</v>
      </c>
      <c r="B1294" t="s">
        <v>272</v>
      </c>
      <c r="C1294" t="s">
        <v>273</v>
      </c>
      <c r="D1294" t="str">
        <f>HYPERLINK("http://service.sap.com/sap/support/notes/1623642","1623642")</f>
        <v>1623642</v>
      </c>
      <c r="E1294">
        <v>1</v>
      </c>
      <c r="F1294" t="s">
        <v>2051</v>
      </c>
    </row>
    <row r="1295" spans="1:6" x14ac:dyDescent="0.25">
      <c r="A1295" t="s">
        <v>1522</v>
      </c>
      <c r="B1295" t="s">
        <v>272</v>
      </c>
      <c r="C1295" t="s">
        <v>273</v>
      </c>
      <c r="D1295" t="str">
        <f>HYPERLINK("http://service.sap.com/sap/support/notes/1627462","1627462")</f>
        <v>1627462</v>
      </c>
      <c r="E1295">
        <v>1</v>
      </c>
      <c r="F1295" t="s">
        <v>2052</v>
      </c>
    </row>
    <row r="1296" spans="1:6" x14ac:dyDescent="0.25">
      <c r="A1296" t="s">
        <v>1522</v>
      </c>
      <c r="B1296" t="s">
        <v>272</v>
      </c>
      <c r="C1296" t="s">
        <v>273</v>
      </c>
      <c r="D1296" t="str">
        <f>HYPERLINK("http://service.sap.com/sap/support/notes/1643353","1643353")</f>
        <v>1643353</v>
      </c>
      <c r="E1296">
        <v>1</v>
      </c>
      <c r="F1296" t="s">
        <v>2053</v>
      </c>
    </row>
    <row r="1297" spans="1:6" x14ac:dyDescent="0.25">
      <c r="A1297" t="s">
        <v>1522</v>
      </c>
      <c r="B1297" t="s">
        <v>272</v>
      </c>
      <c r="C1297" t="s">
        <v>273</v>
      </c>
      <c r="D1297" t="str">
        <f>HYPERLINK("http://service.sap.com/sap/support/notes/1647786","1647786")</f>
        <v>1647786</v>
      </c>
      <c r="E1297">
        <v>1</v>
      </c>
      <c r="F1297" t="s">
        <v>2054</v>
      </c>
    </row>
    <row r="1298" spans="1:6" x14ac:dyDescent="0.25">
      <c r="A1298" t="s">
        <v>1522</v>
      </c>
      <c r="B1298" t="s">
        <v>272</v>
      </c>
      <c r="C1298" t="s">
        <v>273</v>
      </c>
      <c r="D1298" t="str">
        <f>HYPERLINK("http://service.sap.com/sap/support/notes/1648341","1648341")</f>
        <v>1648341</v>
      </c>
      <c r="E1298">
        <v>4</v>
      </c>
      <c r="F1298" t="s">
        <v>2055</v>
      </c>
    </row>
    <row r="1299" spans="1:6" x14ac:dyDescent="0.25">
      <c r="A1299" t="s">
        <v>1522</v>
      </c>
      <c r="B1299" t="s">
        <v>272</v>
      </c>
      <c r="C1299" t="s">
        <v>273</v>
      </c>
      <c r="D1299" t="str">
        <f>HYPERLINK("http://service.sap.com/sap/support/notes/1650283","1650283")</f>
        <v>1650283</v>
      </c>
      <c r="E1299">
        <v>1</v>
      </c>
      <c r="F1299" t="s">
        <v>2056</v>
      </c>
    </row>
    <row r="1300" spans="1:6" x14ac:dyDescent="0.25">
      <c r="A1300" t="s">
        <v>1522</v>
      </c>
      <c r="B1300" t="s">
        <v>272</v>
      </c>
      <c r="C1300" t="s">
        <v>273</v>
      </c>
      <c r="D1300" t="str">
        <f>HYPERLINK("http://service.sap.com/sap/support/notes/1650901","1650901")</f>
        <v>1650901</v>
      </c>
      <c r="E1300">
        <v>1</v>
      </c>
      <c r="F1300" t="s">
        <v>2057</v>
      </c>
    </row>
    <row r="1301" spans="1:6" x14ac:dyDescent="0.25">
      <c r="A1301" t="s">
        <v>1522</v>
      </c>
      <c r="B1301" t="s">
        <v>272</v>
      </c>
      <c r="C1301" t="s">
        <v>273</v>
      </c>
      <c r="D1301" t="str">
        <f>HYPERLINK("http://service.sap.com/sap/support/notes/1656351","1656351")</f>
        <v>1656351</v>
      </c>
      <c r="E1301">
        <v>2</v>
      </c>
      <c r="F1301" t="s">
        <v>2058</v>
      </c>
    </row>
    <row r="1302" spans="1:6" x14ac:dyDescent="0.25">
      <c r="A1302" t="s">
        <v>1522</v>
      </c>
      <c r="B1302" t="s">
        <v>272</v>
      </c>
      <c r="C1302" t="s">
        <v>273</v>
      </c>
      <c r="D1302" t="str">
        <f>HYPERLINK("http://service.sap.com/sap/support/notes/1659628","1659628")</f>
        <v>1659628</v>
      </c>
      <c r="E1302">
        <v>1</v>
      </c>
      <c r="F1302" t="s">
        <v>2059</v>
      </c>
    </row>
    <row r="1303" spans="1:6" x14ac:dyDescent="0.25">
      <c r="A1303" t="s">
        <v>1522</v>
      </c>
      <c r="B1303" t="s">
        <v>272</v>
      </c>
      <c r="C1303" t="s">
        <v>273</v>
      </c>
      <c r="D1303" t="str">
        <f>HYPERLINK("http://service.sap.com/sap/support/notes/1662603","1662603")</f>
        <v>1662603</v>
      </c>
      <c r="E1303">
        <v>1</v>
      </c>
      <c r="F1303" t="s">
        <v>2060</v>
      </c>
    </row>
    <row r="1304" spans="1:6" x14ac:dyDescent="0.25">
      <c r="A1304" t="s">
        <v>1522</v>
      </c>
      <c r="B1304" t="s">
        <v>272</v>
      </c>
      <c r="C1304" t="s">
        <v>273</v>
      </c>
      <c r="D1304" t="str">
        <f>HYPERLINK("http://service.sap.com/sap/support/notes/1669083","1669083")</f>
        <v>1669083</v>
      </c>
      <c r="E1304">
        <v>1</v>
      </c>
      <c r="F1304" t="s">
        <v>2061</v>
      </c>
    </row>
    <row r="1305" spans="1:6" x14ac:dyDescent="0.25">
      <c r="A1305" t="s">
        <v>1522</v>
      </c>
      <c r="B1305" t="s">
        <v>272</v>
      </c>
      <c r="C1305" t="s">
        <v>273</v>
      </c>
      <c r="D1305" t="str">
        <f>HYPERLINK("http://service.sap.com/sap/support/notes/1670663","1670663")</f>
        <v>1670663</v>
      </c>
      <c r="E1305">
        <v>1</v>
      </c>
      <c r="F1305" t="s">
        <v>2062</v>
      </c>
    </row>
    <row r="1306" spans="1:6" x14ac:dyDescent="0.25">
      <c r="A1306" t="s">
        <v>1522</v>
      </c>
      <c r="B1306" t="s">
        <v>2063</v>
      </c>
      <c r="C1306" t="s">
        <v>2064</v>
      </c>
      <c r="D1306" t="str">
        <f>HYPERLINK("http://service.sap.com/sap/support/notes/1670346","1670346")</f>
        <v>1670346</v>
      </c>
      <c r="E1306">
        <v>1</v>
      </c>
      <c r="F1306" t="s">
        <v>2065</v>
      </c>
    </row>
    <row r="1307" spans="1:6" x14ac:dyDescent="0.25">
      <c r="A1307" t="s">
        <v>1522</v>
      </c>
      <c r="B1307" t="s">
        <v>276</v>
      </c>
      <c r="C1307" t="s">
        <v>277</v>
      </c>
      <c r="D1307" t="str">
        <f>HYPERLINK("http://service.sap.com/sap/support/notes/1611645","1611645")</f>
        <v>1611645</v>
      </c>
      <c r="E1307">
        <v>1</v>
      </c>
      <c r="F1307" t="s">
        <v>2066</v>
      </c>
    </row>
    <row r="1308" spans="1:6" x14ac:dyDescent="0.25">
      <c r="A1308" t="s">
        <v>1522</v>
      </c>
      <c r="B1308" t="s">
        <v>276</v>
      </c>
      <c r="C1308" t="s">
        <v>277</v>
      </c>
      <c r="D1308" t="str">
        <f>HYPERLINK("http://service.sap.com/sap/support/notes/1616506","1616506")</f>
        <v>1616506</v>
      </c>
      <c r="E1308">
        <v>1</v>
      </c>
      <c r="F1308" t="s">
        <v>2067</v>
      </c>
    </row>
    <row r="1309" spans="1:6" x14ac:dyDescent="0.25">
      <c r="A1309" t="s">
        <v>1522</v>
      </c>
      <c r="B1309" t="s">
        <v>276</v>
      </c>
      <c r="C1309" t="s">
        <v>277</v>
      </c>
      <c r="D1309" t="str">
        <f>HYPERLINK("http://service.sap.com/sap/support/notes/1618803","1618803")</f>
        <v>1618803</v>
      </c>
      <c r="E1309">
        <v>1</v>
      </c>
      <c r="F1309" t="s">
        <v>2068</v>
      </c>
    </row>
    <row r="1310" spans="1:6" x14ac:dyDescent="0.25">
      <c r="A1310" t="s">
        <v>1522</v>
      </c>
      <c r="B1310" t="s">
        <v>276</v>
      </c>
      <c r="C1310" t="s">
        <v>277</v>
      </c>
      <c r="D1310" t="str">
        <f>HYPERLINK("http://service.sap.com/sap/support/notes/1641299","1641299")</f>
        <v>1641299</v>
      </c>
      <c r="E1310">
        <v>1</v>
      </c>
      <c r="F1310" t="s">
        <v>2069</v>
      </c>
    </row>
    <row r="1311" spans="1:6" x14ac:dyDescent="0.25">
      <c r="A1311" t="s">
        <v>1522</v>
      </c>
      <c r="B1311" t="s">
        <v>276</v>
      </c>
      <c r="C1311" t="s">
        <v>277</v>
      </c>
      <c r="D1311" t="str">
        <f>HYPERLINK("http://service.sap.com/sap/support/notes/1655180","1655180")</f>
        <v>1655180</v>
      </c>
      <c r="E1311">
        <v>1</v>
      </c>
      <c r="F1311" t="s">
        <v>2070</v>
      </c>
    </row>
    <row r="1312" spans="1:6" x14ac:dyDescent="0.25">
      <c r="A1312" t="s">
        <v>1522</v>
      </c>
      <c r="B1312" t="s">
        <v>2071</v>
      </c>
      <c r="C1312" t="s">
        <v>2072</v>
      </c>
      <c r="D1312" t="str">
        <f>HYPERLINK("http://service.sap.com/sap/support/notes/1608397","1608397")</f>
        <v>1608397</v>
      </c>
      <c r="E1312">
        <v>4</v>
      </c>
      <c r="F1312" t="s">
        <v>2073</v>
      </c>
    </row>
    <row r="1313" spans="1:6" x14ac:dyDescent="0.25">
      <c r="A1313" t="s">
        <v>1522</v>
      </c>
      <c r="B1313" t="s">
        <v>2071</v>
      </c>
      <c r="C1313" t="s">
        <v>2072</v>
      </c>
      <c r="D1313" t="str">
        <f>HYPERLINK("http://service.sap.com/sap/support/notes/1618083","1618083")</f>
        <v>1618083</v>
      </c>
      <c r="E1313">
        <v>1</v>
      </c>
      <c r="F1313" t="s">
        <v>2074</v>
      </c>
    </row>
    <row r="1314" spans="1:6" x14ac:dyDescent="0.25">
      <c r="A1314" t="s">
        <v>1522</v>
      </c>
      <c r="B1314" t="s">
        <v>2071</v>
      </c>
      <c r="C1314" t="s">
        <v>2072</v>
      </c>
      <c r="D1314" t="str">
        <f>HYPERLINK("http://service.sap.com/sap/support/notes/1619231","1619231")</f>
        <v>1619231</v>
      </c>
      <c r="E1314">
        <v>1</v>
      </c>
      <c r="F1314" t="s">
        <v>2075</v>
      </c>
    </row>
    <row r="1315" spans="1:6" x14ac:dyDescent="0.25">
      <c r="A1315" t="s">
        <v>1522</v>
      </c>
      <c r="B1315" t="s">
        <v>2071</v>
      </c>
      <c r="C1315" t="s">
        <v>2072</v>
      </c>
      <c r="D1315" t="str">
        <f>HYPERLINK("http://service.sap.com/sap/support/notes/1642065","1642065")</f>
        <v>1642065</v>
      </c>
      <c r="E1315">
        <v>2</v>
      </c>
      <c r="F1315" t="s">
        <v>2076</v>
      </c>
    </row>
    <row r="1316" spans="1:6" x14ac:dyDescent="0.25">
      <c r="A1316" t="s">
        <v>1522</v>
      </c>
      <c r="B1316" t="s">
        <v>2071</v>
      </c>
      <c r="C1316" t="s">
        <v>2072</v>
      </c>
      <c r="D1316" t="str">
        <f>HYPERLINK("http://service.sap.com/sap/support/notes/1656358","1656358")</f>
        <v>1656358</v>
      </c>
      <c r="E1316">
        <v>1</v>
      </c>
      <c r="F1316" t="s">
        <v>2077</v>
      </c>
    </row>
    <row r="1317" spans="1:6" x14ac:dyDescent="0.25">
      <c r="A1317" t="s">
        <v>1522</v>
      </c>
      <c r="B1317" t="s">
        <v>2071</v>
      </c>
      <c r="C1317" t="s">
        <v>2072</v>
      </c>
      <c r="D1317" t="str">
        <f>HYPERLINK("http://service.sap.com/sap/support/notes/1662946","1662946")</f>
        <v>1662946</v>
      </c>
      <c r="E1317">
        <v>1</v>
      </c>
      <c r="F1317" t="s">
        <v>2078</v>
      </c>
    </row>
    <row r="1318" spans="1:6" x14ac:dyDescent="0.25">
      <c r="A1318" t="s">
        <v>1522</v>
      </c>
      <c r="B1318" t="s">
        <v>2071</v>
      </c>
      <c r="C1318" t="s">
        <v>2072</v>
      </c>
      <c r="D1318" t="str">
        <f>HYPERLINK("http://service.sap.com/sap/support/notes/1668762","1668762")</f>
        <v>1668762</v>
      </c>
      <c r="E1318">
        <v>1</v>
      </c>
      <c r="F1318" t="s">
        <v>2079</v>
      </c>
    </row>
    <row r="1319" spans="1:6" x14ac:dyDescent="0.25">
      <c r="A1319" t="s">
        <v>1522</v>
      </c>
      <c r="B1319" t="s">
        <v>280</v>
      </c>
      <c r="C1319" t="s">
        <v>281</v>
      </c>
    </row>
    <row r="1320" spans="1:6" x14ac:dyDescent="0.25">
      <c r="A1320" t="s">
        <v>1522</v>
      </c>
      <c r="B1320" t="s">
        <v>2080</v>
      </c>
      <c r="C1320" t="s">
        <v>2081</v>
      </c>
    </row>
    <row r="1321" spans="1:6" x14ac:dyDescent="0.25">
      <c r="A1321" t="s">
        <v>1522</v>
      </c>
      <c r="B1321" t="s">
        <v>2082</v>
      </c>
      <c r="C1321" t="s">
        <v>2083</v>
      </c>
    </row>
    <row r="1322" spans="1:6" x14ac:dyDescent="0.25">
      <c r="A1322" t="s">
        <v>1522</v>
      </c>
      <c r="B1322" t="s">
        <v>2084</v>
      </c>
      <c r="C1322" t="s">
        <v>2085</v>
      </c>
      <c r="D1322" t="str">
        <f>HYPERLINK("http://service.sap.com/sap/support/notes/1654604","1654604")</f>
        <v>1654604</v>
      </c>
      <c r="E1322">
        <v>3</v>
      </c>
      <c r="F1322" t="s">
        <v>2086</v>
      </c>
    </row>
    <row r="1323" spans="1:6" x14ac:dyDescent="0.25">
      <c r="A1323" t="s">
        <v>1522</v>
      </c>
      <c r="B1323" t="s">
        <v>2087</v>
      </c>
      <c r="C1323" t="s">
        <v>1259</v>
      </c>
    </row>
    <row r="1324" spans="1:6" x14ac:dyDescent="0.25">
      <c r="A1324" t="s">
        <v>1522</v>
      </c>
      <c r="B1324" t="s">
        <v>2088</v>
      </c>
      <c r="C1324" t="s">
        <v>2089</v>
      </c>
      <c r="D1324" t="str">
        <f>HYPERLINK("http://service.sap.com/sap/support/notes/1669129","1669129")</f>
        <v>1669129</v>
      </c>
      <c r="E1324">
        <v>1</v>
      </c>
      <c r="F1324" t="s">
        <v>2090</v>
      </c>
    </row>
    <row r="1325" spans="1:6" x14ac:dyDescent="0.25">
      <c r="A1325" t="s">
        <v>1522</v>
      </c>
      <c r="B1325" t="s">
        <v>2091</v>
      </c>
      <c r="C1325" t="s">
        <v>337</v>
      </c>
    </row>
    <row r="1326" spans="1:6" x14ac:dyDescent="0.25">
      <c r="A1326" t="s">
        <v>1522</v>
      </c>
      <c r="B1326" t="s">
        <v>2092</v>
      </c>
      <c r="C1326" t="s">
        <v>2093</v>
      </c>
      <c r="D1326" t="str">
        <f>HYPERLINK("http://service.sap.com/sap/support/notes/1626674","1626674")</f>
        <v>1626674</v>
      </c>
      <c r="E1326">
        <v>1</v>
      </c>
      <c r="F1326" t="s">
        <v>57</v>
      </c>
    </row>
    <row r="1327" spans="1:6" x14ac:dyDescent="0.25">
      <c r="A1327" t="s">
        <v>1522</v>
      </c>
      <c r="B1327" t="s">
        <v>2092</v>
      </c>
      <c r="C1327" t="s">
        <v>2093</v>
      </c>
      <c r="D1327" t="str">
        <f>HYPERLINK("http://service.sap.com/sap/support/notes/1648405","1648405")</f>
        <v>1648405</v>
      </c>
      <c r="E1327">
        <v>2</v>
      </c>
      <c r="F1327" t="s">
        <v>2094</v>
      </c>
    </row>
    <row r="1328" spans="1:6" x14ac:dyDescent="0.25">
      <c r="A1328" t="s">
        <v>1522</v>
      </c>
      <c r="B1328" t="s">
        <v>2095</v>
      </c>
      <c r="C1328" t="s">
        <v>2096</v>
      </c>
    </row>
    <row r="1329" spans="1:6" x14ac:dyDescent="0.25">
      <c r="A1329" t="s">
        <v>1522</v>
      </c>
      <c r="B1329" t="s">
        <v>2097</v>
      </c>
      <c r="C1329" t="s">
        <v>2098</v>
      </c>
    </row>
    <row r="1330" spans="1:6" x14ac:dyDescent="0.25">
      <c r="A1330" t="s">
        <v>1522</v>
      </c>
      <c r="B1330" t="s">
        <v>2099</v>
      </c>
      <c r="C1330" t="s">
        <v>1239</v>
      </c>
      <c r="D1330" t="str">
        <f>HYPERLINK("http://service.sap.com/sap/support/notes/1641767","1641767")</f>
        <v>1641767</v>
      </c>
      <c r="E1330">
        <v>3</v>
      </c>
      <c r="F1330" t="s">
        <v>2100</v>
      </c>
    </row>
    <row r="1331" spans="1:6" x14ac:dyDescent="0.25">
      <c r="A1331" t="s">
        <v>1522</v>
      </c>
      <c r="B1331" t="s">
        <v>2101</v>
      </c>
      <c r="C1331" t="s">
        <v>2093</v>
      </c>
      <c r="D1331" t="str">
        <f>HYPERLINK("http://service.sap.com/sap/support/notes/1659762","1659762")</f>
        <v>1659762</v>
      </c>
      <c r="E1331">
        <v>1</v>
      </c>
      <c r="F1331" t="s">
        <v>2102</v>
      </c>
    </row>
    <row r="1332" spans="1:6" x14ac:dyDescent="0.25">
      <c r="A1332" t="s">
        <v>1522</v>
      </c>
      <c r="B1332" t="s">
        <v>2103</v>
      </c>
      <c r="C1332" t="s">
        <v>2104</v>
      </c>
      <c r="D1332" t="str">
        <f>HYPERLINK("http://service.sap.com/sap/support/notes/1609024","1609024")</f>
        <v>1609024</v>
      </c>
      <c r="E1332">
        <v>3</v>
      </c>
      <c r="F1332" t="s">
        <v>2105</v>
      </c>
    </row>
    <row r="1333" spans="1:6" x14ac:dyDescent="0.25">
      <c r="A1333" t="s">
        <v>1522</v>
      </c>
      <c r="B1333" t="s">
        <v>2103</v>
      </c>
      <c r="C1333" t="s">
        <v>2104</v>
      </c>
      <c r="D1333" t="str">
        <f>HYPERLINK("http://service.sap.com/sap/support/notes/1626857","1626857")</f>
        <v>1626857</v>
      </c>
      <c r="E1333">
        <v>1</v>
      </c>
      <c r="F1333" t="s">
        <v>2106</v>
      </c>
    </row>
    <row r="1334" spans="1:6" x14ac:dyDescent="0.25">
      <c r="A1334" t="s">
        <v>1522</v>
      </c>
      <c r="B1334" t="s">
        <v>2107</v>
      </c>
      <c r="C1334" t="s">
        <v>2108</v>
      </c>
      <c r="D1334" t="str">
        <f>HYPERLINK("http://service.sap.com/sap/support/notes/1579873","1579873")</f>
        <v>1579873</v>
      </c>
      <c r="E1334">
        <v>3</v>
      </c>
      <c r="F1334" t="s">
        <v>2109</v>
      </c>
    </row>
    <row r="1335" spans="1:6" x14ac:dyDescent="0.25">
      <c r="A1335" t="s">
        <v>1522</v>
      </c>
      <c r="B1335" t="s">
        <v>2107</v>
      </c>
      <c r="C1335" t="s">
        <v>2108</v>
      </c>
      <c r="D1335" t="str">
        <f>HYPERLINK("http://service.sap.com/sap/support/notes/1611684","1611684")</f>
        <v>1611684</v>
      </c>
      <c r="E1335">
        <v>1</v>
      </c>
      <c r="F1335" t="s">
        <v>2110</v>
      </c>
    </row>
    <row r="1336" spans="1:6" x14ac:dyDescent="0.25">
      <c r="A1336" t="s">
        <v>1522</v>
      </c>
      <c r="B1336" t="s">
        <v>2107</v>
      </c>
      <c r="C1336" t="s">
        <v>2108</v>
      </c>
      <c r="D1336" t="str">
        <f>HYPERLINK("http://service.sap.com/sap/support/notes/1613154","1613154")</f>
        <v>1613154</v>
      </c>
      <c r="E1336">
        <v>2</v>
      </c>
      <c r="F1336" t="s">
        <v>2111</v>
      </c>
    </row>
    <row r="1337" spans="1:6" x14ac:dyDescent="0.25">
      <c r="A1337" t="s">
        <v>1522</v>
      </c>
      <c r="B1337" t="s">
        <v>2107</v>
      </c>
      <c r="C1337" t="s">
        <v>2108</v>
      </c>
      <c r="D1337" t="str">
        <f>HYPERLINK("http://service.sap.com/sap/support/notes/1648065","1648065")</f>
        <v>1648065</v>
      </c>
      <c r="E1337">
        <v>3</v>
      </c>
      <c r="F1337" t="s">
        <v>2112</v>
      </c>
    </row>
    <row r="1338" spans="1:6" x14ac:dyDescent="0.25">
      <c r="A1338" t="s">
        <v>1522</v>
      </c>
      <c r="B1338" t="s">
        <v>2113</v>
      </c>
      <c r="C1338" t="s">
        <v>2104</v>
      </c>
      <c r="D1338" t="str">
        <f>HYPERLINK("http://service.sap.com/sap/support/notes/1633005","1633005")</f>
        <v>1633005</v>
      </c>
      <c r="E1338">
        <v>2</v>
      </c>
      <c r="F1338" t="s">
        <v>2114</v>
      </c>
    </row>
    <row r="1339" spans="1:6" x14ac:dyDescent="0.25">
      <c r="A1339" t="s">
        <v>1522</v>
      </c>
      <c r="B1339" t="s">
        <v>2113</v>
      </c>
      <c r="C1339" t="s">
        <v>2104</v>
      </c>
      <c r="D1339" t="str">
        <f>HYPERLINK("http://service.sap.com/sap/support/notes/1667529","1667529")</f>
        <v>1667529</v>
      </c>
      <c r="E1339">
        <v>2</v>
      </c>
      <c r="F1339" t="s">
        <v>2115</v>
      </c>
    </row>
    <row r="1340" spans="1:6" x14ac:dyDescent="0.25">
      <c r="A1340" t="s">
        <v>1522</v>
      </c>
      <c r="B1340" t="s">
        <v>2113</v>
      </c>
      <c r="C1340" t="s">
        <v>2104</v>
      </c>
      <c r="D1340" t="str">
        <f>HYPERLINK("http://service.sap.com/sap/support/notes/1669593","1669593")</f>
        <v>1669593</v>
      </c>
      <c r="E1340">
        <v>1</v>
      </c>
      <c r="F1340" t="s">
        <v>2116</v>
      </c>
    </row>
    <row r="1341" spans="1:6" x14ac:dyDescent="0.25">
      <c r="A1341" t="s">
        <v>1522</v>
      </c>
      <c r="B1341" t="s">
        <v>2117</v>
      </c>
      <c r="C1341" t="s">
        <v>2118</v>
      </c>
      <c r="D1341" t="str">
        <f>HYPERLINK("http://service.sap.com/sap/support/notes/1639738","1639738")</f>
        <v>1639738</v>
      </c>
      <c r="E1341">
        <v>1</v>
      </c>
      <c r="F1341" t="s">
        <v>2119</v>
      </c>
    </row>
    <row r="1342" spans="1:6" x14ac:dyDescent="0.25">
      <c r="A1342" t="s">
        <v>1522</v>
      </c>
      <c r="B1342" t="s">
        <v>2117</v>
      </c>
      <c r="C1342" t="s">
        <v>2118</v>
      </c>
      <c r="D1342" t="str">
        <f>HYPERLINK("http://service.sap.com/sap/support/notes/1646582","1646582")</f>
        <v>1646582</v>
      </c>
      <c r="E1342">
        <v>1</v>
      </c>
      <c r="F1342" t="s">
        <v>2120</v>
      </c>
    </row>
    <row r="1343" spans="1:6" x14ac:dyDescent="0.25">
      <c r="A1343" t="s">
        <v>1522</v>
      </c>
      <c r="B1343" t="s">
        <v>2117</v>
      </c>
      <c r="C1343" t="s">
        <v>2118</v>
      </c>
      <c r="D1343" t="str">
        <f>HYPERLINK("http://service.sap.com/sap/support/notes/1649377","1649377")</f>
        <v>1649377</v>
      </c>
      <c r="E1343">
        <v>1</v>
      </c>
      <c r="F1343" t="s">
        <v>2121</v>
      </c>
    </row>
    <row r="1344" spans="1:6" x14ac:dyDescent="0.25">
      <c r="A1344" t="s">
        <v>1522</v>
      </c>
      <c r="B1344" t="s">
        <v>2122</v>
      </c>
      <c r="C1344" t="s">
        <v>2123</v>
      </c>
      <c r="D1344" t="str">
        <f>HYPERLINK("http://service.sap.com/sap/support/notes/1655564","1655564")</f>
        <v>1655564</v>
      </c>
      <c r="E1344">
        <v>1</v>
      </c>
      <c r="F1344" t="s">
        <v>2124</v>
      </c>
    </row>
    <row r="1345" spans="1:6" x14ac:dyDescent="0.25">
      <c r="A1345" t="s">
        <v>1522</v>
      </c>
      <c r="B1345" t="s">
        <v>2125</v>
      </c>
      <c r="C1345" t="s">
        <v>2126</v>
      </c>
    </row>
    <row r="1346" spans="1:6" x14ac:dyDescent="0.25">
      <c r="A1346" t="s">
        <v>1522</v>
      </c>
      <c r="B1346" t="s">
        <v>2127</v>
      </c>
      <c r="C1346" t="s">
        <v>2128</v>
      </c>
      <c r="D1346" t="str">
        <f>HYPERLINK("http://service.sap.com/sap/support/notes/1644045","1644045")</f>
        <v>1644045</v>
      </c>
      <c r="E1346">
        <v>1</v>
      </c>
      <c r="F1346" t="s">
        <v>2129</v>
      </c>
    </row>
    <row r="1347" spans="1:6" x14ac:dyDescent="0.25">
      <c r="A1347" t="s">
        <v>1522</v>
      </c>
      <c r="B1347" t="s">
        <v>2127</v>
      </c>
      <c r="C1347" t="s">
        <v>2128</v>
      </c>
      <c r="D1347" t="str">
        <f>HYPERLINK("http://service.sap.com/sap/support/notes/1647579","1647579")</f>
        <v>1647579</v>
      </c>
      <c r="E1347">
        <v>2</v>
      </c>
      <c r="F1347" t="s">
        <v>2130</v>
      </c>
    </row>
    <row r="1348" spans="1:6" x14ac:dyDescent="0.25">
      <c r="A1348" t="s">
        <v>1522</v>
      </c>
      <c r="B1348" t="s">
        <v>2127</v>
      </c>
      <c r="C1348" t="s">
        <v>2128</v>
      </c>
      <c r="D1348" t="str">
        <f>HYPERLINK("http://service.sap.com/sap/support/notes/1650185","1650185")</f>
        <v>1650185</v>
      </c>
      <c r="E1348">
        <v>2</v>
      </c>
      <c r="F1348" t="s">
        <v>2131</v>
      </c>
    </row>
    <row r="1349" spans="1:6" x14ac:dyDescent="0.25">
      <c r="A1349" t="s">
        <v>1522</v>
      </c>
      <c r="B1349" t="s">
        <v>2127</v>
      </c>
      <c r="C1349" t="s">
        <v>2128</v>
      </c>
      <c r="D1349" t="str">
        <f>HYPERLINK("http://service.sap.com/sap/support/notes/1661337","1661337")</f>
        <v>1661337</v>
      </c>
      <c r="E1349">
        <v>2</v>
      </c>
      <c r="F1349" t="s">
        <v>2132</v>
      </c>
    </row>
    <row r="1350" spans="1:6" x14ac:dyDescent="0.25">
      <c r="A1350" t="s">
        <v>1522</v>
      </c>
      <c r="B1350" t="s">
        <v>2127</v>
      </c>
      <c r="C1350" t="s">
        <v>2128</v>
      </c>
      <c r="D1350" t="str">
        <f>HYPERLINK("http://service.sap.com/sap/support/notes/1672609","1672609")</f>
        <v>1672609</v>
      </c>
      <c r="E1350">
        <v>1</v>
      </c>
      <c r="F1350" t="s">
        <v>2133</v>
      </c>
    </row>
    <row r="1351" spans="1:6" x14ac:dyDescent="0.25">
      <c r="A1351" t="s">
        <v>1522</v>
      </c>
      <c r="B1351" t="s">
        <v>2134</v>
      </c>
      <c r="C1351" t="s">
        <v>2135</v>
      </c>
      <c r="D1351" t="str">
        <f>HYPERLINK("http://service.sap.com/sap/support/notes/1638842","1638842")</f>
        <v>1638842</v>
      </c>
      <c r="E1351">
        <v>2</v>
      </c>
      <c r="F1351" t="s">
        <v>2136</v>
      </c>
    </row>
    <row r="1352" spans="1:6" x14ac:dyDescent="0.25">
      <c r="A1352" t="s">
        <v>1522</v>
      </c>
      <c r="B1352" t="s">
        <v>2137</v>
      </c>
      <c r="C1352" t="s">
        <v>2138</v>
      </c>
      <c r="D1352" t="str">
        <f>HYPERLINK("http://service.sap.com/sap/support/notes/1659342","1659342")</f>
        <v>1659342</v>
      </c>
      <c r="E1352">
        <v>2</v>
      </c>
      <c r="F1352" t="s">
        <v>2139</v>
      </c>
    </row>
    <row r="1353" spans="1:6" x14ac:dyDescent="0.25">
      <c r="A1353" t="s">
        <v>1522</v>
      </c>
      <c r="B1353" t="s">
        <v>282</v>
      </c>
      <c r="C1353" t="s">
        <v>14</v>
      </c>
    </row>
    <row r="1354" spans="1:6" x14ac:dyDescent="0.25">
      <c r="A1354" t="s">
        <v>1522</v>
      </c>
      <c r="B1354" t="s">
        <v>283</v>
      </c>
      <c r="C1354" t="s">
        <v>284</v>
      </c>
    </row>
    <row r="1355" spans="1:6" x14ac:dyDescent="0.25">
      <c r="A1355" t="s">
        <v>1522</v>
      </c>
      <c r="B1355" t="s">
        <v>285</v>
      </c>
      <c r="C1355" t="s">
        <v>286</v>
      </c>
      <c r="D1355" t="str">
        <f>HYPERLINK("http://service.sap.com/sap/support/notes/1430966","1430966")</f>
        <v>1430966</v>
      </c>
      <c r="E1355">
        <v>4</v>
      </c>
      <c r="F1355" t="s">
        <v>2140</v>
      </c>
    </row>
    <row r="1356" spans="1:6" x14ac:dyDescent="0.25">
      <c r="A1356" t="s">
        <v>1522</v>
      </c>
      <c r="B1356" t="s">
        <v>285</v>
      </c>
      <c r="C1356" t="s">
        <v>286</v>
      </c>
      <c r="D1356" t="str">
        <f>HYPERLINK("http://service.sap.com/sap/support/notes/1641915","1641915")</f>
        <v>1641915</v>
      </c>
      <c r="E1356">
        <v>2</v>
      </c>
      <c r="F1356" t="s">
        <v>2141</v>
      </c>
    </row>
    <row r="1357" spans="1:6" x14ac:dyDescent="0.25">
      <c r="A1357" t="s">
        <v>1522</v>
      </c>
      <c r="B1357" t="s">
        <v>285</v>
      </c>
      <c r="C1357" t="s">
        <v>286</v>
      </c>
      <c r="D1357" t="str">
        <f>HYPERLINK("http://service.sap.com/sap/support/notes/1644206","1644206")</f>
        <v>1644206</v>
      </c>
      <c r="E1357">
        <v>3</v>
      </c>
      <c r="F1357" t="s">
        <v>2142</v>
      </c>
    </row>
    <row r="1358" spans="1:6" x14ac:dyDescent="0.25">
      <c r="A1358" t="s">
        <v>1522</v>
      </c>
      <c r="B1358" t="s">
        <v>285</v>
      </c>
      <c r="C1358" t="s">
        <v>286</v>
      </c>
      <c r="D1358" t="str">
        <f>HYPERLINK("http://service.sap.com/sap/support/notes/1644799","1644799")</f>
        <v>1644799</v>
      </c>
      <c r="E1358">
        <v>2</v>
      </c>
      <c r="F1358" t="s">
        <v>2143</v>
      </c>
    </row>
    <row r="1359" spans="1:6" x14ac:dyDescent="0.25">
      <c r="A1359" t="s">
        <v>1522</v>
      </c>
      <c r="B1359" t="s">
        <v>285</v>
      </c>
      <c r="C1359" t="s">
        <v>286</v>
      </c>
      <c r="D1359" t="str">
        <f>HYPERLINK("http://service.sap.com/sap/support/notes/1645211","1645211")</f>
        <v>1645211</v>
      </c>
      <c r="E1359">
        <v>1</v>
      </c>
      <c r="F1359" t="s">
        <v>2144</v>
      </c>
    </row>
    <row r="1360" spans="1:6" x14ac:dyDescent="0.25">
      <c r="A1360" t="s">
        <v>1522</v>
      </c>
      <c r="B1360" t="s">
        <v>285</v>
      </c>
      <c r="C1360" t="s">
        <v>286</v>
      </c>
      <c r="D1360" t="str">
        <f>HYPERLINK("http://service.sap.com/sap/support/notes/1648293","1648293")</f>
        <v>1648293</v>
      </c>
      <c r="E1360">
        <v>1</v>
      </c>
      <c r="F1360" t="s">
        <v>2145</v>
      </c>
    </row>
    <row r="1361" spans="1:6" x14ac:dyDescent="0.25">
      <c r="A1361" t="s">
        <v>1522</v>
      </c>
      <c r="B1361" t="s">
        <v>285</v>
      </c>
      <c r="C1361" t="s">
        <v>286</v>
      </c>
      <c r="D1361" t="str">
        <f>HYPERLINK("http://service.sap.com/sap/support/notes/1654097","1654097")</f>
        <v>1654097</v>
      </c>
      <c r="E1361">
        <v>1</v>
      </c>
      <c r="F1361" t="s">
        <v>2146</v>
      </c>
    </row>
    <row r="1362" spans="1:6" x14ac:dyDescent="0.25">
      <c r="A1362" t="s">
        <v>1522</v>
      </c>
      <c r="B1362" t="s">
        <v>288</v>
      </c>
      <c r="C1362" t="s">
        <v>289</v>
      </c>
    </row>
    <row r="1363" spans="1:6" x14ac:dyDescent="0.25">
      <c r="A1363" t="s">
        <v>1522</v>
      </c>
      <c r="B1363" t="s">
        <v>290</v>
      </c>
      <c r="C1363" t="s">
        <v>291</v>
      </c>
      <c r="D1363" t="str">
        <f>HYPERLINK("http://service.sap.com/sap/support/notes/1614620","1614620")</f>
        <v>1614620</v>
      </c>
      <c r="E1363">
        <v>3</v>
      </c>
      <c r="F1363" t="s">
        <v>2147</v>
      </c>
    </row>
    <row r="1364" spans="1:6" x14ac:dyDescent="0.25">
      <c r="A1364" t="s">
        <v>1522</v>
      </c>
      <c r="B1364" t="s">
        <v>2148</v>
      </c>
      <c r="C1364" t="s">
        <v>2149</v>
      </c>
    </row>
    <row r="1365" spans="1:6" x14ac:dyDescent="0.25">
      <c r="A1365" t="s">
        <v>1522</v>
      </c>
      <c r="B1365" t="s">
        <v>2150</v>
      </c>
      <c r="C1365" t="s">
        <v>2151</v>
      </c>
    </row>
    <row r="1366" spans="1:6" x14ac:dyDescent="0.25">
      <c r="A1366" t="s">
        <v>1522</v>
      </c>
      <c r="B1366" t="s">
        <v>2152</v>
      </c>
      <c r="C1366" t="s">
        <v>2153</v>
      </c>
      <c r="D1366" t="str">
        <f>HYPERLINK("http://service.sap.com/sap/support/notes/1606072","1606072")</f>
        <v>1606072</v>
      </c>
      <c r="E1366">
        <v>3</v>
      </c>
      <c r="F1366" t="s">
        <v>2154</v>
      </c>
    </row>
    <row r="1367" spans="1:6" x14ac:dyDescent="0.25">
      <c r="A1367" t="s">
        <v>1522</v>
      </c>
      <c r="B1367" t="s">
        <v>2155</v>
      </c>
      <c r="C1367" t="s">
        <v>2156</v>
      </c>
    </row>
    <row r="1368" spans="1:6" x14ac:dyDescent="0.25">
      <c r="A1368" t="s">
        <v>1522</v>
      </c>
      <c r="B1368" t="s">
        <v>2157</v>
      </c>
      <c r="C1368" t="s">
        <v>632</v>
      </c>
    </row>
    <row r="1369" spans="1:6" x14ac:dyDescent="0.25">
      <c r="A1369" t="s">
        <v>1522</v>
      </c>
      <c r="B1369" t="s">
        <v>2158</v>
      </c>
      <c r="C1369" t="s">
        <v>284</v>
      </c>
      <c r="D1369" t="str">
        <f>HYPERLINK("http://service.sap.com/sap/support/notes/1603315","1603315")</f>
        <v>1603315</v>
      </c>
      <c r="E1369">
        <v>4</v>
      </c>
      <c r="F1369" t="s">
        <v>2159</v>
      </c>
    </row>
    <row r="1370" spans="1:6" x14ac:dyDescent="0.25">
      <c r="A1370" t="s">
        <v>1522</v>
      </c>
      <c r="B1370" t="s">
        <v>2158</v>
      </c>
      <c r="C1370" t="s">
        <v>284</v>
      </c>
      <c r="D1370" t="str">
        <f>HYPERLINK("http://service.sap.com/sap/support/notes/1629509","1629509")</f>
        <v>1629509</v>
      </c>
      <c r="E1370">
        <v>2</v>
      </c>
      <c r="F1370" t="s">
        <v>2160</v>
      </c>
    </row>
    <row r="1371" spans="1:6" x14ac:dyDescent="0.25">
      <c r="A1371" t="s">
        <v>1522</v>
      </c>
      <c r="B1371" t="s">
        <v>2161</v>
      </c>
      <c r="C1371" t="s">
        <v>2162</v>
      </c>
    </row>
    <row r="1372" spans="1:6" x14ac:dyDescent="0.25">
      <c r="A1372" t="s">
        <v>1522</v>
      </c>
      <c r="B1372" t="s">
        <v>2163</v>
      </c>
      <c r="C1372" t="s">
        <v>2162</v>
      </c>
      <c r="D1372" t="str">
        <f>HYPERLINK("http://service.sap.com/sap/support/notes/1612118","1612118")</f>
        <v>1612118</v>
      </c>
      <c r="E1372">
        <v>2</v>
      </c>
      <c r="F1372" t="s">
        <v>2164</v>
      </c>
    </row>
    <row r="1373" spans="1:6" x14ac:dyDescent="0.25">
      <c r="A1373" t="s">
        <v>1522</v>
      </c>
      <c r="B1373" t="s">
        <v>2163</v>
      </c>
      <c r="C1373" t="s">
        <v>2162</v>
      </c>
      <c r="D1373" t="str">
        <f>HYPERLINK("http://service.sap.com/sap/support/notes/1619464","1619464")</f>
        <v>1619464</v>
      </c>
      <c r="E1373">
        <v>1</v>
      </c>
      <c r="F1373" t="s">
        <v>2165</v>
      </c>
    </row>
    <row r="1374" spans="1:6" x14ac:dyDescent="0.25">
      <c r="A1374" t="s">
        <v>1522</v>
      </c>
      <c r="B1374" t="s">
        <v>2163</v>
      </c>
      <c r="C1374" t="s">
        <v>2162</v>
      </c>
      <c r="D1374" t="str">
        <f>HYPERLINK("http://service.sap.com/sap/support/notes/1659894","1659894")</f>
        <v>1659894</v>
      </c>
      <c r="E1374">
        <v>1</v>
      </c>
      <c r="F1374" t="s">
        <v>2166</v>
      </c>
    </row>
    <row r="1375" spans="1:6" x14ac:dyDescent="0.25">
      <c r="A1375" t="s">
        <v>1522</v>
      </c>
      <c r="B1375" t="s">
        <v>2167</v>
      </c>
      <c r="C1375" t="s">
        <v>2168</v>
      </c>
    </row>
    <row r="1376" spans="1:6" x14ac:dyDescent="0.25">
      <c r="A1376" t="s">
        <v>1522</v>
      </c>
      <c r="B1376" t="s">
        <v>2169</v>
      </c>
      <c r="C1376" t="s">
        <v>2170</v>
      </c>
      <c r="D1376" t="str">
        <f>HYPERLINK("http://service.sap.com/sap/support/notes/1536959","1536959")</f>
        <v>1536959</v>
      </c>
      <c r="E1376">
        <v>2</v>
      </c>
      <c r="F1376" t="s">
        <v>2171</v>
      </c>
    </row>
    <row r="1377" spans="1:6" x14ac:dyDescent="0.25">
      <c r="A1377" t="s">
        <v>1522</v>
      </c>
      <c r="B1377" t="s">
        <v>2169</v>
      </c>
      <c r="C1377" t="s">
        <v>2170</v>
      </c>
      <c r="D1377" t="str">
        <f>HYPERLINK("http://service.sap.com/sap/support/notes/1655710","1655710")</f>
        <v>1655710</v>
      </c>
      <c r="E1377">
        <v>1</v>
      </c>
      <c r="F1377" t="s">
        <v>2172</v>
      </c>
    </row>
    <row r="1378" spans="1:6" x14ac:dyDescent="0.25">
      <c r="A1378" t="s">
        <v>1522</v>
      </c>
      <c r="B1378" t="s">
        <v>2173</v>
      </c>
      <c r="C1378" t="s">
        <v>2174</v>
      </c>
      <c r="D1378" t="str">
        <f>HYPERLINK("http://service.sap.com/sap/support/notes/1641637","1641637")</f>
        <v>1641637</v>
      </c>
      <c r="E1378">
        <v>1</v>
      </c>
      <c r="F1378" t="s">
        <v>2175</v>
      </c>
    </row>
    <row r="1379" spans="1:6" x14ac:dyDescent="0.25">
      <c r="A1379" t="s">
        <v>1522</v>
      </c>
      <c r="B1379" t="s">
        <v>2176</v>
      </c>
      <c r="C1379" t="s">
        <v>2177</v>
      </c>
      <c r="D1379" t="str">
        <f>HYPERLINK("http://service.sap.com/sap/support/notes/1425158","1425158")</f>
        <v>1425158</v>
      </c>
      <c r="E1379">
        <v>2</v>
      </c>
      <c r="F1379" t="s">
        <v>2178</v>
      </c>
    </row>
    <row r="1380" spans="1:6" x14ac:dyDescent="0.25">
      <c r="A1380" t="s">
        <v>1522</v>
      </c>
      <c r="B1380" t="s">
        <v>2176</v>
      </c>
      <c r="C1380" t="s">
        <v>2177</v>
      </c>
      <c r="D1380" t="str">
        <f>HYPERLINK("http://service.sap.com/sap/support/notes/1560459","1560459")</f>
        <v>1560459</v>
      </c>
      <c r="E1380">
        <v>2</v>
      </c>
      <c r="F1380" t="s">
        <v>2179</v>
      </c>
    </row>
    <row r="1381" spans="1:6" x14ac:dyDescent="0.25">
      <c r="A1381" t="s">
        <v>1522</v>
      </c>
      <c r="B1381" t="s">
        <v>2176</v>
      </c>
      <c r="C1381" t="s">
        <v>2177</v>
      </c>
      <c r="D1381" t="str">
        <f>HYPERLINK("http://service.sap.com/sap/support/notes/1586203","1586203")</f>
        <v>1586203</v>
      </c>
      <c r="E1381">
        <v>2</v>
      </c>
      <c r="F1381" t="s">
        <v>2180</v>
      </c>
    </row>
    <row r="1382" spans="1:6" x14ac:dyDescent="0.25">
      <c r="A1382" t="s">
        <v>1522</v>
      </c>
      <c r="B1382" t="s">
        <v>293</v>
      </c>
      <c r="C1382" t="s">
        <v>294</v>
      </c>
    </row>
    <row r="1383" spans="1:6" x14ac:dyDescent="0.25">
      <c r="A1383" t="s">
        <v>1522</v>
      </c>
      <c r="B1383" t="s">
        <v>295</v>
      </c>
      <c r="C1383" t="s">
        <v>296</v>
      </c>
      <c r="D1383" t="str">
        <f>HYPERLINK("http://service.sap.com/sap/support/notes/1659866","1659866")</f>
        <v>1659866</v>
      </c>
      <c r="E1383">
        <v>1</v>
      </c>
      <c r="F1383" t="s">
        <v>2181</v>
      </c>
    </row>
    <row r="1384" spans="1:6" x14ac:dyDescent="0.25">
      <c r="A1384" t="s">
        <v>1522</v>
      </c>
      <c r="B1384" t="s">
        <v>297</v>
      </c>
      <c r="C1384" t="s">
        <v>298</v>
      </c>
    </row>
    <row r="1385" spans="1:6" x14ac:dyDescent="0.25">
      <c r="A1385" t="s">
        <v>1522</v>
      </c>
      <c r="B1385" t="s">
        <v>299</v>
      </c>
      <c r="C1385" t="s">
        <v>300</v>
      </c>
      <c r="D1385" t="str">
        <f>HYPERLINK("http://service.sap.com/sap/support/notes/1615446","1615446")</f>
        <v>1615446</v>
      </c>
      <c r="E1385">
        <v>2</v>
      </c>
      <c r="F1385" t="s">
        <v>2182</v>
      </c>
    </row>
    <row r="1386" spans="1:6" x14ac:dyDescent="0.25">
      <c r="A1386" t="s">
        <v>1522</v>
      </c>
      <c r="B1386" t="s">
        <v>299</v>
      </c>
      <c r="C1386" t="s">
        <v>300</v>
      </c>
      <c r="D1386" t="str">
        <f>HYPERLINK("http://service.sap.com/sap/support/notes/1623327","1623327")</f>
        <v>1623327</v>
      </c>
      <c r="E1386">
        <v>2</v>
      </c>
      <c r="F1386" t="s">
        <v>2183</v>
      </c>
    </row>
    <row r="1387" spans="1:6" x14ac:dyDescent="0.25">
      <c r="A1387" t="s">
        <v>1522</v>
      </c>
      <c r="B1387" t="s">
        <v>2184</v>
      </c>
      <c r="C1387" t="s">
        <v>2185</v>
      </c>
      <c r="D1387" t="str">
        <f>HYPERLINK("http://service.sap.com/sap/support/notes/1649868","1649868")</f>
        <v>1649868</v>
      </c>
      <c r="E1387">
        <v>1</v>
      </c>
      <c r="F1387" t="s">
        <v>2186</v>
      </c>
    </row>
    <row r="1388" spans="1:6" x14ac:dyDescent="0.25">
      <c r="A1388" t="s">
        <v>1522</v>
      </c>
      <c r="B1388" t="s">
        <v>2184</v>
      </c>
      <c r="C1388" t="s">
        <v>2185</v>
      </c>
      <c r="D1388" t="str">
        <f>HYPERLINK("http://service.sap.com/sap/support/notes/1664614","1664614")</f>
        <v>1664614</v>
      </c>
      <c r="E1388">
        <v>1</v>
      </c>
      <c r="F1388" t="s">
        <v>2187</v>
      </c>
    </row>
    <row r="1389" spans="1:6" x14ac:dyDescent="0.25">
      <c r="A1389" t="s">
        <v>1522</v>
      </c>
      <c r="B1389" t="s">
        <v>2188</v>
      </c>
      <c r="C1389" t="s">
        <v>2189</v>
      </c>
      <c r="D1389" t="str">
        <f>HYPERLINK("http://service.sap.com/sap/support/notes/1641279","1641279")</f>
        <v>1641279</v>
      </c>
      <c r="E1389">
        <v>3</v>
      </c>
      <c r="F1389" t="s">
        <v>2190</v>
      </c>
    </row>
    <row r="1390" spans="1:6" x14ac:dyDescent="0.25">
      <c r="A1390" t="s">
        <v>1522</v>
      </c>
      <c r="B1390" t="s">
        <v>302</v>
      </c>
      <c r="C1390" t="s">
        <v>303</v>
      </c>
      <c r="D1390" t="str">
        <f>HYPERLINK("http://service.sap.com/sap/support/notes/1622086","1622086")</f>
        <v>1622086</v>
      </c>
      <c r="E1390">
        <v>1</v>
      </c>
      <c r="F1390" t="s">
        <v>2191</v>
      </c>
    </row>
    <row r="1391" spans="1:6" x14ac:dyDescent="0.25">
      <c r="A1391" t="s">
        <v>1522</v>
      </c>
      <c r="B1391" t="s">
        <v>302</v>
      </c>
      <c r="C1391" t="s">
        <v>303</v>
      </c>
      <c r="D1391" t="str">
        <f>HYPERLINK("http://service.sap.com/sap/support/notes/1624906","1624906")</f>
        <v>1624906</v>
      </c>
      <c r="E1391">
        <v>3</v>
      </c>
      <c r="F1391" t="s">
        <v>2192</v>
      </c>
    </row>
    <row r="1392" spans="1:6" x14ac:dyDescent="0.25">
      <c r="A1392" t="s">
        <v>1522</v>
      </c>
      <c r="B1392" t="s">
        <v>302</v>
      </c>
      <c r="C1392" t="s">
        <v>303</v>
      </c>
      <c r="D1392" t="str">
        <f>HYPERLINK("http://service.sap.com/sap/support/notes/1626022","1626022")</f>
        <v>1626022</v>
      </c>
      <c r="E1392">
        <v>1</v>
      </c>
      <c r="F1392" t="s">
        <v>2193</v>
      </c>
    </row>
    <row r="1393" spans="1:6" x14ac:dyDescent="0.25">
      <c r="A1393" t="s">
        <v>1522</v>
      </c>
      <c r="B1393" t="s">
        <v>302</v>
      </c>
      <c r="C1393" t="s">
        <v>303</v>
      </c>
      <c r="D1393" t="str">
        <f>HYPERLINK("http://service.sap.com/sap/support/notes/1631157","1631157")</f>
        <v>1631157</v>
      </c>
      <c r="E1393">
        <v>1</v>
      </c>
      <c r="F1393" t="s">
        <v>2194</v>
      </c>
    </row>
    <row r="1394" spans="1:6" x14ac:dyDescent="0.25">
      <c r="A1394" t="s">
        <v>1522</v>
      </c>
      <c r="B1394" t="s">
        <v>302</v>
      </c>
      <c r="C1394" t="s">
        <v>303</v>
      </c>
      <c r="D1394" t="str">
        <f>HYPERLINK("http://service.sap.com/sap/support/notes/1641040","1641040")</f>
        <v>1641040</v>
      </c>
      <c r="E1394">
        <v>2</v>
      </c>
      <c r="F1394" t="s">
        <v>2195</v>
      </c>
    </row>
    <row r="1395" spans="1:6" x14ac:dyDescent="0.25">
      <c r="A1395" t="s">
        <v>1522</v>
      </c>
      <c r="B1395" t="s">
        <v>302</v>
      </c>
      <c r="C1395" t="s">
        <v>303</v>
      </c>
      <c r="D1395" t="str">
        <f>HYPERLINK("http://service.sap.com/sap/support/notes/1651562","1651562")</f>
        <v>1651562</v>
      </c>
      <c r="E1395">
        <v>2</v>
      </c>
      <c r="F1395" t="s">
        <v>2196</v>
      </c>
    </row>
    <row r="1396" spans="1:6" x14ac:dyDescent="0.25">
      <c r="A1396" t="s">
        <v>1522</v>
      </c>
      <c r="B1396" t="s">
        <v>2197</v>
      </c>
      <c r="C1396" t="s">
        <v>2198</v>
      </c>
      <c r="D1396" t="str">
        <f>HYPERLINK("http://service.sap.com/sap/support/notes/1666265","1666265")</f>
        <v>1666265</v>
      </c>
      <c r="E1396">
        <v>1</v>
      </c>
      <c r="F1396" t="s">
        <v>2199</v>
      </c>
    </row>
    <row r="1397" spans="1:6" x14ac:dyDescent="0.25">
      <c r="A1397" t="s">
        <v>1522</v>
      </c>
      <c r="B1397" t="s">
        <v>2200</v>
      </c>
      <c r="C1397" t="s">
        <v>2201</v>
      </c>
      <c r="D1397" t="str">
        <f>HYPERLINK("http://service.sap.com/sap/support/notes/1645836","1645836")</f>
        <v>1645836</v>
      </c>
      <c r="E1397">
        <v>1</v>
      </c>
      <c r="F1397" t="s">
        <v>2202</v>
      </c>
    </row>
    <row r="1398" spans="1:6" x14ac:dyDescent="0.25">
      <c r="A1398" t="s">
        <v>1522</v>
      </c>
      <c r="B1398" t="s">
        <v>2200</v>
      </c>
      <c r="C1398" t="s">
        <v>2201</v>
      </c>
      <c r="D1398" t="str">
        <f>HYPERLINK("http://service.sap.com/sap/support/notes/1666748","1666748")</f>
        <v>1666748</v>
      </c>
      <c r="E1398">
        <v>1</v>
      </c>
      <c r="F1398" t="s">
        <v>2203</v>
      </c>
    </row>
    <row r="1399" spans="1:6" x14ac:dyDescent="0.25">
      <c r="A1399" t="s">
        <v>1522</v>
      </c>
      <c r="B1399" t="s">
        <v>2204</v>
      </c>
      <c r="C1399" t="s">
        <v>350</v>
      </c>
      <c r="D1399" t="str">
        <f>HYPERLINK("http://service.sap.com/sap/support/notes/1644349","1644349")</f>
        <v>1644349</v>
      </c>
      <c r="E1399">
        <v>1</v>
      </c>
      <c r="F1399" t="s">
        <v>2205</v>
      </c>
    </row>
    <row r="1400" spans="1:6" x14ac:dyDescent="0.25">
      <c r="A1400" t="s">
        <v>1522</v>
      </c>
      <c r="B1400" t="s">
        <v>306</v>
      </c>
      <c r="C1400" t="s">
        <v>307</v>
      </c>
    </row>
    <row r="1401" spans="1:6" x14ac:dyDescent="0.25">
      <c r="A1401" t="s">
        <v>1522</v>
      </c>
      <c r="B1401" t="s">
        <v>2206</v>
      </c>
      <c r="C1401" t="s">
        <v>2207</v>
      </c>
      <c r="D1401" t="str">
        <f>HYPERLINK("http://service.sap.com/sap/support/notes/1627547","1627547")</f>
        <v>1627547</v>
      </c>
      <c r="E1401">
        <v>1</v>
      </c>
      <c r="F1401" t="s">
        <v>2208</v>
      </c>
    </row>
    <row r="1402" spans="1:6" x14ac:dyDescent="0.25">
      <c r="A1402" t="s">
        <v>1522</v>
      </c>
      <c r="B1402" t="s">
        <v>2206</v>
      </c>
      <c r="C1402" t="s">
        <v>2207</v>
      </c>
      <c r="D1402" t="str">
        <f>HYPERLINK("http://service.sap.com/sap/support/notes/1653782","1653782")</f>
        <v>1653782</v>
      </c>
      <c r="E1402">
        <v>2</v>
      </c>
      <c r="F1402" t="s">
        <v>2209</v>
      </c>
    </row>
    <row r="1403" spans="1:6" x14ac:dyDescent="0.25">
      <c r="A1403" t="s">
        <v>1522</v>
      </c>
      <c r="B1403" t="s">
        <v>2206</v>
      </c>
      <c r="C1403" t="s">
        <v>2207</v>
      </c>
      <c r="D1403" t="str">
        <f>HYPERLINK("http://service.sap.com/sap/support/notes/1655549","1655549")</f>
        <v>1655549</v>
      </c>
      <c r="E1403">
        <v>2</v>
      </c>
      <c r="F1403" t="s">
        <v>2210</v>
      </c>
    </row>
    <row r="1404" spans="1:6" x14ac:dyDescent="0.25">
      <c r="A1404" t="s">
        <v>1522</v>
      </c>
      <c r="B1404" t="s">
        <v>308</v>
      </c>
      <c r="C1404" t="s">
        <v>309</v>
      </c>
      <c r="D1404" t="str">
        <f>HYPERLINK("http://service.sap.com/sap/support/notes/1632544","1632544")</f>
        <v>1632544</v>
      </c>
      <c r="E1404">
        <v>1</v>
      </c>
      <c r="F1404" t="s">
        <v>2211</v>
      </c>
    </row>
    <row r="1405" spans="1:6" x14ac:dyDescent="0.25">
      <c r="A1405" t="s">
        <v>1522</v>
      </c>
      <c r="B1405" t="s">
        <v>308</v>
      </c>
      <c r="C1405" t="s">
        <v>309</v>
      </c>
      <c r="D1405" t="str">
        <f>HYPERLINK("http://service.sap.com/sap/support/notes/1634114","1634114")</f>
        <v>1634114</v>
      </c>
      <c r="E1405">
        <v>3</v>
      </c>
      <c r="F1405" t="s">
        <v>2212</v>
      </c>
    </row>
    <row r="1406" spans="1:6" x14ac:dyDescent="0.25">
      <c r="A1406" t="s">
        <v>1522</v>
      </c>
      <c r="B1406" t="s">
        <v>308</v>
      </c>
      <c r="C1406" t="s">
        <v>309</v>
      </c>
      <c r="D1406" t="str">
        <f>HYPERLINK("http://service.sap.com/sap/support/notes/1639273","1639273")</f>
        <v>1639273</v>
      </c>
      <c r="E1406">
        <v>1</v>
      </c>
      <c r="F1406" t="s">
        <v>2213</v>
      </c>
    </row>
    <row r="1407" spans="1:6" x14ac:dyDescent="0.25">
      <c r="A1407" t="s">
        <v>1522</v>
      </c>
      <c r="B1407" t="s">
        <v>308</v>
      </c>
      <c r="C1407" t="s">
        <v>309</v>
      </c>
      <c r="D1407" t="str">
        <f>HYPERLINK("http://service.sap.com/sap/support/notes/1642628","1642628")</f>
        <v>1642628</v>
      </c>
      <c r="E1407">
        <v>2</v>
      </c>
      <c r="F1407" t="s">
        <v>2214</v>
      </c>
    </row>
    <row r="1408" spans="1:6" x14ac:dyDescent="0.25">
      <c r="A1408" t="s">
        <v>1522</v>
      </c>
      <c r="B1408" t="s">
        <v>308</v>
      </c>
      <c r="C1408" t="s">
        <v>309</v>
      </c>
      <c r="D1408" t="str">
        <f>HYPERLINK("http://service.sap.com/sap/support/notes/1646777","1646777")</f>
        <v>1646777</v>
      </c>
      <c r="E1408">
        <v>1</v>
      </c>
      <c r="F1408" t="s">
        <v>2215</v>
      </c>
    </row>
    <row r="1409" spans="1:6" x14ac:dyDescent="0.25">
      <c r="A1409" t="s">
        <v>1522</v>
      </c>
      <c r="B1409" t="s">
        <v>308</v>
      </c>
      <c r="C1409" t="s">
        <v>309</v>
      </c>
      <c r="D1409" t="str">
        <f>HYPERLINK("http://service.sap.com/sap/support/notes/1654802","1654802")</f>
        <v>1654802</v>
      </c>
      <c r="E1409">
        <v>6</v>
      </c>
      <c r="F1409" t="s">
        <v>2216</v>
      </c>
    </row>
    <row r="1410" spans="1:6" x14ac:dyDescent="0.25">
      <c r="A1410" t="s">
        <v>1522</v>
      </c>
      <c r="B1410" t="s">
        <v>308</v>
      </c>
      <c r="C1410" t="s">
        <v>309</v>
      </c>
      <c r="D1410" t="str">
        <f>HYPERLINK("http://service.sap.com/sap/support/notes/1655555","1655555")</f>
        <v>1655555</v>
      </c>
      <c r="E1410">
        <v>2</v>
      </c>
      <c r="F1410" t="s">
        <v>2217</v>
      </c>
    </row>
    <row r="1411" spans="1:6" x14ac:dyDescent="0.25">
      <c r="A1411" t="s">
        <v>1522</v>
      </c>
      <c r="B1411" t="s">
        <v>308</v>
      </c>
      <c r="C1411" t="s">
        <v>309</v>
      </c>
      <c r="D1411" t="str">
        <f>HYPERLINK("http://service.sap.com/sap/support/notes/1660388","1660388")</f>
        <v>1660388</v>
      </c>
      <c r="E1411">
        <v>1</v>
      </c>
      <c r="F1411" t="s">
        <v>2218</v>
      </c>
    </row>
    <row r="1412" spans="1:6" x14ac:dyDescent="0.25">
      <c r="A1412" t="s">
        <v>1522</v>
      </c>
      <c r="B1412" t="s">
        <v>308</v>
      </c>
      <c r="C1412" t="s">
        <v>309</v>
      </c>
      <c r="D1412" t="str">
        <f>HYPERLINK("http://service.sap.com/sap/support/notes/1662579","1662579")</f>
        <v>1662579</v>
      </c>
      <c r="E1412">
        <v>1</v>
      </c>
      <c r="F1412" t="s">
        <v>2219</v>
      </c>
    </row>
    <row r="1413" spans="1:6" x14ac:dyDescent="0.25">
      <c r="A1413" t="s">
        <v>1522</v>
      </c>
      <c r="B1413" t="s">
        <v>2220</v>
      </c>
      <c r="C1413" t="s">
        <v>2221</v>
      </c>
    </row>
    <row r="1414" spans="1:6" x14ac:dyDescent="0.25">
      <c r="A1414" t="s">
        <v>1522</v>
      </c>
      <c r="B1414" t="s">
        <v>2222</v>
      </c>
      <c r="C1414" t="s">
        <v>2223</v>
      </c>
      <c r="D1414" t="str">
        <f>HYPERLINK("http://service.sap.com/sap/support/notes/1174360","1174360")</f>
        <v>1174360</v>
      </c>
      <c r="E1414">
        <v>7</v>
      </c>
      <c r="F1414" t="s">
        <v>2224</v>
      </c>
    </row>
    <row r="1415" spans="1:6" x14ac:dyDescent="0.25">
      <c r="A1415" t="s">
        <v>1522</v>
      </c>
      <c r="B1415" t="s">
        <v>2222</v>
      </c>
      <c r="C1415" t="s">
        <v>2223</v>
      </c>
      <c r="D1415" t="str">
        <f>HYPERLINK("http://service.sap.com/sap/support/notes/1640526","1640526")</f>
        <v>1640526</v>
      </c>
      <c r="E1415">
        <v>1</v>
      </c>
      <c r="F1415" t="s">
        <v>2225</v>
      </c>
    </row>
    <row r="1416" spans="1:6" x14ac:dyDescent="0.25">
      <c r="A1416" t="s">
        <v>1522</v>
      </c>
      <c r="B1416" t="s">
        <v>2222</v>
      </c>
      <c r="C1416" t="s">
        <v>2223</v>
      </c>
      <c r="D1416" t="str">
        <f>HYPERLINK("http://service.sap.com/sap/support/notes/1641241","1641241")</f>
        <v>1641241</v>
      </c>
      <c r="E1416">
        <v>1</v>
      </c>
      <c r="F1416" t="s">
        <v>2226</v>
      </c>
    </row>
    <row r="1417" spans="1:6" x14ac:dyDescent="0.25">
      <c r="A1417" t="s">
        <v>1522</v>
      </c>
      <c r="B1417" t="s">
        <v>2222</v>
      </c>
      <c r="C1417" t="s">
        <v>2223</v>
      </c>
      <c r="D1417" t="str">
        <f>HYPERLINK("http://service.sap.com/sap/support/notes/1641334","1641334")</f>
        <v>1641334</v>
      </c>
      <c r="E1417">
        <v>1</v>
      </c>
      <c r="F1417" t="s">
        <v>2227</v>
      </c>
    </row>
    <row r="1418" spans="1:6" x14ac:dyDescent="0.25">
      <c r="A1418" t="s">
        <v>1522</v>
      </c>
      <c r="B1418" t="s">
        <v>2222</v>
      </c>
      <c r="C1418" t="s">
        <v>2223</v>
      </c>
      <c r="D1418" t="str">
        <f>HYPERLINK("http://service.sap.com/sap/support/notes/1642864","1642864")</f>
        <v>1642864</v>
      </c>
      <c r="E1418">
        <v>1</v>
      </c>
      <c r="F1418" t="s">
        <v>2228</v>
      </c>
    </row>
    <row r="1419" spans="1:6" x14ac:dyDescent="0.25">
      <c r="A1419" t="s">
        <v>1522</v>
      </c>
      <c r="B1419" t="s">
        <v>2229</v>
      </c>
      <c r="C1419" t="s">
        <v>2230</v>
      </c>
      <c r="D1419" t="str">
        <f>HYPERLINK("http://service.sap.com/sap/support/notes/1638944","1638944")</f>
        <v>1638944</v>
      </c>
      <c r="E1419">
        <v>3</v>
      </c>
      <c r="F1419" t="s">
        <v>2231</v>
      </c>
    </row>
    <row r="1420" spans="1:6" x14ac:dyDescent="0.25">
      <c r="A1420" t="s">
        <v>1522</v>
      </c>
      <c r="B1420" t="s">
        <v>2232</v>
      </c>
      <c r="C1420" t="s">
        <v>350</v>
      </c>
      <c r="D1420" t="str">
        <f>HYPERLINK("http://service.sap.com/sap/support/notes/1616138","1616138")</f>
        <v>1616138</v>
      </c>
      <c r="E1420">
        <v>1</v>
      </c>
      <c r="F1420" t="s">
        <v>2233</v>
      </c>
    </row>
    <row r="1421" spans="1:6" x14ac:dyDescent="0.25">
      <c r="A1421" t="s">
        <v>1522</v>
      </c>
      <c r="B1421" t="s">
        <v>2232</v>
      </c>
      <c r="C1421" t="s">
        <v>350</v>
      </c>
      <c r="D1421" t="str">
        <f>HYPERLINK("http://service.sap.com/sap/support/notes/1637800","1637800")</f>
        <v>1637800</v>
      </c>
      <c r="E1421">
        <v>2</v>
      </c>
      <c r="F1421" t="s">
        <v>2234</v>
      </c>
    </row>
    <row r="1422" spans="1:6" x14ac:dyDescent="0.25">
      <c r="A1422" t="s">
        <v>1522</v>
      </c>
      <c r="B1422" t="s">
        <v>2235</v>
      </c>
      <c r="C1422" t="s">
        <v>14</v>
      </c>
      <c r="D1422" t="str">
        <f>HYPERLINK("http://service.sap.com/sap/support/notes/1656702","1656702")</f>
        <v>1656702</v>
      </c>
      <c r="E1422">
        <v>1</v>
      </c>
      <c r="F1422" t="s">
        <v>2236</v>
      </c>
    </row>
    <row r="1423" spans="1:6" x14ac:dyDescent="0.25">
      <c r="A1423" t="s">
        <v>1522</v>
      </c>
      <c r="B1423" t="s">
        <v>2237</v>
      </c>
      <c r="C1423" t="s">
        <v>2238</v>
      </c>
      <c r="D1423" t="str">
        <f>HYPERLINK("http://service.sap.com/sap/support/notes/1573559","1573559")</f>
        <v>1573559</v>
      </c>
      <c r="E1423">
        <v>3</v>
      </c>
      <c r="F1423" t="s">
        <v>2239</v>
      </c>
    </row>
    <row r="1424" spans="1:6" x14ac:dyDescent="0.25">
      <c r="A1424" t="s">
        <v>1522</v>
      </c>
      <c r="B1424" t="s">
        <v>2240</v>
      </c>
      <c r="C1424" t="s">
        <v>2241</v>
      </c>
    </row>
    <row r="1425" spans="1:6" x14ac:dyDescent="0.25">
      <c r="A1425" t="s">
        <v>1522</v>
      </c>
      <c r="B1425" t="s">
        <v>2242</v>
      </c>
      <c r="C1425" t="s">
        <v>2243</v>
      </c>
    </row>
    <row r="1426" spans="1:6" x14ac:dyDescent="0.25">
      <c r="A1426" t="s">
        <v>1522</v>
      </c>
      <c r="B1426" t="s">
        <v>2244</v>
      </c>
      <c r="C1426" t="s">
        <v>632</v>
      </c>
      <c r="D1426" t="str">
        <f>HYPERLINK("http://service.sap.com/sap/support/notes/1624117","1624117")</f>
        <v>1624117</v>
      </c>
      <c r="E1426">
        <v>1</v>
      </c>
      <c r="F1426" t="s">
        <v>2245</v>
      </c>
    </row>
    <row r="1427" spans="1:6" x14ac:dyDescent="0.25">
      <c r="A1427" t="s">
        <v>1522</v>
      </c>
      <c r="B1427" t="s">
        <v>311</v>
      </c>
      <c r="C1427" t="s">
        <v>312</v>
      </c>
    </row>
    <row r="1428" spans="1:6" x14ac:dyDescent="0.25">
      <c r="A1428" t="s">
        <v>1522</v>
      </c>
      <c r="B1428" t="s">
        <v>313</v>
      </c>
      <c r="C1428" t="s">
        <v>314</v>
      </c>
    </row>
    <row r="1429" spans="1:6" x14ac:dyDescent="0.25">
      <c r="A1429" t="s">
        <v>1522</v>
      </c>
      <c r="B1429" t="s">
        <v>2246</v>
      </c>
      <c r="C1429" t="s">
        <v>2247</v>
      </c>
    </row>
    <row r="1430" spans="1:6" x14ac:dyDescent="0.25">
      <c r="A1430" t="s">
        <v>1522</v>
      </c>
      <c r="B1430" t="s">
        <v>2248</v>
      </c>
      <c r="C1430" t="s">
        <v>2249</v>
      </c>
      <c r="D1430" t="str">
        <f>HYPERLINK("http://service.sap.com/sap/support/notes/1569121","1569121")</f>
        <v>1569121</v>
      </c>
      <c r="E1430">
        <v>1</v>
      </c>
      <c r="F1430" t="s">
        <v>2250</v>
      </c>
    </row>
    <row r="1431" spans="1:6" x14ac:dyDescent="0.25">
      <c r="A1431" t="s">
        <v>1522</v>
      </c>
      <c r="B1431" t="s">
        <v>2251</v>
      </c>
      <c r="C1431" t="s">
        <v>2252</v>
      </c>
      <c r="D1431" t="str">
        <f>HYPERLINK("http://service.sap.com/sap/support/notes/1559469","1559469")</f>
        <v>1559469</v>
      </c>
      <c r="E1431">
        <v>2</v>
      </c>
      <c r="F1431" t="s">
        <v>2253</v>
      </c>
    </row>
    <row r="1432" spans="1:6" x14ac:dyDescent="0.25">
      <c r="A1432" t="s">
        <v>1522</v>
      </c>
      <c r="B1432" t="s">
        <v>315</v>
      </c>
      <c r="C1432" t="s">
        <v>316</v>
      </c>
    </row>
    <row r="1433" spans="1:6" x14ac:dyDescent="0.25">
      <c r="A1433" t="s">
        <v>1522</v>
      </c>
      <c r="B1433" t="s">
        <v>317</v>
      </c>
      <c r="C1433" t="s">
        <v>318</v>
      </c>
      <c r="D1433" t="str">
        <f>HYPERLINK("http://service.sap.com/sap/support/notes/1635038","1635038")</f>
        <v>1635038</v>
      </c>
      <c r="E1433">
        <v>1</v>
      </c>
      <c r="F1433" t="s">
        <v>2254</v>
      </c>
    </row>
    <row r="1434" spans="1:6" x14ac:dyDescent="0.25">
      <c r="A1434" t="s">
        <v>1522</v>
      </c>
      <c r="B1434" t="s">
        <v>317</v>
      </c>
      <c r="C1434" t="s">
        <v>318</v>
      </c>
      <c r="D1434" t="str">
        <f>HYPERLINK("http://service.sap.com/sap/support/notes/1644761","1644761")</f>
        <v>1644761</v>
      </c>
      <c r="E1434">
        <v>2</v>
      </c>
      <c r="F1434" t="s">
        <v>2255</v>
      </c>
    </row>
    <row r="1435" spans="1:6" x14ac:dyDescent="0.25">
      <c r="A1435" t="s">
        <v>1522</v>
      </c>
      <c r="B1435" t="s">
        <v>317</v>
      </c>
      <c r="C1435" t="s">
        <v>318</v>
      </c>
      <c r="D1435" t="str">
        <f>HYPERLINK("http://service.sap.com/sap/support/notes/1670400","1670400")</f>
        <v>1670400</v>
      </c>
      <c r="E1435">
        <v>3</v>
      </c>
      <c r="F1435" t="s">
        <v>2256</v>
      </c>
    </row>
    <row r="1436" spans="1:6" x14ac:dyDescent="0.25">
      <c r="A1436" t="s">
        <v>1522</v>
      </c>
      <c r="B1436" t="s">
        <v>324</v>
      </c>
      <c r="C1436" t="s">
        <v>325</v>
      </c>
    </row>
    <row r="1437" spans="1:6" x14ac:dyDescent="0.25">
      <c r="A1437" t="s">
        <v>1522</v>
      </c>
      <c r="B1437" t="s">
        <v>326</v>
      </c>
      <c r="C1437" t="s">
        <v>327</v>
      </c>
      <c r="D1437" t="str">
        <f>HYPERLINK("http://service.sap.com/sap/support/notes/1625137","1625137")</f>
        <v>1625137</v>
      </c>
      <c r="E1437">
        <v>3</v>
      </c>
      <c r="F1437" t="s">
        <v>2257</v>
      </c>
    </row>
    <row r="1438" spans="1:6" x14ac:dyDescent="0.25">
      <c r="A1438" t="s">
        <v>1522</v>
      </c>
      <c r="B1438" t="s">
        <v>326</v>
      </c>
      <c r="C1438" t="s">
        <v>327</v>
      </c>
      <c r="D1438" t="str">
        <f>HYPERLINK("http://service.sap.com/sap/support/notes/1628600","1628600")</f>
        <v>1628600</v>
      </c>
      <c r="E1438">
        <v>1</v>
      </c>
      <c r="F1438" t="s">
        <v>2258</v>
      </c>
    </row>
    <row r="1439" spans="1:6" x14ac:dyDescent="0.25">
      <c r="A1439" t="s">
        <v>1522</v>
      </c>
      <c r="B1439" t="s">
        <v>326</v>
      </c>
      <c r="C1439" t="s">
        <v>327</v>
      </c>
      <c r="D1439" t="str">
        <f>HYPERLINK("http://service.sap.com/sap/support/notes/1630075","1630075")</f>
        <v>1630075</v>
      </c>
      <c r="E1439">
        <v>2</v>
      </c>
      <c r="F1439" t="s">
        <v>2259</v>
      </c>
    </row>
    <row r="1440" spans="1:6" x14ac:dyDescent="0.25">
      <c r="A1440" t="s">
        <v>1522</v>
      </c>
      <c r="B1440" t="s">
        <v>326</v>
      </c>
      <c r="C1440" t="s">
        <v>327</v>
      </c>
      <c r="D1440" t="str">
        <f>HYPERLINK("http://service.sap.com/sap/support/notes/1633061","1633061")</f>
        <v>1633061</v>
      </c>
      <c r="E1440">
        <v>1</v>
      </c>
      <c r="F1440" t="s">
        <v>2260</v>
      </c>
    </row>
    <row r="1441" spans="1:6" x14ac:dyDescent="0.25">
      <c r="A1441" t="s">
        <v>1522</v>
      </c>
      <c r="B1441" t="s">
        <v>326</v>
      </c>
      <c r="C1441" t="s">
        <v>327</v>
      </c>
      <c r="D1441" t="str">
        <f>HYPERLINK("http://service.sap.com/sap/support/notes/1635615","1635615")</f>
        <v>1635615</v>
      </c>
      <c r="E1441">
        <v>1</v>
      </c>
      <c r="F1441" t="s">
        <v>2261</v>
      </c>
    </row>
    <row r="1442" spans="1:6" x14ac:dyDescent="0.25">
      <c r="A1442" t="s">
        <v>1522</v>
      </c>
      <c r="B1442" t="s">
        <v>326</v>
      </c>
      <c r="C1442" t="s">
        <v>327</v>
      </c>
      <c r="D1442" t="str">
        <f>HYPERLINK("http://service.sap.com/sap/support/notes/1636604","1636604")</f>
        <v>1636604</v>
      </c>
      <c r="E1442">
        <v>3</v>
      </c>
      <c r="F1442" t="s">
        <v>2262</v>
      </c>
    </row>
    <row r="1443" spans="1:6" x14ac:dyDescent="0.25">
      <c r="A1443" t="s">
        <v>1522</v>
      </c>
      <c r="B1443" t="s">
        <v>326</v>
      </c>
      <c r="C1443" t="s">
        <v>327</v>
      </c>
      <c r="D1443" t="str">
        <f>HYPERLINK("http://service.sap.com/sap/support/notes/1637549","1637549")</f>
        <v>1637549</v>
      </c>
      <c r="E1443">
        <v>2</v>
      </c>
      <c r="F1443" t="s">
        <v>2263</v>
      </c>
    </row>
    <row r="1444" spans="1:6" x14ac:dyDescent="0.25">
      <c r="A1444" t="s">
        <v>1522</v>
      </c>
      <c r="B1444" t="s">
        <v>326</v>
      </c>
      <c r="C1444" t="s">
        <v>327</v>
      </c>
      <c r="D1444" t="str">
        <f>HYPERLINK("http://service.sap.com/sap/support/notes/1638394","1638394")</f>
        <v>1638394</v>
      </c>
      <c r="E1444">
        <v>1</v>
      </c>
      <c r="F1444" t="s">
        <v>2264</v>
      </c>
    </row>
    <row r="1445" spans="1:6" x14ac:dyDescent="0.25">
      <c r="A1445" t="s">
        <v>1522</v>
      </c>
      <c r="B1445" t="s">
        <v>326</v>
      </c>
      <c r="C1445" t="s">
        <v>327</v>
      </c>
      <c r="D1445" t="str">
        <f>HYPERLINK("http://service.sap.com/sap/support/notes/1638786","1638786")</f>
        <v>1638786</v>
      </c>
      <c r="E1445">
        <v>11</v>
      </c>
      <c r="F1445" t="s">
        <v>2265</v>
      </c>
    </row>
    <row r="1446" spans="1:6" x14ac:dyDescent="0.25">
      <c r="A1446" t="s">
        <v>1522</v>
      </c>
      <c r="B1446" t="s">
        <v>326</v>
      </c>
      <c r="C1446" t="s">
        <v>327</v>
      </c>
      <c r="D1446" t="str">
        <f>HYPERLINK("http://service.sap.com/sap/support/notes/1648709","1648709")</f>
        <v>1648709</v>
      </c>
      <c r="E1446">
        <v>1</v>
      </c>
      <c r="F1446" t="s">
        <v>2266</v>
      </c>
    </row>
    <row r="1447" spans="1:6" x14ac:dyDescent="0.25">
      <c r="A1447" t="s">
        <v>1522</v>
      </c>
      <c r="B1447" t="s">
        <v>326</v>
      </c>
      <c r="C1447" t="s">
        <v>327</v>
      </c>
      <c r="D1447" t="str">
        <f>HYPERLINK("http://service.sap.com/sap/support/notes/1652007","1652007")</f>
        <v>1652007</v>
      </c>
      <c r="E1447">
        <v>3</v>
      </c>
      <c r="F1447" t="s">
        <v>2267</v>
      </c>
    </row>
    <row r="1448" spans="1:6" x14ac:dyDescent="0.25">
      <c r="A1448" t="s">
        <v>1522</v>
      </c>
      <c r="B1448" t="s">
        <v>326</v>
      </c>
      <c r="C1448" t="s">
        <v>327</v>
      </c>
      <c r="D1448" t="str">
        <f>HYPERLINK("http://service.sap.com/sap/support/notes/1660991","1660991")</f>
        <v>1660991</v>
      </c>
      <c r="E1448">
        <v>1</v>
      </c>
      <c r="F1448" t="s">
        <v>2268</v>
      </c>
    </row>
    <row r="1449" spans="1:6" x14ac:dyDescent="0.25">
      <c r="A1449" t="s">
        <v>1522</v>
      </c>
      <c r="B1449" t="s">
        <v>326</v>
      </c>
      <c r="C1449" t="s">
        <v>327</v>
      </c>
      <c r="D1449" t="str">
        <f>HYPERLINK("http://service.sap.com/sap/support/notes/1665212","1665212")</f>
        <v>1665212</v>
      </c>
      <c r="E1449">
        <v>1</v>
      </c>
      <c r="F1449" t="s">
        <v>2269</v>
      </c>
    </row>
    <row r="1450" spans="1:6" x14ac:dyDescent="0.25">
      <c r="A1450" t="s">
        <v>1522</v>
      </c>
      <c r="B1450" t="s">
        <v>326</v>
      </c>
      <c r="C1450" t="s">
        <v>327</v>
      </c>
      <c r="D1450" t="str">
        <f>HYPERLINK("http://service.sap.com/sap/support/notes/1666927","1666927")</f>
        <v>1666927</v>
      </c>
      <c r="E1450">
        <v>6</v>
      </c>
      <c r="F1450" t="s">
        <v>2270</v>
      </c>
    </row>
    <row r="1451" spans="1:6" x14ac:dyDescent="0.25">
      <c r="A1451" t="s">
        <v>1522</v>
      </c>
      <c r="B1451" t="s">
        <v>326</v>
      </c>
      <c r="C1451" t="s">
        <v>327</v>
      </c>
      <c r="D1451" t="str">
        <f>HYPERLINK("http://service.sap.com/sap/support/notes/1669782","1669782")</f>
        <v>1669782</v>
      </c>
      <c r="E1451">
        <v>1</v>
      </c>
      <c r="F1451" t="s">
        <v>2271</v>
      </c>
    </row>
    <row r="1452" spans="1:6" x14ac:dyDescent="0.25">
      <c r="A1452" t="s">
        <v>1522</v>
      </c>
      <c r="B1452" t="s">
        <v>326</v>
      </c>
      <c r="C1452" t="s">
        <v>327</v>
      </c>
      <c r="D1452" t="str">
        <f>HYPERLINK("http://service.sap.com/sap/support/notes/1670022","1670022")</f>
        <v>1670022</v>
      </c>
      <c r="E1452">
        <v>1</v>
      </c>
      <c r="F1452" t="s">
        <v>2272</v>
      </c>
    </row>
    <row r="1453" spans="1:6" x14ac:dyDescent="0.25">
      <c r="A1453" t="s">
        <v>1522</v>
      </c>
      <c r="B1453" t="s">
        <v>326</v>
      </c>
      <c r="C1453" t="s">
        <v>327</v>
      </c>
      <c r="D1453" t="str">
        <f>HYPERLINK("http://service.sap.com/sap/support/notes/1670982","1670982")</f>
        <v>1670982</v>
      </c>
      <c r="E1453">
        <v>1</v>
      </c>
      <c r="F1453" t="s">
        <v>2273</v>
      </c>
    </row>
    <row r="1454" spans="1:6" x14ac:dyDescent="0.25">
      <c r="A1454" t="s">
        <v>1522</v>
      </c>
      <c r="B1454" t="s">
        <v>326</v>
      </c>
      <c r="C1454" t="s">
        <v>327</v>
      </c>
      <c r="D1454" t="str">
        <f>HYPERLINK("http://service.sap.com/sap/support/notes/1672270","1672270")</f>
        <v>1672270</v>
      </c>
      <c r="E1454">
        <v>1</v>
      </c>
      <c r="F1454" t="s">
        <v>2274</v>
      </c>
    </row>
    <row r="1455" spans="1:6" x14ac:dyDescent="0.25">
      <c r="A1455" t="s">
        <v>1522</v>
      </c>
      <c r="B1455" t="s">
        <v>326</v>
      </c>
      <c r="C1455" t="s">
        <v>327</v>
      </c>
      <c r="D1455" t="str">
        <f>HYPERLINK("http://service.sap.com/sap/support/notes/1672676","1672676")</f>
        <v>1672676</v>
      </c>
      <c r="E1455">
        <v>1</v>
      </c>
      <c r="F1455" t="s">
        <v>2275</v>
      </c>
    </row>
    <row r="1456" spans="1:6" x14ac:dyDescent="0.25">
      <c r="A1456" t="s">
        <v>1522</v>
      </c>
      <c r="B1456" t="s">
        <v>326</v>
      </c>
      <c r="C1456" t="s">
        <v>327</v>
      </c>
      <c r="D1456" t="str">
        <f>HYPERLINK("http://service.sap.com/sap/support/notes/1672677","1672677")</f>
        <v>1672677</v>
      </c>
      <c r="E1456">
        <v>1</v>
      </c>
      <c r="F1456" t="s">
        <v>2276</v>
      </c>
    </row>
    <row r="1457" spans="1:6" x14ac:dyDescent="0.25">
      <c r="A1457" t="s">
        <v>1522</v>
      </c>
      <c r="B1457" t="s">
        <v>326</v>
      </c>
      <c r="C1457" t="s">
        <v>327</v>
      </c>
      <c r="D1457" t="str">
        <f>HYPERLINK("http://service.sap.com/sap/support/notes/1674144","1674144")</f>
        <v>1674144</v>
      </c>
      <c r="E1457">
        <v>1</v>
      </c>
      <c r="F1457" t="s">
        <v>2277</v>
      </c>
    </row>
    <row r="1458" spans="1:6" x14ac:dyDescent="0.25">
      <c r="A1458" t="s">
        <v>1522</v>
      </c>
      <c r="B1458" t="s">
        <v>2278</v>
      </c>
      <c r="C1458" t="s">
        <v>2279</v>
      </c>
    </row>
    <row r="1459" spans="1:6" x14ac:dyDescent="0.25">
      <c r="A1459" t="s">
        <v>1522</v>
      </c>
      <c r="B1459" t="s">
        <v>2280</v>
      </c>
      <c r="C1459" t="s">
        <v>2281</v>
      </c>
      <c r="D1459" t="str">
        <f>HYPERLINK("http://service.sap.com/sap/support/notes/1624247","1624247")</f>
        <v>1624247</v>
      </c>
      <c r="E1459">
        <v>1</v>
      </c>
      <c r="F1459" t="s">
        <v>2282</v>
      </c>
    </row>
    <row r="1460" spans="1:6" x14ac:dyDescent="0.25">
      <c r="A1460" t="s">
        <v>1522</v>
      </c>
      <c r="B1460" t="s">
        <v>2280</v>
      </c>
      <c r="C1460" t="s">
        <v>2281</v>
      </c>
      <c r="D1460" t="str">
        <f>HYPERLINK("http://service.sap.com/sap/support/notes/1669556","1669556")</f>
        <v>1669556</v>
      </c>
      <c r="E1460">
        <v>1</v>
      </c>
      <c r="F1460" t="s">
        <v>2283</v>
      </c>
    </row>
    <row r="1461" spans="1:6" x14ac:dyDescent="0.25">
      <c r="A1461" t="s">
        <v>1522</v>
      </c>
      <c r="B1461" t="s">
        <v>334</v>
      </c>
      <c r="C1461" t="s">
        <v>132</v>
      </c>
    </row>
    <row r="1462" spans="1:6" x14ac:dyDescent="0.25">
      <c r="A1462" t="s">
        <v>1522</v>
      </c>
      <c r="B1462" t="s">
        <v>335</v>
      </c>
      <c r="C1462" t="s">
        <v>134</v>
      </c>
      <c r="D1462" t="str">
        <f>HYPERLINK("http://service.sap.com/sap/support/notes/1628044","1628044")</f>
        <v>1628044</v>
      </c>
      <c r="E1462">
        <v>1</v>
      </c>
      <c r="F1462" t="s">
        <v>2284</v>
      </c>
    </row>
    <row r="1463" spans="1:6" x14ac:dyDescent="0.25">
      <c r="A1463" t="s">
        <v>1522</v>
      </c>
      <c r="B1463" t="s">
        <v>335</v>
      </c>
      <c r="C1463" t="s">
        <v>134</v>
      </c>
      <c r="D1463" t="str">
        <f>HYPERLINK("http://service.sap.com/sap/support/notes/1628171","1628171")</f>
        <v>1628171</v>
      </c>
      <c r="E1463">
        <v>1</v>
      </c>
      <c r="F1463" t="s">
        <v>2285</v>
      </c>
    </row>
    <row r="1464" spans="1:6" x14ac:dyDescent="0.25">
      <c r="A1464" t="s">
        <v>1522</v>
      </c>
      <c r="B1464" t="s">
        <v>335</v>
      </c>
      <c r="C1464" t="s">
        <v>134</v>
      </c>
      <c r="D1464" t="str">
        <f>HYPERLINK("http://service.sap.com/sap/support/notes/1644854","1644854")</f>
        <v>1644854</v>
      </c>
      <c r="E1464">
        <v>4</v>
      </c>
      <c r="F1464" t="s">
        <v>2286</v>
      </c>
    </row>
    <row r="1465" spans="1:6" x14ac:dyDescent="0.25">
      <c r="A1465" t="s">
        <v>1522</v>
      </c>
      <c r="B1465" t="s">
        <v>335</v>
      </c>
      <c r="C1465" t="s">
        <v>134</v>
      </c>
      <c r="D1465" t="str">
        <f>HYPERLINK("http://service.sap.com/sap/support/notes/1646741","1646741")</f>
        <v>1646741</v>
      </c>
      <c r="E1465">
        <v>2</v>
      </c>
      <c r="F1465" t="s">
        <v>2287</v>
      </c>
    </row>
    <row r="1466" spans="1:6" x14ac:dyDescent="0.25">
      <c r="A1466" t="s">
        <v>1522</v>
      </c>
      <c r="B1466" t="s">
        <v>335</v>
      </c>
      <c r="C1466" t="s">
        <v>134</v>
      </c>
      <c r="D1466" t="str">
        <f>HYPERLINK("http://service.sap.com/sap/support/notes/1658466","1658466")</f>
        <v>1658466</v>
      </c>
      <c r="E1466">
        <v>1</v>
      </c>
      <c r="F1466" t="s">
        <v>2288</v>
      </c>
    </row>
    <row r="1467" spans="1:6" x14ac:dyDescent="0.25">
      <c r="A1467" t="s">
        <v>1522</v>
      </c>
      <c r="B1467" t="s">
        <v>335</v>
      </c>
      <c r="C1467" t="s">
        <v>134</v>
      </c>
      <c r="D1467" t="str">
        <f>HYPERLINK("http://service.sap.com/sap/support/notes/1661921","1661921")</f>
        <v>1661921</v>
      </c>
      <c r="E1467">
        <v>2</v>
      </c>
      <c r="F1467" t="s">
        <v>2289</v>
      </c>
    </row>
    <row r="1468" spans="1:6" x14ac:dyDescent="0.25">
      <c r="A1468" t="s">
        <v>1522</v>
      </c>
      <c r="B1468" t="s">
        <v>336</v>
      </c>
      <c r="C1468" t="s">
        <v>337</v>
      </c>
    </row>
    <row r="1469" spans="1:6" x14ac:dyDescent="0.25">
      <c r="A1469" t="s">
        <v>1522</v>
      </c>
      <c r="B1469" t="s">
        <v>338</v>
      </c>
      <c r="C1469" t="s">
        <v>14</v>
      </c>
      <c r="D1469" t="str">
        <f>HYPERLINK("http://service.sap.com/sap/support/notes/1604950","1604950")</f>
        <v>1604950</v>
      </c>
      <c r="E1469">
        <v>2</v>
      </c>
      <c r="F1469" t="s">
        <v>2290</v>
      </c>
    </row>
    <row r="1470" spans="1:6" x14ac:dyDescent="0.25">
      <c r="A1470" t="s">
        <v>1522</v>
      </c>
      <c r="B1470" t="s">
        <v>338</v>
      </c>
      <c r="C1470" t="s">
        <v>14</v>
      </c>
      <c r="D1470" t="str">
        <f>HYPERLINK("http://service.sap.com/sap/support/notes/1605019","1605019")</f>
        <v>1605019</v>
      </c>
      <c r="E1470">
        <v>1</v>
      </c>
      <c r="F1470" t="s">
        <v>2291</v>
      </c>
    </row>
    <row r="1471" spans="1:6" x14ac:dyDescent="0.25">
      <c r="A1471" t="s">
        <v>1522</v>
      </c>
      <c r="B1471" t="s">
        <v>338</v>
      </c>
      <c r="C1471" t="s">
        <v>14</v>
      </c>
      <c r="D1471" t="str">
        <f>HYPERLINK("http://service.sap.com/sap/support/notes/1619550","1619550")</f>
        <v>1619550</v>
      </c>
      <c r="E1471">
        <v>1</v>
      </c>
      <c r="F1471" t="s">
        <v>2292</v>
      </c>
    </row>
    <row r="1472" spans="1:6" x14ac:dyDescent="0.25">
      <c r="A1472" t="s">
        <v>1522</v>
      </c>
      <c r="B1472" t="s">
        <v>338</v>
      </c>
      <c r="C1472" t="s">
        <v>14</v>
      </c>
      <c r="D1472" t="str">
        <f>HYPERLINK("http://service.sap.com/sap/support/notes/1620690","1620690")</f>
        <v>1620690</v>
      </c>
      <c r="E1472">
        <v>1</v>
      </c>
      <c r="F1472" t="s">
        <v>2293</v>
      </c>
    </row>
    <row r="1473" spans="1:6" x14ac:dyDescent="0.25">
      <c r="A1473" t="s">
        <v>1522</v>
      </c>
      <c r="B1473" t="s">
        <v>338</v>
      </c>
      <c r="C1473" t="s">
        <v>14</v>
      </c>
      <c r="D1473" t="str">
        <f>HYPERLINK("http://service.sap.com/sap/support/notes/1631038","1631038")</f>
        <v>1631038</v>
      </c>
      <c r="E1473">
        <v>1</v>
      </c>
      <c r="F1473" t="s">
        <v>2294</v>
      </c>
    </row>
    <row r="1474" spans="1:6" x14ac:dyDescent="0.25">
      <c r="A1474" t="s">
        <v>1522</v>
      </c>
      <c r="B1474" t="s">
        <v>338</v>
      </c>
      <c r="C1474" t="s">
        <v>14</v>
      </c>
      <c r="D1474" t="str">
        <f>HYPERLINK("http://service.sap.com/sap/support/notes/1631197","1631197")</f>
        <v>1631197</v>
      </c>
      <c r="E1474">
        <v>1</v>
      </c>
      <c r="F1474" t="s">
        <v>2295</v>
      </c>
    </row>
    <row r="1475" spans="1:6" x14ac:dyDescent="0.25">
      <c r="A1475" t="s">
        <v>1522</v>
      </c>
      <c r="B1475" t="s">
        <v>338</v>
      </c>
      <c r="C1475" t="s">
        <v>14</v>
      </c>
      <c r="D1475" t="str">
        <f>HYPERLINK("http://service.sap.com/sap/support/notes/1644691","1644691")</f>
        <v>1644691</v>
      </c>
      <c r="E1475">
        <v>2</v>
      </c>
      <c r="F1475" t="s">
        <v>2296</v>
      </c>
    </row>
    <row r="1476" spans="1:6" x14ac:dyDescent="0.25">
      <c r="A1476" t="s">
        <v>1522</v>
      </c>
      <c r="B1476" t="s">
        <v>338</v>
      </c>
      <c r="C1476" t="s">
        <v>14</v>
      </c>
      <c r="D1476" t="str">
        <f>HYPERLINK("http://service.sap.com/sap/support/notes/1656255","1656255")</f>
        <v>1656255</v>
      </c>
      <c r="E1476">
        <v>1</v>
      </c>
      <c r="F1476" t="s">
        <v>2297</v>
      </c>
    </row>
    <row r="1477" spans="1:6" x14ac:dyDescent="0.25">
      <c r="A1477" t="s">
        <v>1522</v>
      </c>
      <c r="B1477" t="s">
        <v>338</v>
      </c>
      <c r="C1477" t="s">
        <v>14</v>
      </c>
      <c r="D1477" t="str">
        <f>HYPERLINK("http://service.sap.com/sap/support/notes/1659326","1659326")</f>
        <v>1659326</v>
      </c>
      <c r="E1477">
        <v>1</v>
      </c>
      <c r="F1477" t="s">
        <v>2298</v>
      </c>
    </row>
    <row r="1478" spans="1:6" x14ac:dyDescent="0.25">
      <c r="A1478" t="s">
        <v>1522</v>
      </c>
      <c r="B1478" t="s">
        <v>338</v>
      </c>
      <c r="C1478" t="s">
        <v>14</v>
      </c>
      <c r="D1478" t="str">
        <f>HYPERLINK("http://service.sap.com/sap/support/notes/1670806","1670806")</f>
        <v>1670806</v>
      </c>
      <c r="E1478">
        <v>1</v>
      </c>
      <c r="F1478" t="s">
        <v>2299</v>
      </c>
    </row>
    <row r="1479" spans="1:6" x14ac:dyDescent="0.25">
      <c r="A1479" t="s">
        <v>1522</v>
      </c>
      <c r="B1479" t="s">
        <v>2300</v>
      </c>
      <c r="C1479" t="s">
        <v>2301</v>
      </c>
      <c r="D1479" t="str">
        <f>HYPERLINK("http://service.sap.com/sap/support/notes/1631894","1631894")</f>
        <v>1631894</v>
      </c>
      <c r="E1479">
        <v>1</v>
      </c>
      <c r="F1479" t="s">
        <v>2302</v>
      </c>
    </row>
    <row r="1480" spans="1:6" x14ac:dyDescent="0.25">
      <c r="A1480" t="s">
        <v>1522</v>
      </c>
      <c r="B1480" t="s">
        <v>2303</v>
      </c>
      <c r="C1480" t="s">
        <v>2304</v>
      </c>
      <c r="D1480" t="str">
        <f>HYPERLINK("http://service.sap.com/sap/support/notes/910796","910796")</f>
        <v>910796</v>
      </c>
      <c r="E1480">
        <v>6</v>
      </c>
      <c r="F1480" t="s">
        <v>2305</v>
      </c>
    </row>
    <row r="1481" spans="1:6" x14ac:dyDescent="0.25">
      <c r="A1481" t="s">
        <v>1522</v>
      </c>
      <c r="B1481" t="s">
        <v>2303</v>
      </c>
      <c r="C1481" t="s">
        <v>2304</v>
      </c>
      <c r="D1481" t="str">
        <f>HYPERLINK("http://service.sap.com/sap/support/notes/1585790","1585790")</f>
        <v>1585790</v>
      </c>
      <c r="E1481">
        <v>2</v>
      </c>
      <c r="F1481" t="s">
        <v>2306</v>
      </c>
    </row>
    <row r="1482" spans="1:6" x14ac:dyDescent="0.25">
      <c r="A1482" t="s">
        <v>1522</v>
      </c>
      <c r="B1482" t="s">
        <v>2303</v>
      </c>
      <c r="C1482" t="s">
        <v>2304</v>
      </c>
      <c r="D1482" t="str">
        <f>HYPERLINK("http://service.sap.com/sap/support/notes/1590148","1590148")</f>
        <v>1590148</v>
      </c>
      <c r="E1482">
        <v>2</v>
      </c>
      <c r="F1482" t="s">
        <v>2307</v>
      </c>
    </row>
    <row r="1483" spans="1:6" x14ac:dyDescent="0.25">
      <c r="A1483" t="s">
        <v>1522</v>
      </c>
      <c r="B1483" t="s">
        <v>2303</v>
      </c>
      <c r="C1483" t="s">
        <v>2304</v>
      </c>
      <c r="D1483" t="str">
        <f>HYPERLINK("http://service.sap.com/sap/support/notes/1609261","1609261")</f>
        <v>1609261</v>
      </c>
      <c r="E1483">
        <v>1</v>
      </c>
      <c r="F1483" t="s">
        <v>2308</v>
      </c>
    </row>
    <row r="1484" spans="1:6" x14ac:dyDescent="0.25">
      <c r="A1484" t="s">
        <v>1522</v>
      </c>
      <c r="B1484" t="s">
        <v>2303</v>
      </c>
      <c r="C1484" t="s">
        <v>2304</v>
      </c>
      <c r="D1484" t="str">
        <f>HYPERLINK("http://service.sap.com/sap/support/notes/1613741","1613741")</f>
        <v>1613741</v>
      </c>
      <c r="E1484">
        <v>1</v>
      </c>
      <c r="F1484" t="s">
        <v>2309</v>
      </c>
    </row>
    <row r="1485" spans="1:6" x14ac:dyDescent="0.25">
      <c r="A1485" t="s">
        <v>1522</v>
      </c>
      <c r="B1485" t="s">
        <v>2303</v>
      </c>
      <c r="C1485" t="s">
        <v>2304</v>
      </c>
      <c r="D1485" t="str">
        <f>HYPERLINK("http://service.sap.com/sap/support/notes/1615244","1615244")</f>
        <v>1615244</v>
      </c>
      <c r="E1485">
        <v>1</v>
      </c>
      <c r="F1485" t="s">
        <v>2310</v>
      </c>
    </row>
    <row r="1486" spans="1:6" x14ac:dyDescent="0.25">
      <c r="A1486" t="s">
        <v>1522</v>
      </c>
      <c r="B1486" t="s">
        <v>2303</v>
      </c>
      <c r="C1486" t="s">
        <v>2304</v>
      </c>
      <c r="D1486" t="str">
        <f>HYPERLINK("http://service.sap.com/sap/support/notes/1616311","1616311")</f>
        <v>1616311</v>
      </c>
      <c r="E1486">
        <v>1</v>
      </c>
      <c r="F1486" t="s">
        <v>2311</v>
      </c>
    </row>
    <row r="1487" spans="1:6" x14ac:dyDescent="0.25">
      <c r="A1487" t="s">
        <v>1522</v>
      </c>
      <c r="B1487" t="s">
        <v>2303</v>
      </c>
      <c r="C1487" t="s">
        <v>2304</v>
      </c>
      <c r="D1487" t="str">
        <f>HYPERLINK("http://service.sap.com/sap/support/notes/1618286","1618286")</f>
        <v>1618286</v>
      </c>
      <c r="E1487">
        <v>1</v>
      </c>
      <c r="F1487" t="s">
        <v>2312</v>
      </c>
    </row>
    <row r="1488" spans="1:6" x14ac:dyDescent="0.25">
      <c r="A1488" t="s">
        <v>1522</v>
      </c>
      <c r="B1488" t="s">
        <v>2303</v>
      </c>
      <c r="C1488" t="s">
        <v>2304</v>
      </c>
      <c r="D1488" t="str">
        <f>HYPERLINK("http://service.sap.com/sap/support/notes/1619793","1619793")</f>
        <v>1619793</v>
      </c>
      <c r="E1488">
        <v>1</v>
      </c>
      <c r="F1488" t="s">
        <v>2313</v>
      </c>
    </row>
    <row r="1489" spans="1:6" x14ac:dyDescent="0.25">
      <c r="A1489" t="s">
        <v>1522</v>
      </c>
      <c r="B1489" t="s">
        <v>2303</v>
      </c>
      <c r="C1489" t="s">
        <v>2304</v>
      </c>
      <c r="D1489" t="str">
        <f>HYPERLINK("http://service.sap.com/sap/support/notes/1631850","1631850")</f>
        <v>1631850</v>
      </c>
      <c r="E1489">
        <v>1</v>
      </c>
      <c r="F1489" t="s">
        <v>2314</v>
      </c>
    </row>
    <row r="1490" spans="1:6" x14ac:dyDescent="0.25">
      <c r="A1490" t="s">
        <v>1522</v>
      </c>
      <c r="B1490" t="s">
        <v>2303</v>
      </c>
      <c r="C1490" t="s">
        <v>2304</v>
      </c>
      <c r="D1490" t="str">
        <f>HYPERLINK("http://service.sap.com/sap/support/notes/1634558","1634558")</f>
        <v>1634558</v>
      </c>
      <c r="E1490">
        <v>1</v>
      </c>
      <c r="F1490" t="s">
        <v>2315</v>
      </c>
    </row>
    <row r="1491" spans="1:6" x14ac:dyDescent="0.25">
      <c r="A1491" t="s">
        <v>1522</v>
      </c>
      <c r="B1491" t="s">
        <v>2303</v>
      </c>
      <c r="C1491" t="s">
        <v>2304</v>
      </c>
      <c r="D1491" t="str">
        <f>HYPERLINK("http://service.sap.com/sap/support/notes/1639236","1639236")</f>
        <v>1639236</v>
      </c>
      <c r="E1491">
        <v>2</v>
      </c>
      <c r="F1491" t="s">
        <v>2316</v>
      </c>
    </row>
    <row r="1492" spans="1:6" x14ac:dyDescent="0.25">
      <c r="A1492" t="s">
        <v>1522</v>
      </c>
      <c r="B1492" t="s">
        <v>2303</v>
      </c>
      <c r="C1492" t="s">
        <v>2304</v>
      </c>
      <c r="D1492" t="str">
        <f>HYPERLINK("http://service.sap.com/sap/support/notes/1639593","1639593")</f>
        <v>1639593</v>
      </c>
      <c r="E1492">
        <v>3</v>
      </c>
      <c r="F1492" t="s">
        <v>2317</v>
      </c>
    </row>
    <row r="1493" spans="1:6" x14ac:dyDescent="0.25">
      <c r="A1493" t="s">
        <v>1522</v>
      </c>
      <c r="B1493" t="s">
        <v>2303</v>
      </c>
      <c r="C1493" t="s">
        <v>2304</v>
      </c>
      <c r="D1493" t="str">
        <f>HYPERLINK("http://service.sap.com/sap/support/notes/1642629","1642629")</f>
        <v>1642629</v>
      </c>
      <c r="E1493">
        <v>1</v>
      </c>
      <c r="F1493" t="s">
        <v>2318</v>
      </c>
    </row>
    <row r="1494" spans="1:6" x14ac:dyDescent="0.25">
      <c r="A1494" t="s">
        <v>1522</v>
      </c>
      <c r="B1494" t="s">
        <v>2303</v>
      </c>
      <c r="C1494" t="s">
        <v>2304</v>
      </c>
      <c r="D1494" t="str">
        <f>HYPERLINK("http://service.sap.com/sap/support/notes/1644087","1644087")</f>
        <v>1644087</v>
      </c>
      <c r="E1494">
        <v>1</v>
      </c>
      <c r="F1494" t="s">
        <v>2319</v>
      </c>
    </row>
    <row r="1495" spans="1:6" x14ac:dyDescent="0.25">
      <c r="A1495" t="s">
        <v>1522</v>
      </c>
      <c r="B1495" t="s">
        <v>2303</v>
      </c>
      <c r="C1495" t="s">
        <v>2304</v>
      </c>
      <c r="D1495" t="str">
        <f>HYPERLINK("http://service.sap.com/sap/support/notes/1648933","1648933")</f>
        <v>1648933</v>
      </c>
      <c r="E1495">
        <v>1</v>
      </c>
      <c r="F1495" t="s">
        <v>2320</v>
      </c>
    </row>
    <row r="1496" spans="1:6" x14ac:dyDescent="0.25">
      <c r="A1496" t="s">
        <v>1522</v>
      </c>
      <c r="B1496" t="s">
        <v>2303</v>
      </c>
      <c r="C1496" t="s">
        <v>2304</v>
      </c>
      <c r="D1496" t="str">
        <f>HYPERLINK("http://service.sap.com/sap/support/notes/1651074","1651074")</f>
        <v>1651074</v>
      </c>
      <c r="E1496">
        <v>2</v>
      </c>
      <c r="F1496" t="s">
        <v>2321</v>
      </c>
    </row>
    <row r="1497" spans="1:6" x14ac:dyDescent="0.25">
      <c r="A1497" t="s">
        <v>1522</v>
      </c>
      <c r="B1497" t="s">
        <v>2303</v>
      </c>
      <c r="C1497" t="s">
        <v>2304</v>
      </c>
      <c r="D1497" t="str">
        <f>HYPERLINK("http://service.sap.com/sap/support/notes/1657383","1657383")</f>
        <v>1657383</v>
      </c>
      <c r="E1497">
        <v>2</v>
      </c>
      <c r="F1497" t="s">
        <v>2322</v>
      </c>
    </row>
    <row r="1498" spans="1:6" x14ac:dyDescent="0.25">
      <c r="A1498" t="s">
        <v>1522</v>
      </c>
      <c r="B1498" t="s">
        <v>2303</v>
      </c>
      <c r="C1498" t="s">
        <v>2304</v>
      </c>
      <c r="D1498" t="str">
        <f>HYPERLINK("http://service.sap.com/sap/support/notes/1663690","1663690")</f>
        <v>1663690</v>
      </c>
      <c r="E1498">
        <v>1</v>
      </c>
      <c r="F1498" t="s">
        <v>2323</v>
      </c>
    </row>
    <row r="1499" spans="1:6" x14ac:dyDescent="0.25">
      <c r="A1499" t="s">
        <v>1522</v>
      </c>
      <c r="B1499" t="s">
        <v>2303</v>
      </c>
      <c r="C1499" t="s">
        <v>2304</v>
      </c>
      <c r="D1499" t="str">
        <f>HYPERLINK("http://service.sap.com/sap/support/notes/1669883","1669883")</f>
        <v>1669883</v>
      </c>
      <c r="E1499">
        <v>1</v>
      </c>
      <c r="F1499" t="s">
        <v>2324</v>
      </c>
    </row>
    <row r="1500" spans="1:6" x14ac:dyDescent="0.25">
      <c r="A1500" t="s">
        <v>1522</v>
      </c>
      <c r="B1500" t="s">
        <v>342</v>
      </c>
      <c r="C1500" t="s">
        <v>343</v>
      </c>
      <c r="D1500" t="str">
        <f>HYPERLINK("http://service.sap.com/sap/support/notes/1615499","1615499")</f>
        <v>1615499</v>
      </c>
      <c r="E1500">
        <v>1</v>
      </c>
      <c r="F1500" t="s">
        <v>2325</v>
      </c>
    </row>
    <row r="1501" spans="1:6" x14ac:dyDescent="0.25">
      <c r="A1501" t="s">
        <v>1522</v>
      </c>
      <c r="B1501" t="s">
        <v>342</v>
      </c>
      <c r="C1501" t="s">
        <v>343</v>
      </c>
      <c r="D1501" t="str">
        <f>HYPERLINK("http://service.sap.com/sap/support/notes/1662339","1662339")</f>
        <v>1662339</v>
      </c>
      <c r="E1501">
        <v>1</v>
      </c>
      <c r="F1501" t="s">
        <v>2326</v>
      </c>
    </row>
    <row r="1502" spans="1:6" x14ac:dyDescent="0.25">
      <c r="A1502" t="s">
        <v>1522</v>
      </c>
      <c r="B1502" t="s">
        <v>342</v>
      </c>
      <c r="C1502" t="s">
        <v>343</v>
      </c>
      <c r="D1502" t="str">
        <f>HYPERLINK("http://service.sap.com/sap/support/notes/1665199","1665199")</f>
        <v>1665199</v>
      </c>
      <c r="E1502">
        <v>2</v>
      </c>
      <c r="F1502" t="s">
        <v>2327</v>
      </c>
    </row>
    <row r="1503" spans="1:6" x14ac:dyDescent="0.25">
      <c r="A1503" t="s">
        <v>1522</v>
      </c>
      <c r="B1503" t="s">
        <v>345</v>
      </c>
      <c r="C1503" t="s">
        <v>346</v>
      </c>
      <c r="D1503" t="str">
        <f>HYPERLINK("http://service.sap.com/sap/support/notes/1633184","1633184")</f>
        <v>1633184</v>
      </c>
      <c r="E1503">
        <v>1</v>
      </c>
      <c r="F1503" t="s">
        <v>2328</v>
      </c>
    </row>
    <row r="1504" spans="1:6" x14ac:dyDescent="0.25">
      <c r="A1504" t="s">
        <v>1522</v>
      </c>
      <c r="B1504" t="s">
        <v>345</v>
      </c>
      <c r="C1504" t="s">
        <v>346</v>
      </c>
      <c r="D1504" t="str">
        <f>HYPERLINK("http://service.sap.com/sap/support/notes/1657222","1657222")</f>
        <v>1657222</v>
      </c>
      <c r="E1504">
        <v>1</v>
      </c>
      <c r="F1504" t="s">
        <v>2329</v>
      </c>
    </row>
    <row r="1505" spans="1:6" x14ac:dyDescent="0.25">
      <c r="A1505" t="s">
        <v>1522</v>
      </c>
      <c r="B1505" t="s">
        <v>349</v>
      </c>
      <c r="C1505" t="s">
        <v>350</v>
      </c>
      <c r="D1505" t="str">
        <f>HYPERLINK("http://service.sap.com/sap/support/notes/1601036","1601036")</f>
        <v>1601036</v>
      </c>
      <c r="E1505">
        <v>2</v>
      </c>
      <c r="F1505" t="s">
        <v>2330</v>
      </c>
    </row>
    <row r="1506" spans="1:6" x14ac:dyDescent="0.25">
      <c r="A1506" t="s">
        <v>1522</v>
      </c>
      <c r="B1506" t="s">
        <v>349</v>
      </c>
      <c r="C1506" t="s">
        <v>350</v>
      </c>
      <c r="D1506" t="str">
        <f>HYPERLINK("http://service.sap.com/sap/support/notes/1608215","1608215")</f>
        <v>1608215</v>
      </c>
      <c r="E1506">
        <v>2</v>
      </c>
      <c r="F1506" t="s">
        <v>2331</v>
      </c>
    </row>
    <row r="1507" spans="1:6" x14ac:dyDescent="0.25">
      <c r="A1507" t="s">
        <v>1522</v>
      </c>
      <c r="B1507" t="s">
        <v>349</v>
      </c>
      <c r="C1507" t="s">
        <v>350</v>
      </c>
      <c r="D1507" t="str">
        <f>HYPERLINK("http://service.sap.com/sap/support/notes/1631494","1631494")</f>
        <v>1631494</v>
      </c>
      <c r="E1507">
        <v>1</v>
      </c>
      <c r="F1507" t="s">
        <v>2332</v>
      </c>
    </row>
    <row r="1508" spans="1:6" x14ac:dyDescent="0.25">
      <c r="A1508" t="s">
        <v>1522</v>
      </c>
      <c r="B1508" t="s">
        <v>349</v>
      </c>
      <c r="C1508" t="s">
        <v>350</v>
      </c>
      <c r="D1508" t="str">
        <f>HYPERLINK("http://service.sap.com/sap/support/notes/1636083","1636083")</f>
        <v>1636083</v>
      </c>
      <c r="E1508">
        <v>1</v>
      </c>
      <c r="F1508" t="s">
        <v>2333</v>
      </c>
    </row>
    <row r="1509" spans="1:6" x14ac:dyDescent="0.25">
      <c r="A1509" t="s">
        <v>1522</v>
      </c>
      <c r="B1509" t="s">
        <v>349</v>
      </c>
      <c r="C1509" t="s">
        <v>350</v>
      </c>
      <c r="D1509" t="str">
        <f>HYPERLINK("http://service.sap.com/sap/support/notes/1638621","1638621")</f>
        <v>1638621</v>
      </c>
      <c r="E1509">
        <v>1</v>
      </c>
      <c r="F1509" t="s">
        <v>2334</v>
      </c>
    </row>
    <row r="1510" spans="1:6" x14ac:dyDescent="0.25">
      <c r="A1510" t="s">
        <v>1522</v>
      </c>
      <c r="B1510" t="s">
        <v>349</v>
      </c>
      <c r="C1510" t="s">
        <v>350</v>
      </c>
      <c r="D1510" t="str">
        <f>HYPERLINK("http://service.sap.com/sap/support/notes/1641670","1641670")</f>
        <v>1641670</v>
      </c>
      <c r="E1510">
        <v>1</v>
      </c>
      <c r="F1510" t="s">
        <v>2335</v>
      </c>
    </row>
    <row r="1511" spans="1:6" x14ac:dyDescent="0.25">
      <c r="A1511" t="s">
        <v>1522</v>
      </c>
      <c r="B1511" t="s">
        <v>349</v>
      </c>
      <c r="C1511" t="s">
        <v>350</v>
      </c>
      <c r="D1511" t="str">
        <f>HYPERLINK("http://service.sap.com/sap/support/notes/1646197","1646197")</f>
        <v>1646197</v>
      </c>
      <c r="E1511">
        <v>1</v>
      </c>
      <c r="F1511" t="s">
        <v>2336</v>
      </c>
    </row>
    <row r="1512" spans="1:6" x14ac:dyDescent="0.25">
      <c r="A1512" t="s">
        <v>1522</v>
      </c>
      <c r="B1512" t="s">
        <v>2337</v>
      </c>
      <c r="C1512" t="s">
        <v>2198</v>
      </c>
    </row>
    <row r="1513" spans="1:6" x14ac:dyDescent="0.25">
      <c r="A1513" t="s">
        <v>1522</v>
      </c>
      <c r="B1513" t="s">
        <v>2338</v>
      </c>
      <c r="C1513" t="s">
        <v>2339</v>
      </c>
      <c r="D1513" t="str">
        <f>HYPERLINK("http://service.sap.com/sap/support/notes/1666383","1666383")</f>
        <v>1666383</v>
      </c>
      <c r="E1513">
        <v>1</v>
      </c>
      <c r="F1513" t="s">
        <v>2340</v>
      </c>
    </row>
    <row r="1514" spans="1:6" x14ac:dyDescent="0.25">
      <c r="A1514" t="s">
        <v>1522</v>
      </c>
      <c r="B1514" t="s">
        <v>354</v>
      </c>
      <c r="C1514" t="s">
        <v>355</v>
      </c>
      <c r="D1514" t="str">
        <f>HYPERLINK("http://service.sap.com/sap/support/notes/1622425","1622425")</f>
        <v>1622425</v>
      </c>
      <c r="E1514">
        <v>1</v>
      </c>
      <c r="F1514" t="s">
        <v>2341</v>
      </c>
    </row>
    <row r="1515" spans="1:6" x14ac:dyDescent="0.25">
      <c r="A1515" t="s">
        <v>1522</v>
      </c>
      <c r="B1515" t="s">
        <v>354</v>
      </c>
      <c r="C1515" t="s">
        <v>355</v>
      </c>
      <c r="D1515" t="str">
        <f>HYPERLINK("http://service.sap.com/sap/support/notes/1625196","1625196")</f>
        <v>1625196</v>
      </c>
      <c r="E1515">
        <v>1</v>
      </c>
      <c r="F1515" t="s">
        <v>2342</v>
      </c>
    </row>
    <row r="1516" spans="1:6" x14ac:dyDescent="0.25">
      <c r="A1516" t="s">
        <v>1522</v>
      </c>
      <c r="B1516" t="s">
        <v>354</v>
      </c>
      <c r="C1516" t="s">
        <v>355</v>
      </c>
      <c r="D1516" t="str">
        <f>HYPERLINK("http://service.sap.com/sap/support/notes/1648073","1648073")</f>
        <v>1648073</v>
      </c>
      <c r="E1516">
        <v>6</v>
      </c>
      <c r="F1516" t="s">
        <v>2343</v>
      </c>
    </row>
    <row r="1517" spans="1:6" x14ac:dyDescent="0.25">
      <c r="A1517" t="s">
        <v>1522</v>
      </c>
      <c r="B1517" t="s">
        <v>354</v>
      </c>
      <c r="C1517" t="s">
        <v>355</v>
      </c>
      <c r="D1517" t="str">
        <f>HYPERLINK("http://service.sap.com/sap/support/notes/1650549","1650549")</f>
        <v>1650549</v>
      </c>
      <c r="E1517">
        <v>3</v>
      </c>
      <c r="F1517" t="s">
        <v>2344</v>
      </c>
    </row>
    <row r="1518" spans="1:6" x14ac:dyDescent="0.25">
      <c r="A1518" t="s">
        <v>1522</v>
      </c>
      <c r="B1518" t="s">
        <v>354</v>
      </c>
      <c r="C1518" t="s">
        <v>355</v>
      </c>
      <c r="D1518" t="str">
        <f>HYPERLINK("http://service.sap.com/sap/support/notes/1651646","1651646")</f>
        <v>1651646</v>
      </c>
      <c r="E1518">
        <v>1</v>
      </c>
      <c r="F1518" t="s">
        <v>2345</v>
      </c>
    </row>
    <row r="1519" spans="1:6" x14ac:dyDescent="0.25">
      <c r="A1519" t="s">
        <v>1522</v>
      </c>
      <c r="B1519" t="s">
        <v>354</v>
      </c>
      <c r="C1519" t="s">
        <v>355</v>
      </c>
      <c r="D1519" t="str">
        <f>HYPERLINK("http://service.sap.com/sap/support/notes/1663866","1663866")</f>
        <v>1663866</v>
      </c>
      <c r="E1519">
        <v>2</v>
      </c>
      <c r="F1519" t="s">
        <v>2346</v>
      </c>
    </row>
    <row r="1520" spans="1:6" x14ac:dyDescent="0.25">
      <c r="A1520" t="s">
        <v>1522</v>
      </c>
      <c r="B1520" t="s">
        <v>356</v>
      </c>
      <c r="C1520" t="s">
        <v>337</v>
      </c>
      <c r="D1520" t="str">
        <f>HYPERLINK("http://service.sap.com/sap/support/notes/1612115","1612115")</f>
        <v>1612115</v>
      </c>
      <c r="E1520">
        <v>1</v>
      </c>
      <c r="F1520" t="s">
        <v>2347</v>
      </c>
    </row>
    <row r="1521" spans="1:6" x14ac:dyDescent="0.25">
      <c r="A1521" t="s">
        <v>1522</v>
      </c>
      <c r="B1521" t="s">
        <v>356</v>
      </c>
      <c r="C1521" t="s">
        <v>337</v>
      </c>
      <c r="D1521" t="str">
        <f>HYPERLINK("http://service.sap.com/sap/support/notes/1646950","1646950")</f>
        <v>1646950</v>
      </c>
      <c r="E1521">
        <v>3</v>
      </c>
      <c r="F1521" t="s">
        <v>2348</v>
      </c>
    </row>
    <row r="1522" spans="1:6" x14ac:dyDescent="0.25">
      <c r="A1522" t="s">
        <v>1522</v>
      </c>
      <c r="B1522" t="s">
        <v>356</v>
      </c>
      <c r="C1522" t="s">
        <v>337</v>
      </c>
      <c r="D1522" t="str">
        <f>HYPERLINK("http://service.sap.com/sap/support/notes/1662094","1662094")</f>
        <v>1662094</v>
      </c>
      <c r="E1522">
        <v>1</v>
      </c>
      <c r="F1522" t="s">
        <v>2349</v>
      </c>
    </row>
    <row r="1523" spans="1:6" x14ac:dyDescent="0.25">
      <c r="A1523" t="s">
        <v>1522</v>
      </c>
      <c r="B1523" t="s">
        <v>356</v>
      </c>
      <c r="C1523" t="s">
        <v>337</v>
      </c>
      <c r="D1523" t="str">
        <f>HYPERLINK("http://service.sap.com/sap/support/notes/1665929","1665929")</f>
        <v>1665929</v>
      </c>
      <c r="E1523">
        <v>1</v>
      </c>
      <c r="F1523" t="s">
        <v>2350</v>
      </c>
    </row>
    <row r="1524" spans="1:6" x14ac:dyDescent="0.25">
      <c r="A1524" t="s">
        <v>1522</v>
      </c>
      <c r="B1524" t="s">
        <v>358</v>
      </c>
      <c r="C1524" t="s">
        <v>359</v>
      </c>
      <c r="D1524" t="str">
        <f>HYPERLINK("http://service.sap.com/sap/support/notes/1612131","1612131")</f>
        <v>1612131</v>
      </c>
      <c r="E1524">
        <v>2</v>
      </c>
      <c r="F1524" t="s">
        <v>2351</v>
      </c>
    </row>
    <row r="1525" spans="1:6" x14ac:dyDescent="0.25">
      <c r="A1525" t="s">
        <v>1522</v>
      </c>
      <c r="B1525" t="s">
        <v>358</v>
      </c>
      <c r="C1525" t="s">
        <v>359</v>
      </c>
      <c r="D1525" t="str">
        <f>HYPERLINK("http://service.sap.com/sap/support/notes/1623596","1623596")</f>
        <v>1623596</v>
      </c>
      <c r="E1525">
        <v>2</v>
      </c>
      <c r="F1525" t="s">
        <v>2352</v>
      </c>
    </row>
    <row r="1526" spans="1:6" x14ac:dyDescent="0.25">
      <c r="A1526" t="s">
        <v>1522</v>
      </c>
      <c r="B1526" t="s">
        <v>358</v>
      </c>
      <c r="C1526" t="s">
        <v>359</v>
      </c>
      <c r="D1526" t="str">
        <f>HYPERLINK("http://service.sap.com/sap/support/notes/1633599","1633599")</f>
        <v>1633599</v>
      </c>
      <c r="E1526">
        <v>2</v>
      </c>
      <c r="F1526" t="s">
        <v>2353</v>
      </c>
    </row>
    <row r="1527" spans="1:6" x14ac:dyDescent="0.25">
      <c r="A1527" t="s">
        <v>1522</v>
      </c>
      <c r="B1527" t="s">
        <v>358</v>
      </c>
      <c r="C1527" t="s">
        <v>359</v>
      </c>
      <c r="D1527" t="str">
        <f>HYPERLINK("http://service.sap.com/sap/support/notes/1633998","1633998")</f>
        <v>1633998</v>
      </c>
      <c r="E1527">
        <v>1</v>
      </c>
      <c r="F1527" t="s">
        <v>2354</v>
      </c>
    </row>
    <row r="1528" spans="1:6" x14ac:dyDescent="0.25">
      <c r="A1528" t="s">
        <v>1522</v>
      </c>
      <c r="B1528" t="s">
        <v>358</v>
      </c>
      <c r="C1528" t="s">
        <v>359</v>
      </c>
      <c r="D1528" t="str">
        <f>HYPERLINK("http://service.sap.com/sap/support/notes/1634493","1634493")</f>
        <v>1634493</v>
      </c>
      <c r="E1528">
        <v>1</v>
      </c>
      <c r="F1528" t="s">
        <v>2355</v>
      </c>
    </row>
    <row r="1529" spans="1:6" x14ac:dyDescent="0.25">
      <c r="A1529" t="s">
        <v>1522</v>
      </c>
      <c r="B1529" t="s">
        <v>358</v>
      </c>
      <c r="C1529" t="s">
        <v>359</v>
      </c>
      <c r="D1529" t="str">
        <f>HYPERLINK("http://service.sap.com/sap/support/notes/1635234","1635234")</f>
        <v>1635234</v>
      </c>
      <c r="E1529">
        <v>1</v>
      </c>
      <c r="F1529" t="s">
        <v>2356</v>
      </c>
    </row>
    <row r="1530" spans="1:6" x14ac:dyDescent="0.25">
      <c r="A1530" t="s">
        <v>1522</v>
      </c>
      <c r="B1530" t="s">
        <v>358</v>
      </c>
      <c r="C1530" t="s">
        <v>359</v>
      </c>
      <c r="D1530" t="str">
        <f>HYPERLINK("http://service.sap.com/sap/support/notes/1638899","1638899")</f>
        <v>1638899</v>
      </c>
      <c r="E1530">
        <v>1</v>
      </c>
      <c r="F1530" t="s">
        <v>2357</v>
      </c>
    </row>
    <row r="1531" spans="1:6" x14ac:dyDescent="0.25">
      <c r="A1531" t="s">
        <v>1522</v>
      </c>
      <c r="B1531" t="s">
        <v>358</v>
      </c>
      <c r="C1531" t="s">
        <v>359</v>
      </c>
      <c r="D1531" t="str">
        <f>HYPERLINK("http://service.sap.com/sap/support/notes/1642256","1642256")</f>
        <v>1642256</v>
      </c>
      <c r="E1531">
        <v>1</v>
      </c>
      <c r="F1531" t="s">
        <v>2358</v>
      </c>
    </row>
    <row r="1532" spans="1:6" x14ac:dyDescent="0.25">
      <c r="A1532" t="s">
        <v>1522</v>
      </c>
      <c r="B1532" t="s">
        <v>358</v>
      </c>
      <c r="C1532" t="s">
        <v>359</v>
      </c>
      <c r="D1532" t="str">
        <f>HYPERLINK("http://service.sap.com/sap/support/notes/1644413","1644413")</f>
        <v>1644413</v>
      </c>
      <c r="E1532">
        <v>1</v>
      </c>
      <c r="F1532" t="s">
        <v>2359</v>
      </c>
    </row>
    <row r="1533" spans="1:6" x14ac:dyDescent="0.25">
      <c r="A1533" t="s">
        <v>1522</v>
      </c>
      <c r="B1533" t="s">
        <v>358</v>
      </c>
      <c r="C1533" t="s">
        <v>359</v>
      </c>
      <c r="D1533" t="str">
        <f>HYPERLINK("http://service.sap.com/sap/support/notes/1648186","1648186")</f>
        <v>1648186</v>
      </c>
      <c r="E1533">
        <v>5</v>
      </c>
      <c r="F1533" t="s">
        <v>2360</v>
      </c>
    </row>
    <row r="1534" spans="1:6" x14ac:dyDescent="0.25">
      <c r="A1534" t="s">
        <v>1522</v>
      </c>
      <c r="B1534" t="s">
        <v>358</v>
      </c>
      <c r="C1534" t="s">
        <v>359</v>
      </c>
      <c r="D1534" t="str">
        <f>HYPERLINK("http://service.sap.com/sap/support/notes/1648898","1648898")</f>
        <v>1648898</v>
      </c>
      <c r="E1534">
        <v>1</v>
      </c>
      <c r="F1534" t="s">
        <v>2361</v>
      </c>
    </row>
    <row r="1535" spans="1:6" x14ac:dyDescent="0.25">
      <c r="A1535" t="s">
        <v>1522</v>
      </c>
      <c r="B1535" t="s">
        <v>358</v>
      </c>
      <c r="C1535" t="s">
        <v>359</v>
      </c>
      <c r="D1535" t="str">
        <f>HYPERLINK("http://service.sap.com/sap/support/notes/1649489","1649489")</f>
        <v>1649489</v>
      </c>
      <c r="E1535">
        <v>1</v>
      </c>
      <c r="F1535" t="s">
        <v>2362</v>
      </c>
    </row>
    <row r="1536" spans="1:6" x14ac:dyDescent="0.25">
      <c r="A1536" t="s">
        <v>1522</v>
      </c>
      <c r="B1536" t="s">
        <v>358</v>
      </c>
      <c r="C1536" t="s">
        <v>359</v>
      </c>
      <c r="D1536" t="str">
        <f>HYPERLINK("http://service.sap.com/sap/support/notes/1651079","1651079")</f>
        <v>1651079</v>
      </c>
      <c r="E1536">
        <v>1</v>
      </c>
      <c r="F1536" t="s">
        <v>2363</v>
      </c>
    </row>
    <row r="1537" spans="1:6" x14ac:dyDescent="0.25">
      <c r="A1537" t="s">
        <v>1522</v>
      </c>
      <c r="B1537" t="s">
        <v>358</v>
      </c>
      <c r="C1537" t="s">
        <v>359</v>
      </c>
      <c r="D1537" t="str">
        <f>HYPERLINK("http://service.sap.com/sap/support/notes/1653748","1653748")</f>
        <v>1653748</v>
      </c>
      <c r="E1537">
        <v>1</v>
      </c>
      <c r="F1537" t="s">
        <v>2364</v>
      </c>
    </row>
    <row r="1538" spans="1:6" x14ac:dyDescent="0.25">
      <c r="A1538" t="s">
        <v>1522</v>
      </c>
      <c r="B1538" t="s">
        <v>358</v>
      </c>
      <c r="C1538" t="s">
        <v>359</v>
      </c>
      <c r="D1538" t="str">
        <f>HYPERLINK("http://service.sap.com/sap/support/notes/1654559","1654559")</f>
        <v>1654559</v>
      </c>
      <c r="E1538">
        <v>2</v>
      </c>
      <c r="F1538" t="s">
        <v>2365</v>
      </c>
    </row>
    <row r="1539" spans="1:6" x14ac:dyDescent="0.25">
      <c r="A1539" t="s">
        <v>1522</v>
      </c>
      <c r="B1539" t="s">
        <v>358</v>
      </c>
      <c r="C1539" t="s">
        <v>359</v>
      </c>
      <c r="D1539" t="str">
        <f>HYPERLINK("http://service.sap.com/sap/support/notes/1655629","1655629")</f>
        <v>1655629</v>
      </c>
      <c r="E1539">
        <v>1</v>
      </c>
      <c r="F1539" t="s">
        <v>2366</v>
      </c>
    </row>
    <row r="1540" spans="1:6" x14ac:dyDescent="0.25">
      <c r="A1540" t="s">
        <v>1522</v>
      </c>
      <c r="B1540" t="s">
        <v>358</v>
      </c>
      <c r="C1540" t="s">
        <v>359</v>
      </c>
      <c r="D1540" t="str">
        <f>HYPERLINK("http://service.sap.com/sap/support/notes/1661881","1661881")</f>
        <v>1661881</v>
      </c>
      <c r="E1540">
        <v>1</v>
      </c>
      <c r="F1540" t="s">
        <v>2367</v>
      </c>
    </row>
    <row r="1541" spans="1:6" x14ac:dyDescent="0.25">
      <c r="A1541" t="s">
        <v>1522</v>
      </c>
      <c r="B1541" t="s">
        <v>358</v>
      </c>
      <c r="C1541" t="s">
        <v>359</v>
      </c>
      <c r="D1541" t="str">
        <f>HYPERLINK("http://service.sap.com/sap/support/notes/1663156","1663156")</f>
        <v>1663156</v>
      </c>
      <c r="E1541">
        <v>1</v>
      </c>
      <c r="F1541" t="s">
        <v>2368</v>
      </c>
    </row>
    <row r="1542" spans="1:6" x14ac:dyDescent="0.25">
      <c r="A1542" t="s">
        <v>1522</v>
      </c>
      <c r="B1542" t="s">
        <v>358</v>
      </c>
      <c r="C1542" t="s">
        <v>359</v>
      </c>
      <c r="D1542" t="str">
        <f>HYPERLINK("http://service.sap.com/sap/support/notes/1663184","1663184")</f>
        <v>1663184</v>
      </c>
      <c r="E1542">
        <v>1</v>
      </c>
      <c r="F1542" t="s">
        <v>2369</v>
      </c>
    </row>
    <row r="1543" spans="1:6" x14ac:dyDescent="0.25">
      <c r="A1543" t="s">
        <v>1522</v>
      </c>
      <c r="B1543" t="s">
        <v>358</v>
      </c>
      <c r="C1543" t="s">
        <v>359</v>
      </c>
      <c r="D1543" t="str">
        <f>HYPERLINK("http://service.sap.com/sap/support/notes/1665214","1665214")</f>
        <v>1665214</v>
      </c>
      <c r="E1543">
        <v>1</v>
      </c>
      <c r="F1543" t="s">
        <v>2370</v>
      </c>
    </row>
    <row r="1544" spans="1:6" x14ac:dyDescent="0.25">
      <c r="A1544" t="s">
        <v>1522</v>
      </c>
      <c r="B1544" t="s">
        <v>363</v>
      </c>
      <c r="C1544" t="s">
        <v>364</v>
      </c>
      <c r="D1544" t="str">
        <f>HYPERLINK("http://service.sap.com/sap/support/notes/1056751","1056751")</f>
        <v>1056751</v>
      </c>
      <c r="E1544">
        <v>4</v>
      </c>
      <c r="F1544" t="s">
        <v>2371</v>
      </c>
    </row>
    <row r="1545" spans="1:6" x14ac:dyDescent="0.25">
      <c r="A1545" t="s">
        <v>1522</v>
      </c>
      <c r="B1545" t="s">
        <v>363</v>
      </c>
      <c r="C1545" t="s">
        <v>364</v>
      </c>
      <c r="D1545" t="str">
        <f>HYPERLINK("http://service.sap.com/sap/support/notes/1433189","1433189")</f>
        <v>1433189</v>
      </c>
      <c r="E1545">
        <v>5</v>
      </c>
      <c r="F1545" t="s">
        <v>2372</v>
      </c>
    </row>
    <row r="1546" spans="1:6" x14ac:dyDescent="0.25">
      <c r="A1546" t="s">
        <v>1522</v>
      </c>
      <c r="B1546" t="s">
        <v>363</v>
      </c>
      <c r="C1546" t="s">
        <v>364</v>
      </c>
      <c r="D1546" t="str">
        <f>HYPERLINK("http://service.sap.com/sap/support/notes/1615356","1615356")</f>
        <v>1615356</v>
      </c>
      <c r="E1546">
        <v>3</v>
      </c>
      <c r="F1546" t="s">
        <v>2373</v>
      </c>
    </row>
    <row r="1547" spans="1:6" x14ac:dyDescent="0.25">
      <c r="A1547" t="s">
        <v>1522</v>
      </c>
      <c r="B1547" t="s">
        <v>363</v>
      </c>
      <c r="C1547" t="s">
        <v>364</v>
      </c>
      <c r="D1547" t="str">
        <f>HYPERLINK("http://service.sap.com/sap/support/notes/1619174","1619174")</f>
        <v>1619174</v>
      </c>
      <c r="E1547">
        <v>2</v>
      </c>
      <c r="F1547" t="s">
        <v>2374</v>
      </c>
    </row>
    <row r="1548" spans="1:6" x14ac:dyDescent="0.25">
      <c r="A1548" t="s">
        <v>1522</v>
      </c>
      <c r="B1548" t="s">
        <v>363</v>
      </c>
      <c r="C1548" t="s">
        <v>364</v>
      </c>
      <c r="D1548" t="str">
        <f>HYPERLINK("http://service.sap.com/sap/support/notes/1623549","1623549")</f>
        <v>1623549</v>
      </c>
      <c r="E1548">
        <v>2</v>
      </c>
      <c r="F1548" t="s">
        <v>2375</v>
      </c>
    </row>
    <row r="1549" spans="1:6" x14ac:dyDescent="0.25">
      <c r="A1549" t="s">
        <v>1522</v>
      </c>
      <c r="B1549" t="s">
        <v>363</v>
      </c>
      <c r="C1549" t="s">
        <v>364</v>
      </c>
      <c r="D1549" t="str">
        <f>HYPERLINK("http://service.sap.com/sap/support/notes/1623796","1623796")</f>
        <v>1623796</v>
      </c>
      <c r="E1549">
        <v>2</v>
      </c>
      <c r="F1549" t="s">
        <v>2376</v>
      </c>
    </row>
    <row r="1550" spans="1:6" x14ac:dyDescent="0.25">
      <c r="A1550" t="s">
        <v>1522</v>
      </c>
      <c r="B1550" t="s">
        <v>363</v>
      </c>
      <c r="C1550" t="s">
        <v>364</v>
      </c>
      <c r="D1550" t="str">
        <f>HYPERLINK("http://service.sap.com/sap/support/notes/1629985","1629985")</f>
        <v>1629985</v>
      </c>
      <c r="E1550">
        <v>1</v>
      </c>
      <c r="F1550" t="s">
        <v>2377</v>
      </c>
    </row>
    <row r="1551" spans="1:6" x14ac:dyDescent="0.25">
      <c r="A1551" t="s">
        <v>1522</v>
      </c>
      <c r="B1551" t="s">
        <v>363</v>
      </c>
      <c r="C1551" t="s">
        <v>364</v>
      </c>
      <c r="D1551" t="str">
        <f>HYPERLINK("http://service.sap.com/sap/support/notes/1632142","1632142")</f>
        <v>1632142</v>
      </c>
      <c r="E1551">
        <v>3</v>
      </c>
      <c r="F1551" t="s">
        <v>2378</v>
      </c>
    </row>
    <row r="1552" spans="1:6" x14ac:dyDescent="0.25">
      <c r="A1552" t="s">
        <v>1522</v>
      </c>
      <c r="B1552" t="s">
        <v>363</v>
      </c>
      <c r="C1552" t="s">
        <v>364</v>
      </c>
      <c r="D1552" t="str">
        <f>HYPERLINK("http://service.sap.com/sap/support/notes/1634516","1634516")</f>
        <v>1634516</v>
      </c>
      <c r="E1552">
        <v>1</v>
      </c>
      <c r="F1552" t="s">
        <v>2379</v>
      </c>
    </row>
    <row r="1553" spans="1:6" x14ac:dyDescent="0.25">
      <c r="A1553" t="s">
        <v>1522</v>
      </c>
      <c r="B1553" t="s">
        <v>363</v>
      </c>
      <c r="C1553" t="s">
        <v>364</v>
      </c>
      <c r="D1553" t="str">
        <f>HYPERLINK("http://service.sap.com/sap/support/notes/1639531","1639531")</f>
        <v>1639531</v>
      </c>
      <c r="E1553">
        <v>2</v>
      </c>
      <c r="F1553" t="s">
        <v>2380</v>
      </c>
    </row>
    <row r="1554" spans="1:6" x14ac:dyDescent="0.25">
      <c r="A1554" t="s">
        <v>1522</v>
      </c>
      <c r="B1554" t="s">
        <v>363</v>
      </c>
      <c r="C1554" t="s">
        <v>364</v>
      </c>
      <c r="D1554" t="str">
        <f>HYPERLINK("http://service.sap.com/sap/support/notes/1641256","1641256")</f>
        <v>1641256</v>
      </c>
      <c r="E1554">
        <v>3</v>
      </c>
      <c r="F1554" t="s">
        <v>2381</v>
      </c>
    </row>
    <row r="1555" spans="1:6" x14ac:dyDescent="0.25">
      <c r="A1555" t="s">
        <v>1522</v>
      </c>
      <c r="B1555" t="s">
        <v>363</v>
      </c>
      <c r="C1555" t="s">
        <v>364</v>
      </c>
      <c r="D1555" t="str">
        <f>HYPERLINK("http://service.sap.com/sap/support/notes/1641752","1641752")</f>
        <v>1641752</v>
      </c>
      <c r="E1555">
        <v>3</v>
      </c>
      <c r="F1555" t="s">
        <v>2382</v>
      </c>
    </row>
    <row r="1556" spans="1:6" x14ac:dyDescent="0.25">
      <c r="A1556" t="s">
        <v>1522</v>
      </c>
      <c r="B1556" t="s">
        <v>363</v>
      </c>
      <c r="C1556" t="s">
        <v>364</v>
      </c>
      <c r="D1556" t="str">
        <f>HYPERLINK("http://service.sap.com/sap/support/notes/1645884","1645884")</f>
        <v>1645884</v>
      </c>
      <c r="E1556">
        <v>1</v>
      </c>
      <c r="F1556" t="s">
        <v>2383</v>
      </c>
    </row>
    <row r="1557" spans="1:6" x14ac:dyDescent="0.25">
      <c r="A1557" t="s">
        <v>1522</v>
      </c>
      <c r="B1557" t="s">
        <v>363</v>
      </c>
      <c r="C1557" t="s">
        <v>364</v>
      </c>
      <c r="D1557" t="str">
        <f>HYPERLINK("http://service.sap.com/sap/support/notes/1653537","1653537")</f>
        <v>1653537</v>
      </c>
      <c r="E1557">
        <v>1</v>
      </c>
      <c r="F1557" t="s">
        <v>2384</v>
      </c>
    </row>
    <row r="1558" spans="1:6" x14ac:dyDescent="0.25">
      <c r="A1558" t="s">
        <v>1522</v>
      </c>
      <c r="B1558" t="s">
        <v>363</v>
      </c>
      <c r="C1558" t="s">
        <v>364</v>
      </c>
      <c r="D1558" t="str">
        <f>HYPERLINK("http://service.sap.com/sap/support/notes/1666355","1666355")</f>
        <v>1666355</v>
      </c>
      <c r="E1558">
        <v>1</v>
      </c>
      <c r="F1558" t="s">
        <v>2385</v>
      </c>
    </row>
    <row r="1559" spans="1:6" x14ac:dyDescent="0.25">
      <c r="A1559" t="s">
        <v>1522</v>
      </c>
      <c r="B1559" t="s">
        <v>363</v>
      </c>
      <c r="C1559" t="s">
        <v>364</v>
      </c>
      <c r="D1559" t="str">
        <f>HYPERLINK("http://service.sap.com/sap/support/notes/1668412","1668412")</f>
        <v>1668412</v>
      </c>
      <c r="E1559">
        <v>3</v>
      </c>
      <c r="F1559" t="s">
        <v>2386</v>
      </c>
    </row>
    <row r="1560" spans="1:6" x14ac:dyDescent="0.25">
      <c r="A1560" t="s">
        <v>1522</v>
      </c>
      <c r="B1560" t="s">
        <v>374</v>
      </c>
      <c r="C1560" t="s">
        <v>375</v>
      </c>
      <c r="D1560" t="str">
        <f>HYPERLINK("http://service.sap.com/sap/support/notes/977163","977163")</f>
        <v>977163</v>
      </c>
      <c r="E1560">
        <v>3</v>
      </c>
      <c r="F1560" t="s">
        <v>2387</v>
      </c>
    </row>
    <row r="1561" spans="1:6" x14ac:dyDescent="0.25">
      <c r="A1561" t="s">
        <v>1522</v>
      </c>
      <c r="B1561" t="s">
        <v>374</v>
      </c>
      <c r="C1561" t="s">
        <v>375</v>
      </c>
      <c r="D1561" t="str">
        <f>HYPERLINK("http://service.sap.com/sap/support/notes/1574759","1574759")</f>
        <v>1574759</v>
      </c>
      <c r="E1561">
        <v>2</v>
      </c>
      <c r="F1561" t="s">
        <v>2388</v>
      </c>
    </row>
    <row r="1562" spans="1:6" x14ac:dyDescent="0.25">
      <c r="A1562" t="s">
        <v>1522</v>
      </c>
      <c r="B1562" t="s">
        <v>374</v>
      </c>
      <c r="C1562" t="s">
        <v>375</v>
      </c>
      <c r="D1562" t="str">
        <f>HYPERLINK("http://service.sap.com/sap/support/notes/1579415","1579415")</f>
        <v>1579415</v>
      </c>
      <c r="E1562">
        <v>6</v>
      </c>
      <c r="F1562" t="s">
        <v>2389</v>
      </c>
    </row>
    <row r="1563" spans="1:6" x14ac:dyDescent="0.25">
      <c r="A1563" t="s">
        <v>1522</v>
      </c>
      <c r="B1563" t="s">
        <v>374</v>
      </c>
      <c r="C1563" t="s">
        <v>375</v>
      </c>
      <c r="D1563" t="str">
        <f>HYPERLINK("http://service.sap.com/sap/support/notes/1600415","1600415")</f>
        <v>1600415</v>
      </c>
      <c r="E1563">
        <v>2</v>
      </c>
      <c r="F1563" t="s">
        <v>2390</v>
      </c>
    </row>
    <row r="1564" spans="1:6" x14ac:dyDescent="0.25">
      <c r="A1564" t="s">
        <v>1522</v>
      </c>
      <c r="B1564" t="s">
        <v>374</v>
      </c>
      <c r="C1564" t="s">
        <v>375</v>
      </c>
      <c r="D1564" t="str">
        <f>HYPERLINK("http://service.sap.com/sap/support/notes/1605829","1605829")</f>
        <v>1605829</v>
      </c>
      <c r="E1564">
        <v>2</v>
      </c>
      <c r="F1564" t="s">
        <v>2391</v>
      </c>
    </row>
    <row r="1565" spans="1:6" x14ac:dyDescent="0.25">
      <c r="A1565" t="s">
        <v>1522</v>
      </c>
      <c r="B1565" t="s">
        <v>374</v>
      </c>
      <c r="C1565" t="s">
        <v>375</v>
      </c>
      <c r="D1565" t="str">
        <f>HYPERLINK("http://service.sap.com/sap/support/notes/1608716","1608716")</f>
        <v>1608716</v>
      </c>
      <c r="E1565">
        <v>2</v>
      </c>
      <c r="F1565" t="s">
        <v>2392</v>
      </c>
    </row>
    <row r="1566" spans="1:6" x14ac:dyDescent="0.25">
      <c r="A1566" t="s">
        <v>1522</v>
      </c>
      <c r="B1566" t="s">
        <v>374</v>
      </c>
      <c r="C1566" t="s">
        <v>375</v>
      </c>
      <c r="D1566" t="str">
        <f>HYPERLINK("http://service.sap.com/sap/support/notes/1613647","1613647")</f>
        <v>1613647</v>
      </c>
      <c r="E1566">
        <v>1</v>
      </c>
      <c r="F1566" t="s">
        <v>2393</v>
      </c>
    </row>
    <row r="1567" spans="1:6" x14ac:dyDescent="0.25">
      <c r="A1567" t="s">
        <v>1522</v>
      </c>
      <c r="B1567" t="s">
        <v>374</v>
      </c>
      <c r="C1567" t="s">
        <v>375</v>
      </c>
      <c r="D1567" t="str">
        <f>HYPERLINK("http://service.sap.com/sap/support/notes/1616588","1616588")</f>
        <v>1616588</v>
      </c>
      <c r="E1567">
        <v>2</v>
      </c>
      <c r="F1567" t="s">
        <v>2394</v>
      </c>
    </row>
    <row r="1568" spans="1:6" x14ac:dyDescent="0.25">
      <c r="A1568" t="s">
        <v>1522</v>
      </c>
      <c r="B1568" t="s">
        <v>374</v>
      </c>
      <c r="C1568" t="s">
        <v>375</v>
      </c>
      <c r="D1568" t="str">
        <f>HYPERLINK("http://service.sap.com/sap/support/notes/1617562","1617562")</f>
        <v>1617562</v>
      </c>
      <c r="E1568">
        <v>1</v>
      </c>
      <c r="F1568" t="s">
        <v>2395</v>
      </c>
    </row>
    <row r="1569" spans="1:6" x14ac:dyDescent="0.25">
      <c r="A1569" t="s">
        <v>1522</v>
      </c>
      <c r="B1569" t="s">
        <v>374</v>
      </c>
      <c r="C1569" t="s">
        <v>375</v>
      </c>
      <c r="D1569" t="str">
        <f>HYPERLINK("http://service.sap.com/sap/support/notes/1620445","1620445")</f>
        <v>1620445</v>
      </c>
      <c r="E1569">
        <v>2</v>
      </c>
      <c r="F1569" t="s">
        <v>2396</v>
      </c>
    </row>
    <row r="1570" spans="1:6" x14ac:dyDescent="0.25">
      <c r="A1570" t="s">
        <v>1522</v>
      </c>
      <c r="B1570" t="s">
        <v>374</v>
      </c>
      <c r="C1570" t="s">
        <v>375</v>
      </c>
      <c r="D1570" t="str">
        <f>HYPERLINK("http://service.sap.com/sap/support/notes/1621179","1621179")</f>
        <v>1621179</v>
      </c>
      <c r="E1570">
        <v>3</v>
      </c>
      <c r="F1570" t="s">
        <v>2397</v>
      </c>
    </row>
    <row r="1571" spans="1:6" x14ac:dyDescent="0.25">
      <c r="A1571" t="s">
        <v>1522</v>
      </c>
      <c r="B1571" t="s">
        <v>374</v>
      </c>
      <c r="C1571" t="s">
        <v>375</v>
      </c>
      <c r="D1571" t="str">
        <f>HYPERLINK("http://service.sap.com/sap/support/notes/1621290","1621290")</f>
        <v>1621290</v>
      </c>
      <c r="E1571">
        <v>1</v>
      </c>
      <c r="F1571" t="s">
        <v>2398</v>
      </c>
    </row>
    <row r="1572" spans="1:6" x14ac:dyDescent="0.25">
      <c r="A1572" t="s">
        <v>1522</v>
      </c>
      <c r="B1572" t="s">
        <v>374</v>
      </c>
      <c r="C1572" t="s">
        <v>375</v>
      </c>
      <c r="D1572" t="str">
        <f>HYPERLINK("http://service.sap.com/sap/support/notes/1621818","1621818")</f>
        <v>1621818</v>
      </c>
      <c r="E1572">
        <v>5</v>
      </c>
      <c r="F1572" t="s">
        <v>2399</v>
      </c>
    </row>
    <row r="1573" spans="1:6" x14ac:dyDescent="0.25">
      <c r="A1573" t="s">
        <v>1522</v>
      </c>
      <c r="B1573" t="s">
        <v>374</v>
      </c>
      <c r="C1573" t="s">
        <v>375</v>
      </c>
      <c r="D1573" t="str">
        <f>HYPERLINK("http://service.sap.com/sap/support/notes/1622492","1622492")</f>
        <v>1622492</v>
      </c>
      <c r="E1573">
        <v>2</v>
      </c>
      <c r="F1573" t="s">
        <v>2400</v>
      </c>
    </row>
    <row r="1574" spans="1:6" x14ac:dyDescent="0.25">
      <c r="A1574" t="s">
        <v>1522</v>
      </c>
      <c r="B1574" t="s">
        <v>374</v>
      </c>
      <c r="C1574" t="s">
        <v>375</v>
      </c>
      <c r="D1574" t="str">
        <f>HYPERLINK("http://service.sap.com/sap/support/notes/1622645","1622645")</f>
        <v>1622645</v>
      </c>
      <c r="E1574">
        <v>2</v>
      </c>
      <c r="F1574" t="s">
        <v>2401</v>
      </c>
    </row>
    <row r="1575" spans="1:6" x14ac:dyDescent="0.25">
      <c r="A1575" t="s">
        <v>1522</v>
      </c>
      <c r="B1575" t="s">
        <v>374</v>
      </c>
      <c r="C1575" t="s">
        <v>375</v>
      </c>
      <c r="D1575" t="str">
        <f>HYPERLINK("http://service.sap.com/sap/support/notes/1624624","1624624")</f>
        <v>1624624</v>
      </c>
      <c r="E1575">
        <v>2</v>
      </c>
      <c r="F1575" t="s">
        <v>2402</v>
      </c>
    </row>
    <row r="1576" spans="1:6" x14ac:dyDescent="0.25">
      <c r="A1576" t="s">
        <v>1522</v>
      </c>
      <c r="B1576" t="s">
        <v>374</v>
      </c>
      <c r="C1576" t="s">
        <v>375</v>
      </c>
      <c r="D1576" t="str">
        <f>HYPERLINK("http://service.sap.com/sap/support/notes/1626054","1626054")</f>
        <v>1626054</v>
      </c>
      <c r="E1576">
        <v>2</v>
      </c>
      <c r="F1576" t="s">
        <v>2403</v>
      </c>
    </row>
    <row r="1577" spans="1:6" x14ac:dyDescent="0.25">
      <c r="A1577" t="s">
        <v>1522</v>
      </c>
      <c r="B1577" t="s">
        <v>374</v>
      </c>
      <c r="C1577" t="s">
        <v>375</v>
      </c>
      <c r="D1577" t="str">
        <f>HYPERLINK("http://service.sap.com/sap/support/notes/1630119","1630119")</f>
        <v>1630119</v>
      </c>
      <c r="E1577">
        <v>1</v>
      </c>
      <c r="F1577" t="s">
        <v>2404</v>
      </c>
    </row>
    <row r="1578" spans="1:6" x14ac:dyDescent="0.25">
      <c r="A1578" t="s">
        <v>1522</v>
      </c>
      <c r="B1578" t="s">
        <v>374</v>
      </c>
      <c r="C1578" t="s">
        <v>375</v>
      </c>
      <c r="D1578" t="str">
        <f>HYPERLINK("http://service.sap.com/sap/support/notes/1630297","1630297")</f>
        <v>1630297</v>
      </c>
      <c r="E1578">
        <v>1</v>
      </c>
      <c r="F1578" t="s">
        <v>2405</v>
      </c>
    </row>
    <row r="1579" spans="1:6" x14ac:dyDescent="0.25">
      <c r="A1579" t="s">
        <v>1522</v>
      </c>
      <c r="B1579" t="s">
        <v>374</v>
      </c>
      <c r="C1579" t="s">
        <v>375</v>
      </c>
      <c r="D1579" t="str">
        <f>HYPERLINK("http://service.sap.com/sap/support/notes/1631467","1631467")</f>
        <v>1631467</v>
      </c>
      <c r="E1579">
        <v>1</v>
      </c>
      <c r="F1579" t="s">
        <v>2406</v>
      </c>
    </row>
    <row r="1580" spans="1:6" x14ac:dyDescent="0.25">
      <c r="A1580" t="s">
        <v>1522</v>
      </c>
      <c r="B1580" t="s">
        <v>374</v>
      </c>
      <c r="C1580" t="s">
        <v>375</v>
      </c>
      <c r="D1580" t="str">
        <f>HYPERLINK("http://service.sap.com/sap/support/notes/1631503","1631503")</f>
        <v>1631503</v>
      </c>
      <c r="E1580">
        <v>2</v>
      </c>
      <c r="F1580" t="s">
        <v>2407</v>
      </c>
    </row>
    <row r="1581" spans="1:6" x14ac:dyDescent="0.25">
      <c r="A1581" t="s">
        <v>1522</v>
      </c>
      <c r="B1581" t="s">
        <v>374</v>
      </c>
      <c r="C1581" t="s">
        <v>375</v>
      </c>
      <c r="D1581" t="str">
        <f>HYPERLINK("http://service.sap.com/sap/support/notes/1632516","1632516")</f>
        <v>1632516</v>
      </c>
      <c r="E1581">
        <v>1</v>
      </c>
      <c r="F1581" t="s">
        <v>2408</v>
      </c>
    </row>
    <row r="1582" spans="1:6" x14ac:dyDescent="0.25">
      <c r="A1582" t="s">
        <v>1522</v>
      </c>
      <c r="B1582" t="s">
        <v>374</v>
      </c>
      <c r="C1582" t="s">
        <v>375</v>
      </c>
      <c r="D1582" t="str">
        <f>HYPERLINK("http://service.sap.com/sap/support/notes/1634372","1634372")</f>
        <v>1634372</v>
      </c>
      <c r="E1582">
        <v>1</v>
      </c>
      <c r="F1582" t="s">
        <v>2409</v>
      </c>
    </row>
    <row r="1583" spans="1:6" x14ac:dyDescent="0.25">
      <c r="A1583" t="s">
        <v>1522</v>
      </c>
      <c r="B1583" t="s">
        <v>374</v>
      </c>
      <c r="C1583" t="s">
        <v>375</v>
      </c>
      <c r="D1583" t="str">
        <f>HYPERLINK("http://service.sap.com/sap/support/notes/1635629","1635629")</f>
        <v>1635629</v>
      </c>
      <c r="E1583">
        <v>2</v>
      </c>
      <c r="F1583" t="s">
        <v>2410</v>
      </c>
    </row>
    <row r="1584" spans="1:6" x14ac:dyDescent="0.25">
      <c r="A1584" t="s">
        <v>1522</v>
      </c>
      <c r="B1584" t="s">
        <v>374</v>
      </c>
      <c r="C1584" t="s">
        <v>375</v>
      </c>
      <c r="D1584" t="str">
        <f>HYPERLINK("http://service.sap.com/sap/support/notes/1636111","1636111")</f>
        <v>1636111</v>
      </c>
      <c r="E1584">
        <v>3</v>
      </c>
      <c r="F1584" t="s">
        <v>2411</v>
      </c>
    </row>
    <row r="1585" spans="1:6" x14ac:dyDescent="0.25">
      <c r="A1585" t="s">
        <v>1522</v>
      </c>
      <c r="B1585" t="s">
        <v>374</v>
      </c>
      <c r="C1585" t="s">
        <v>375</v>
      </c>
      <c r="D1585" t="str">
        <f>HYPERLINK("http://service.sap.com/sap/support/notes/1637024","1637024")</f>
        <v>1637024</v>
      </c>
      <c r="E1585">
        <v>1</v>
      </c>
      <c r="F1585" t="s">
        <v>2412</v>
      </c>
    </row>
    <row r="1586" spans="1:6" x14ac:dyDescent="0.25">
      <c r="A1586" t="s">
        <v>1522</v>
      </c>
      <c r="B1586" t="s">
        <v>374</v>
      </c>
      <c r="C1586" t="s">
        <v>375</v>
      </c>
      <c r="D1586" t="str">
        <f>HYPERLINK("http://service.sap.com/sap/support/notes/1637976","1637976")</f>
        <v>1637976</v>
      </c>
      <c r="E1586">
        <v>4</v>
      </c>
      <c r="F1586" t="s">
        <v>2413</v>
      </c>
    </row>
    <row r="1587" spans="1:6" x14ac:dyDescent="0.25">
      <c r="A1587" t="s">
        <v>1522</v>
      </c>
      <c r="B1587" t="s">
        <v>374</v>
      </c>
      <c r="C1587" t="s">
        <v>375</v>
      </c>
      <c r="D1587" t="str">
        <f>HYPERLINK("http://service.sap.com/sap/support/notes/1640423","1640423")</f>
        <v>1640423</v>
      </c>
      <c r="E1587">
        <v>3</v>
      </c>
      <c r="F1587" t="s">
        <v>2414</v>
      </c>
    </row>
    <row r="1588" spans="1:6" x14ac:dyDescent="0.25">
      <c r="A1588" t="s">
        <v>1522</v>
      </c>
      <c r="B1588" t="s">
        <v>374</v>
      </c>
      <c r="C1588" t="s">
        <v>375</v>
      </c>
      <c r="D1588" t="str">
        <f>HYPERLINK("http://service.sap.com/sap/support/notes/1640921","1640921")</f>
        <v>1640921</v>
      </c>
      <c r="E1588">
        <v>1</v>
      </c>
      <c r="F1588" t="s">
        <v>2415</v>
      </c>
    </row>
    <row r="1589" spans="1:6" x14ac:dyDescent="0.25">
      <c r="A1589" t="s">
        <v>1522</v>
      </c>
      <c r="B1589" t="s">
        <v>374</v>
      </c>
      <c r="C1589" t="s">
        <v>375</v>
      </c>
      <c r="D1589" t="str">
        <f>HYPERLINK("http://service.sap.com/sap/support/notes/1640947","1640947")</f>
        <v>1640947</v>
      </c>
      <c r="E1589">
        <v>2</v>
      </c>
      <c r="F1589" t="s">
        <v>2416</v>
      </c>
    </row>
    <row r="1590" spans="1:6" x14ac:dyDescent="0.25">
      <c r="A1590" t="s">
        <v>1522</v>
      </c>
      <c r="B1590" t="s">
        <v>374</v>
      </c>
      <c r="C1590" t="s">
        <v>375</v>
      </c>
      <c r="D1590" t="str">
        <f>HYPERLINK("http://service.sap.com/sap/support/notes/1646531","1646531")</f>
        <v>1646531</v>
      </c>
      <c r="E1590">
        <v>1</v>
      </c>
      <c r="F1590" t="s">
        <v>2417</v>
      </c>
    </row>
    <row r="1591" spans="1:6" x14ac:dyDescent="0.25">
      <c r="A1591" t="s">
        <v>1522</v>
      </c>
      <c r="B1591" t="s">
        <v>374</v>
      </c>
      <c r="C1591" t="s">
        <v>375</v>
      </c>
      <c r="D1591" t="str">
        <f>HYPERLINK("http://service.sap.com/sap/support/notes/1646654","1646654")</f>
        <v>1646654</v>
      </c>
      <c r="E1591">
        <v>1</v>
      </c>
      <c r="F1591" t="s">
        <v>2418</v>
      </c>
    </row>
    <row r="1592" spans="1:6" x14ac:dyDescent="0.25">
      <c r="A1592" t="s">
        <v>1522</v>
      </c>
      <c r="B1592" t="s">
        <v>374</v>
      </c>
      <c r="C1592" t="s">
        <v>375</v>
      </c>
      <c r="D1592" t="str">
        <f>HYPERLINK("http://service.sap.com/sap/support/notes/1648126","1648126")</f>
        <v>1648126</v>
      </c>
      <c r="E1592">
        <v>1</v>
      </c>
      <c r="F1592" t="s">
        <v>2419</v>
      </c>
    </row>
    <row r="1593" spans="1:6" x14ac:dyDescent="0.25">
      <c r="A1593" t="s">
        <v>1522</v>
      </c>
      <c r="B1593" t="s">
        <v>374</v>
      </c>
      <c r="C1593" t="s">
        <v>375</v>
      </c>
      <c r="D1593" t="str">
        <f>HYPERLINK("http://service.sap.com/sap/support/notes/1649140","1649140")</f>
        <v>1649140</v>
      </c>
      <c r="E1593">
        <v>2</v>
      </c>
      <c r="F1593" t="s">
        <v>2420</v>
      </c>
    </row>
    <row r="1594" spans="1:6" x14ac:dyDescent="0.25">
      <c r="A1594" t="s">
        <v>1522</v>
      </c>
      <c r="B1594" t="s">
        <v>374</v>
      </c>
      <c r="C1594" t="s">
        <v>375</v>
      </c>
      <c r="D1594" t="str">
        <f>HYPERLINK("http://service.sap.com/sap/support/notes/1651925","1651925")</f>
        <v>1651925</v>
      </c>
      <c r="E1594">
        <v>1</v>
      </c>
      <c r="F1594" t="s">
        <v>2421</v>
      </c>
    </row>
    <row r="1595" spans="1:6" x14ac:dyDescent="0.25">
      <c r="A1595" t="s">
        <v>1522</v>
      </c>
      <c r="B1595" t="s">
        <v>374</v>
      </c>
      <c r="C1595" t="s">
        <v>375</v>
      </c>
      <c r="D1595" t="str">
        <f>HYPERLINK("http://service.sap.com/sap/support/notes/1652379","1652379")</f>
        <v>1652379</v>
      </c>
      <c r="E1595">
        <v>2</v>
      </c>
      <c r="F1595" t="s">
        <v>2422</v>
      </c>
    </row>
    <row r="1596" spans="1:6" x14ac:dyDescent="0.25">
      <c r="A1596" t="s">
        <v>1522</v>
      </c>
      <c r="B1596" t="s">
        <v>374</v>
      </c>
      <c r="C1596" t="s">
        <v>375</v>
      </c>
      <c r="D1596" t="str">
        <f>HYPERLINK("http://service.sap.com/sap/support/notes/1652893","1652893")</f>
        <v>1652893</v>
      </c>
      <c r="E1596">
        <v>2</v>
      </c>
      <c r="F1596" t="s">
        <v>2423</v>
      </c>
    </row>
    <row r="1597" spans="1:6" x14ac:dyDescent="0.25">
      <c r="A1597" t="s">
        <v>1522</v>
      </c>
      <c r="B1597" t="s">
        <v>374</v>
      </c>
      <c r="C1597" t="s">
        <v>375</v>
      </c>
      <c r="D1597" t="str">
        <f>HYPERLINK("http://service.sap.com/sap/support/notes/1653920","1653920")</f>
        <v>1653920</v>
      </c>
      <c r="E1597">
        <v>1</v>
      </c>
      <c r="F1597" t="s">
        <v>2424</v>
      </c>
    </row>
    <row r="1598" spans="1:6" x14ac:dyDescent="0.25">
      <c r="A1598" t="s">
        <v>1522</v>
      </c>
      <c r="B1598" t="s">
        <v>374</v>
      </c>
      <c r="C1598" t="s">
        <v>375</v>
      </c>
      <c r="D1598" t="str">
        <f>HYPERLINK("http://service.sap.com/sap/support/notes/1653995","1653995")</f>
        <v>1653995</v>
      </c>
      <c r="E1598">
        <v>1</v>
      </c>
      <c r="F1598" t="s">
        <v>2425</v>
      </c>
    </row>
    <row r="1599" spans="1:6" x14ac:dyDescent="0.25">
      <c r="A1599" t="s">
        <v>1522</v>
      </c>
      <c r="B1599" t="s">
        <v>374</v>
      </c>
      <c r="C1599" t="s">
        <v>375</v>
      </c>
      <c r="D1599" t="str">
        <f>HYPERLINK("http://service.sap.com/sap/support/notes/1661844","1661844")</f>
        <v>1661844</v>
      </c>
      <c r="E1599">
        <v>1</v>
      </c>
      <c r="F1599" t="s">
        <v>2426</v>
      </c>
    </row>
    <row r="1600" spans="1:6" x14ac:dyDescent="0.25">
      <c r="A1600" t="s">
        <v>1522</v>
      </c>
      <c r="B1600" t="s">
        <v>374</v>
      </c>
      <c r="C1600" t="s">
        <v>375</v>
      </c>
      <c r="D1600" t="str">
        <f>HYPERLINK("http://service.sap.com/sap/support/notes/1662006","1662006")</f>
        <v>1662006</v>
      </c>
      <c r="E1600">
        <v>1</v>
      </c>
      <c r="F1600" t="s">
        <v>2427</v>
      </c>
    </row>
    <row r="1601" spans="1:6" x14ac:dyDescent="0.25">
      <c r="A1601" t="s">
        <v>1522</v>
      </c>
      <c r="B1601" t="s">
        <v>374</v>
      </c>
      <c r="C1601" t="s">
        <v>375</v>
      </c>
      <c r="D1601" t="str">
        <f>HYPERLINK("http://service.sap.com/sap/support/notes/1664686","1664686")</f>
        <v>1664686</v>
      </c>
      <c r="E1601">
        <v>1</v>
      </c>
      <c r="F1601" t="s">
        <v>2428</v>
      </c>
    </row>
    <row r="1602" spans="1:6" x14ac:dyDescent="0.25">
      <c r="A1602" t="s">
        <v>1522</v>
      </c>
      <c r="B1602" t="s">
        <v>374</v>
      </c>
      <c r="C1602" t="s">
        <v>375</v>
      </c>
      <c r="D1602" t="str">
        <f>HYPERLINK("http://service.sap.com/sap/support/notes/1666151","1666151")</f>
        <v>1666151</v>
      </c>
      <c r="E1602">
        <v>2</v>
      </c>
      <c r="F1602" t="s">
        <v>2429</v>
      </c>
    </row>
    <row r="1603" spans="1:6" x14ac:dyDescent="0.25">
      <c r="A1603" t="s">
        <v>1522</v>
      </c>
      <c r="B1603" t="s">
        <v>374</v>
      </c>
      <c r="C1603" t="s">
        <v>375</v>
      </c>
      <c r="D1603" t="str">
        <f>HYPERLINK("http://service.sap.com/sap/support/notes/1666723","1666723")</f>
        <v>1666723</v>
      </c>
      <c r="E1603">
        <v>1</v>
      </c>
      <c r="F1603" t="s">
        <v>2430</v>
      </c>
    </row>
    <row r="1604" spans="1:6" x14ac:dyDescent="0.25">
      <c r="A1604" t="s">
        <v>1522</v>
      </c>
      <c r="B1604" t="s">
        <v>374</v>
      </c>
      <c r="C1604" t="s">
        <v>375</v>
      </c>
      <c r="D1604" t="str">
        <f>HYPERLINK("http://service.sap.com/sap/support/notes/1668387","1668387")</f>
        <v>1668387</v>
      </c>
      <c r="E1604">
        <v>1</v>
      </c>
      <c r="F1604" t="s">
        <v>2431</v>
      </c>
    </row>
    <row r="1605" spans="1:6" x14ac:dyDescent="0.25">
      <c r="A1605" t="s">
        <v>1522</v>
      </c>
      <c r="B1605" t="s">
        <v>374</v>
      </c>
      <c r="C1605" t="s">
        <v>375</v>
      </c>
      <c r="D1605" t="str">
        <f>HYPERLINK("http://service.sap.com/sap/support/notes/1669754","1669754")</f>
        <v>1669754</v>
      </c>
      <c r="E1605">
        <v>2</v>
      </c>
      <c r="F1605" t="s">
        <v>2432</v>
      </c>
    </row>
    <row r="1606" spans="1:6" x14ac:dyDescent="0.25">
      <c r="A1606" t="s">
        <v>1522</v>
      </c>
      <c r="B1606" t="s">
        <v>2433</v>
      </c>
      <c r="C1606" t="s">
        <v>2434</v>
      </c>
      <c r="D1606" t="str">
        <f>HYPERLINK("http://service.sap.com/sap/support/notes/1613853","1613853")</f>
        <v>1613853</v>
      </c>
      <c r="E1606">
        <v>2</v>
      </c>
      <c r="F1606" t="s">
        <v>2435</v>
      </c>
    </row>
    <row r="1607" spans="1:6" x14ac:dyDescent="0.25">
      <c r="A1607" t="s">
        <v>1522</v>
      </c>
      <c r="B1607" t="s">
        <v>2433</v>
      </c>
      <c r="C1607" t="s">
        <v>2434</v>
      </c>
      <c r="D1607" t="str">
        <f>HYPERLINK("http://service.sap.com/sap/support/notes/1658866","1658866")</f>
        <v>1658866</v>
      </c>
      <c r="E1607">
        <v>1</v>
      </c>
      <c r="F1607" t="s">
        <v>2436</v>
      </c>
    </row>
    <row r="1608" spans="1:6" x14ac:dyDescent="0.25">
      <c r="A1608" t="s">
        <v>1522</v>
      </c>
      <c r="B1608" t="s">
        <v>388</v>
      </c>
      <c r="C1608" t="s">
        <v>389</v>
      </c>
      <c r="D1608" t="str">
        <f>HYPERLINK("http://service.sap.com/sap/support/notes/1628655","1628655")</f>
        <v>1628655</v>
      </c>
      <c r="E1608">
        <v>2</v>
      </c>
      <c r="F1608" t="s">
        <v>2437</v>
      </c>
    </row>
    <row r="1609" spans="1:6" x14ac:dyDescent="0.25">
      <c r="A1609" t="s">
        <v>1522</v>
      </c>
      <c r="B1609" t="s">
        <v>388</v>
      </c>
      <c r="C1609" t="s">
        <v>389</v>
      </c>
      <c r="D1609" t="str">
        <f>HYPERLINK("http://service.sap.com/sap/support/notes/1661114","1661114")</f>
        <v>1661114</v>
      </c>
      <c r="E1609">
        <v>2</v>
      </c>
      <c r="F1609" t="s">
        <v>2438</v>
      </c>
    </row>
    <row r="1610" spans="1:6" x14ac:dyDescent="0.25">
      <c r="A1610" t="s">
        <v>1522</v>
      </c>
      <c r="B1610" t="s">
        <v>2439</v>
      </c>
      <c r="C1610" t="s">
        <v>2440</v>
      </c>
      <c r="D1610" t="str">
        <f>HYPERLINK("http://service.sap.com/sap/support/notes/1624171","1624171")</f>
        <v>1624171</v>
      </c>
      <c r="E1610">
        <v>6</v>
      </c>
      <c r="F1610" t="s">
        <v>2441</v>
      </c>
    </row>
    <row r="1611" spans="1:6" x14ac:dyDescent="0.25">
      <c r="A1611" t="s">
        <v>1522</v>
      </c>
      <c r="B1611" t="s">
        <v>2442</v>
      </c>
      <c r="C1611" t="s">
        <v>505</v>
      </c>
      <c r="D1611" t="str">
        <f>HYPERLINK("http://service.sap.com/sap/support/notes/1618098","1618098")</f>
        <v>1618098</v>
      </c>
      <c r="E1611">
        <v>3</v>
      </c>
      <c r="F1611" t="s">
        <v>2443</v>
      </c>
    </row>
    <row r="1612" spans="1:6" x14ac:dyDescent="0.25">
      <c r="A1612" t="s">
        <v>1522</v>
      </c>
      <c r="B1612" t="s">
        <v>2442</v>
      </c>
      <c r="C1612" t="s">
        <v>505</v>
      </c>
      <c r="D1612" t="str">
        <f>HYPERLINK("http://service.sap.com/sap/support/notes/1628120","1628120")</f>
        <v>1628120</v>
      </c>
      <c r="E1612">
        <v>1</v>
      </c>
      <c r="F1612" t="s">
        <v>2444</v>
      </c>
    </row>
    <row r="1613" spans="1:6" x14ac:dyDescent="0.25">
      <c r="A1613" t="s">
        <v>1522</v>
      </c>
      <c r="B1613" t="s">
        <v>2442</v>
      </c>
      <c r="C1613" t="s">
        <v>505</v>
      </c>
      <c r="D1613" t="str">
        <f>HYPERLINK("http://service.sap.com/sap/support/notes/1633721","1633721")</f>
        <v>1633721</v>
      </c>
      <c r="E1613">
        <v>2</v>
      </c>
      <c r="F1613" t="s">
        <v>2445</v>
      </c>
    </row>
    <row r="1614" spans="1:6" x14ac:dyDescent="0.25">
      <c r="A1614" t="s">
        <v>1522</v>
      </c>
      <c r="B1614" t="s">
        <v>2442</v>
      </c>
      <c r="C1614" t="s">
        <v>505</v>
      </c>
      <c r="D1614" t="str">
        <f>HYPERLINK("http://service.sap.com/sap/support/notes/1640762","1640762")</f>
        <v>1640762</v>
      </c>
      <c r="E1614">
        <v>1</v>
      </c>
      <c r="F1614" t="s">
        <v>2446</v>
      </c>
    </row>
    <row r="1615" spans="1:6" x14ac:dyDescent="0.25">
      <c r="A1615" t="s">
        <v>1522</v>
      </c>
      <c r="B1615" t="s">
        <v>2442</v>
      </c>
      <c r="C1615" t="s">
        <v>505</v>
      </c>
      <c r="D1615" t="str">
        <f>HYPERLINK("http://service.sap.com/sap/support/notes/1642887","1642887")</f>
        <v>1642887</v>
      </c>
      <c r="E1615">
        <v>1</v>
      </c>
      <c r="F1615" t="s">
        <v>2447</v>
      </c>
    </row>
    <row r="1616" spans="1:6" x14ac:dyDescent="0.25">
      <c r="A1616" t="s">
        <v>1522</v>
      </c>
      <c r="B1616" t="s">
        <v>2442</v>
      </c>
      <c r="C1616" t="s">
        <v>505</v>
      </c>
      <c r="D1616" t="str">
        <f>HYPERLINK("http://service.sap.com/sap/support/notes/1648466","1648466")</f>
        <v>1648466</v>
      </c>
      <c r="E1616">
        <v>3</v>
      </c>
      <c r="F1616" t="s">
        <v>2448</v>
      </c>
    </row>
    <row r="1617" spans="1:6" x14ac:dyDescent="0.25">
      <c r="A1617" t="s">
        <v>1522</v>
      </c>
      <c r="B1617" t="s">
        <v>2449</v>
      </c>
      <c r="C1617" t="s">
        <v>425</v>
      </c>
      <c r="D1617" t="str">
        <f>HYPERLINK("http://service.sap.com/sap/support/notes/1634136","1634136")</f>
        <v>1634136</v>
      </c>
      <c r="E1617">
        <v>1</v>
      </c>
      <c r="F1617" t="s">
        <v>2450</v>
      </c>
    </row>
    <row r="1618" spans="1:6" x14ac:dyDescent="0.25">
      <c r="A1618" t="s">
        <v>1522</v>
      </c>
      <c r="B1618" t="s">
        <v>2451</v>
      </c>
      <c r="C1618" t="s">
        <v>2452</v>
      </c>
      <c r="D1618" t="str">
        <f>HYPERLINK("http://service.sap.com/sap/support/notes/1654189","1654189")</f>
        <v>1654189</v>
      </c>
      <c r="E1618">
        <v>1</v>
      </c>
      <c r="F1618" t="s">
        <v>2453</v>
      </c>
    </row>
    <row r="1619" spans="1:6" x14ac:dyDescent="0.25">
      <c r="A1619" t="s">
        <v>1522</v>
      </c>
      <c r="B1619" t="s">
        <v>393</v>
      </c>
      <c r="C1619" t="s">
        <v>394</v>
      </c>
      <c r="D1619" t="str">
        <f>HYPERLINK("http://service.sap.com/sap/support/notes/1630524","1630524")</f>
        <v>1630524</v>
      </c>
      <c r="E1619">
        <v>1</v>
      </c>
      <c r="F1619" t="s">
        <v>2454</v>
      </c>
    </row>
    <row r="1620" spans="1:6" x14ac:dyDescent="0.25">
      <c r="A1620" t="s">
        <v>1522</v>
      </c>
      <c r="B1620" t="s">
        <v>393</v>
      </c>
      <c r="C1620" t="s">
        <v>394</v>
      </c>
      <c r="D1620" t="str">
        <f>HYPERLINK("http://service.sap.com/sap/support/notes/1639846","1639846")</f>
        <v>1639846</v>
      </c>
      <c r="E1620">
        <v>1</v>
      </c>
      <c r="F1620" t="s">
        <v>2455</v>
      </c>
    </row>
    <row r="1621" spans="1:6" x14ac:dyDescent="0.25">
      <c r="A1621" t="s">
        <v>1522</v>
      </c>
      <c r="B1621" t="s">
        <v>393</v>
      </c>
      <c r="C1621" t="s">
        <v>394</v>
      </c>
      <c r="D1621" t="str">
        <f>HYPERLINK("http://service.sap.com/sap/support/notes/1646261","1646261")</f>
        <v>1646261</v>
      </c>
      <c r="E1621">
        <v>1</v>
      </c>
      <c r="F1621" t="s">
        <v>2456</v>
      </c>
    </row>
    <row r="1622" spans="1:6" x14ac:dyDescent="0.25">
      <c r="A1622" t="s">
        <v>1522</v>
      </c>
      <c r="B1622" t="s">
        <v>393</v>
      </c>
      <c r="C1622" t="s">
        <v>394</v>
      </c>
      <c r="D1622" t="str">
        <f>HYPERLINK("http://service.sap.com/sap/support/notes/1646319","1646319")</f>
        <v>1646319</v>
      </c>
      <c r="E1622">
        <v>8</v>
      </c>
      <c r="F1622" t="s">
        <v>2457</v>
      </c>
    </row>
    <row r="1623" spans="1:6" x14ac:dyDescent="0.25">
      <c r="A1623" t="s">
        <v>1522</v>
      </c>
      <c r="B1623" t="s">
        <v>393</v>
      </c>
      <c r="C1623" t="s">
        <v>394</v>
      </c>
      <c r="D1623" t="str">
        <f>HYPERLINK("http://service.sap.com/sap/support/notes/1648975","1648975")</f>
        <v>1648975</v>
      </c>
      <c r="E1623">
        <v>2</v>
      </c>
      <c r="F1623" t="s">
        <v>2458</v>
      </c>
    </row>
    <row r="1624" spans="1:6" x14ac:dyDescent="0.25">
      <c r="A1624" t="s">
        <v>1522</v>
      </c>
      <c r="B1624" t="s">
        <v>393</v>
      </c>
      <c r="C1624" t="s">
        <v>394</v>
      </c>
      <c r="D1624" t="str">
        <f>HYPERLINK("http://service.sap.com/sap/support/notes/1651648","1651648")</f>
        <v>1651648</v>
      </c>
      <c r="E1624">
        <v>1</v>
      </c>
      <c r="F1624" t="s">
        <v>2459</v>
      </c>
    </row>
    <row r="1625" spans="1:6" x14ac:dyDescent="0.25">
      <c r="A1625" t="s">
        <v>1522</v>
      </c>
      <c r="B1625" t="s">
        <v>393</v>
      </c>
      <c r="C1625" t="s">
        <v>394</v>
      </c>
      <c r="D1625" t="str">
        <f>HYPERLINK("http://service.sap.com/sap/support/notes/1652257","1652257")</f>
        <v>1652257</v>
      </c>
      <c r="E1625">
        <v>1</v>
      </c>
      <c r="F1625" t="s">
        <v>2460</v>
      </c>
    </row>
    <row r="1626" spans="1:6" x14ac:dyDescent="0.25">
      <c r="A1626" t="s">
        <v>1522</v>
      </c>
      <c r="B1626" t="s">
        <v>393</v>
      </c>
      <c r="C1626" t="s">
        <v>394</v>
      </c>
      <c r="D1626" t="str">
        <f>HYPERLINK("http://service.sap.com/sap/support/notes/1660734","1660734")</f>
        <v>1660734</v>
      </c>
      <c r="E1626">
        <v>2</v>
      </c>
      <c r="F1626" t="s">
        <v>2461</v>
      </c>
    </row>
    <row r="1627" spans="1:6" x14ac:dyDescent="0.25">
      <c r="A1627" t="s">
        <v>1522</v>
      </c>
      <c r="B1627" t="s">
        <v>393</v>
      </c>
      <c r="C1627" t="s">
        <v>394</v>
      </c>
      <c r="D1627" t="str">
        <f>HYPERLINK("http://service.sap.com/sap/support/notes/1663696","1663696")</f>
        <v>1663696</v>
      </c>
      <c r="E1627">
        <v>1</v>
      </c>
      <c r="F1627" t="s">
        <v>2462</v>
      </c>
    </row>
    <row r="1628" spans="1:6" x14ac:dyDescent="0.25">
      <c r="A1628" t="s">
        <v>1522</v>
      </c>
      <c r="B1628" t="s">
        <v>393</v>
      </c>
      <c r="C1628" t="s">
        <v>394</v>
      </c>
      <c r="D1628" t="str">
        <f>HYPERLINK("http://service.sap.com/sap/support/notes/1670778","1670778")</f>
        <v>1670778</v>
      </c>
      <c r="E1628">
        <v>1</v>
      </c>
      <c r="F1628" t="s">
        <v>2463</v>
      </c>
    </row>
    <row r="1629" spans="1:6" x14ac:dyDescent="0.25">
      <c r="A1629" t="s">
        <v>1522</v>
      </c>
      <c r="B1629" t="s">
        <v>2464</v>
      </c>
      <c r="C1629" t="s">
        <v>2465</v>
      </c>
      <c r="D1629" t="str">
        <f>HYPERLINK("http://service.sap.com/sap/support/notes/1669778","1669778")</f>
        <v>1669778</v>
      </c>
      <c r="E1629">
        <v>1</v>
      </c>
      <c r="F1629" t="s">
        <v>2466</v>
      </c>
    </row>
    <row r="1630" spans="1:6" x14ac:dyDescent="0.25">
      <c r="A1630" t="s">
        <v>1522</v>
      </c>
      <c r="B1630" t="s">
        <v>399</v>
      </c>
      <c r="C1630" t="s">
        <v>14</v>
      </c>
      <c r="D1630" t="str">
        <f>HYPERLINK("http://service.sap.com/sap/support/notes/1274545","1274545")</f>
        <v>1274545</v>
      </c>
      <c r="E1630">
        <v>5</v>
      </c>
      <c r="F1630" t="s">
        <v>2467</v>
      </c>
    </row>
    <row r="1631" spans="1:6" x14ac:dyDescent="0.25">
      <c r="A1631" t="s">
        <v>1522</v>
      </c>
      <c r="B1631" t="s">
        <v>399</v>
      </c>
      <c r="C1631" t="s">
        <v>14</v>
      </c>
      <c r="D1631" t="str">
        <f>HYPERLINK("http://service.sap.com/sap/support/notes/1570733","1570733")</f>
        <v>1570733</v>
      </c>
      <c r="E1631">
        <v>4</v>
      </c>
      <c r="F1631" t="s">
        <v>2468</v>
      </c>
    </row>
    <row r="1632" spans="1:6" x14ac:dyDescent="0.25">
      <c r="A1632" t="s">
        <v>1522</v>
      </c>
      <c r="B1632" t="s">
        <v>399</v>
      </c>
      <c r="C1632" t="s">
        <v>14</v>
      </c>
      <c r="D1632" t="str">
        <f>HYPERLINK("http://service.sap.com/sap/support/notes/1620081","1620081")</f>
        <v>1620081</v>
      </c>
      <c r="E1632">
        <v>3</v>
      </c>
      <c r="F1632" t="s">
        <v>2469</v>
      </c>
    </row>
    <row r="1633" spans="1:6" x14ac:dyDescent="0.25">
      <c r="A1633" t="s">
        <v>1522</v>
      </c>
      <c r="B1633" t="s">
        <v>399</v>
      </c>
      <c r="C1633" t="s">
        <v>14</v>
      </c>
      <c r="D1633" t="str">
        <f>HYPERLINK("http://service.sap.com/sap/support/notes/1622230","1622230")</f>
        <v>1622230</v>
      </c>
      <c r="E1633">
        <v>1</v>
      </c>
      <c r="F1633" t="s">
        <v>2470</v>
      </c>
    </row>
    <row r="1634" spans="1:6" x14ac:dyDescent="0.25">
      <c r="A1634" t="s">
        <v>1522</v>
      </c>
      <c r="B1634" t="s">
        <v>399</v>
      </c>
      <c r="C1634" t="s">
        <v>14</v>
      </c>
      <c r="D1634" t="str">
        <f>HYPERLINK("http://service.sap.com/sap/support/notes/1622357","1622357")</f>
        <v>1622357</v>
      </c>
      <c r="E1634">
        <v>1</v>
      </c>
      <c r="F1634" t="s">
        <v>2471</v>
      </c>
    </row>
    <row r="1635" spans="1:6" x14ac:dyDescent="0.25">
      <c r="A1635" t="s">
        <v>1522</v>
      </c>
      <c r="B1635" t="s">
        <v>399</v>
      </c>
      <c r="C1635" t="s">
        <v>14</v>
      </c>
      <c r="D1635" t="str">
        <f>HYPERLINK("http://service.sap.com/sap/support/notes/1627508","1627508")</f>
        <v>1627508</v>
      </c>
      <c r="E1635">
        <v>1</v>
      </c>
      <c r="F1635" t="s">
        <v>2472</v>
      </c>
    </row>
    <row r="1636" spans="1:6" x14ac:dyDescent="0.25">
      <c r="A1636" t="s">
        <v>1522</v>
      </c>
      <c r="B1636" t="s">
        <v>399</v>
      </c>
      <c r="C1636" t="s">
        <v>14</v>
      </c>
      <c r="D1636" t="str">
        <f>HYPERLINK("http://service.sap.com/sap/support/notes/1644382","1644382")</f>
        <v>1644382</v>
      </c>
      <c r="E1636">
        <v>2</v>
      </c>
      <c r="F1636" t="s">
        <v>2473</v>
      </c>
    </row>
    <row r="1637" spans="1:6" x14ac:dyDescent="0.25">
      <c r="A1637" t="s">
        <v>1522</v>
      </c>
      <c r="B1637" t="s">
        <v>2474</v>
      </c>
      <c r="C1637" t="s">
        <v>2475</v>
      </c>
      <c r="D1637" t="str">
        <f>HYPERLINK("http://service.sap.com/sap/support/notes/1351584","1351584")</f>
        <v>1351584</v>
      </c>
      <c r="E1637">
        <v>3</v>
      </c>
      <c r="F1637" t="s">
        <v>2476</v>
      </c>
    </row>
    <row r="1638" spans="1:6" x14ac:dyDescent="0.25">
      <c r="A1638" t="s">
        <v>1522</v>
      </c>
      <c r="B1638" t="s">
        <v>2474</v>
      </c>
      <c r="C1638" t="s">
        <v>2475</v>
      </c>
      <c r="D1638" t="str">
        <f>HYPERLINK("http://service.sap.com/sap/support/notes/1555878","1555878")</f>
        <v>1555878</v>
      </c>
      <c r="E1638">
        <v>2</v>
      </c>
      <c r="F1638" t="s">
        <v>2477</v>
      </c>
    </row>
    <row r="1639" spans="1:6" x14ac:dyDescent="0.25">
      <c r="A1639" t="s">
        <v>1522</v>
      </c>
      <c r="B1639" t="s">
        <v>2474</v>
      </c>
      <c r="C1639" t="s">
        <v>2475</v>
      </c>
      <c r="D1639" t="str">
        <f>HYPERLINK("http://service.sap.com/sap/support/notes/1601689","1601689")</f>
        <v>1601689</v>
      </c>
      <c r="E1639">
        <v>2</v>
      </c>
      <c r="F1639" t="s">
        <v>2478</v>
      </c>
    </row>
    <row r="1640" spans="1:6" x14ac:dyDescent="0.25">
      <c r="A1640" t="s">
        <v>1522</v>
      </c>
      <c r="B1640" t="s">
        <v>2474</v>
      </c>
      <c r="C1640" t="s">
        <v>2475</v>
      </c>
      <c r="D1640" t="str">
        <f>HYPERLINK("http://service.sap.com/sap/support/notes/1625965","1625965")</f>
        <v>1625965</v>
      </c>
      <c r="E1640">
        <v>2</v>
      </c>
      <c r="F1640" t="s">
        <v>2479</v>
      </c>
    </row>
    <row r="1641" spans="1:6" x14ac:dyDescent="0.25">
      <c r="A1641" t="s">
        <v>1522</v>
      </c>
      <c r="B1641" t="s">
        <v>2474</v>
      </c>
      <c r="C1641" t="s">
        <v>2475</v>
      </c>
      <c r="D1641" t="str">
        <f>HYPERLINK("http://service.sap.com/sap/support/notes/1628011","1628011")</f>
        <v>1628011</v>
      </c>
      <c r="E1641">
        <v>1</v>
      </c>
      <c r="F1641" t="s">
        <v>2480</v>
      </c>
    </row>
    <row r="1642" spans="1:6" x14ac:dyDescent="0.25">
      <c r="A1642" t="s">
        <v>1522</v>
      </c>
      <c r="B1642" t="s">
        <v>2474</v>
      </c>
      <c r="C1642" t="s">
        <v>2475</v>
      </c>
      <c r="D1642" t="str">
        <f>HYPERLINK("http://service.sap.com/sap/support/notes/1644551","1644551")</f>
        <v>1644551</v>
      </c>
      <c r="E1642">
        <v>2</v>
      </c>
      <c r="F1642" t="s">
        <v>2481</v>
      </c>
    </row>
    <row r="1643" spans="1:6" x14ac:dyDescent="0.25">
      <c r="A1643" t="s">
        <v>1522</v>
      </c>
      <c r="B1643" t="s">
        <v>2474</v>
      </c>
      <c r="C1643" t="s">
        <v>2475</v>
      </c>
      <c r="D1643" t="str">
        <f>HYPERLINK("http://service.sap.com/sap/support/notes/1655854","1655854")</f>
        <v>1655854</v>
      </c>
      <c r="E1643">
        <v>1</v>
      </c>
      <c r="F1643" t="s">
        <v>2482</v>
      </c>
    </row>
    <row r="1644" spans="1:6" x14ac:dyDescent="0.25">
      <c r="A1644" t="s">
        <v>1522</v>
      </c>
      <c r="B1644" t="s">
        <v>403</v>
      </c>
      <c r="C1644" t="s">
        <v>404</v>
      </c>
      <c r="D1644" t="str">
        <f>HYPERLINK("http://service.sap.com/sap/support/notes/1528860","1528860")</f>
        <v>1528860</v>
      </c>
      <c r="E1644">
        <v>3</v>
      </c>
      <c r="F1644" t="s">
        <v>2483</v>
      </c>
    </row>
    <row r="1645" spans="1:6" x14ac:dyDescent="0.25">
      <c r="A1645" t="s">
        <v>1522</v>
      </c>
      <c r="B1645" t="s">
        <v>403</v>
      </c>
      <c r="C1645" t="s">
        <v>404</v>
      </c>
      <c r="D1645" t="str">
        <f>HYPERLINK("http://service.sap.com/sap/support/notes/1606836","1606836")</f>
        <v>1606836</v>
      </c>
      <c r="E1645">
        <v>2</v>
      </c>
      <c r="F1645" t="s">
        <v>2484</v>
      </c>
    </row>
    <row r="1646" spans="1:6" x14ac:dyDescent="0.25">
      <c r="A1646" t="s">
        <v>1522</v>
      </c>
      <c r="B1646" t="s">
        <v>403</v>
      </c>
      <c r="C1646" t="s">
        <v>404</v>
      </c>
      <c r="D1646" t="str">
        <f>HYPERLINK("http://service.sap.com/sap/support/notes/1608599","1608599")</f>
        <v>1608599</v>
      </c>
      <c r="E1646">
        <v>3</v>
      </c>
      <c r="F1646" t="s">
        <v>2485</v>
      </c>
    </row>
    <row r="1647" spans="1:6" x14ac:dyDescent="0.25">
      <c r="A1647" t="s">
        <v>1522</v>
      </c>
      <c r="B1647" t="s">
        <v>403</v>
      </c>
      <c r="C1647" t="s">
        <v>404</v>
      </c>
      <c r="D1647" t="str">
        <f>HYPERLINK("http://service.sap.com/sap/support/notes/1615724","1615724")</f>
        <v>1615724</v>
      </c>
      <c r="E1647">
        <v>2</v>
      </c>
      <c r="F1647" t="s">
        <v>2486</v>
      </c>
    </row>
    <row r="1648" spans="1:6" x14ac:dyDescent="0.25">
      <c r="A1648" t="s">
        <v>1522</v>
      </c>
      <c r="B1648" t="s">
        <v>403</v>
      </c>
      <c r="C1648" t="s">
        <v>404</v>
      </c>
      <c r="D1648" t="str">
        <f>HYPERLINK("http://service.sap.com/sap/support/notes/1616984","1616984")</f>
        <v>1616984</v>
      </c>
      <c r="E1648">
        <v>2</v>
      </c>
      <c r="F1648" t="s">
        <v>2487</v>
      </c>
    </row>
    <row r="1649" spans="1:6" x14ac:dyDescent="0.25">
      <c r="A1649" t="s">
        <v>1522</v>
      </c>
      <c r="B1649" t="s">
        <v>403</v>
      </c>
      <c r="C1649" t="s">
        <v>404</v>
      </c>
      <c r="D1649" t="str">
        <f>HYPERLINK("http://service.sap.com/sap/support/notes/1617430","1617430")</f>
        <v>1617430</v>
      </c>
      <c r="E1649">
        <v>3</v>
      </c>
      <c r="F1649" t="s">
        <v>2488</v>
      </c>
    </row>
    <row r="1650" spans="1:6" x14ac:dyDescent="0.25">
      <c r="A1650" t="s">
        <v>1522</v>
      </c>
      <c r="B1650" t="s">
        <v>403</v>
      </c>
      <c r="C1650" t="s">
        <v>404</v>
      </c>
      <c r="D1650" t="str">
        <f>HYPERLINK("http://service.sap.com/sap/support/notes/1630991","1630991")</f>
        <v>1630991</v>
      </c>
      <c r="E1650">
        <v>2</v>
      </c>
      <c r="F1650" t="s">
        <v>2489</v>
      </c>
    </row>
    <row r="1651" spans="1:6" x14ac:dyDescent="0.25">
      <c r="A1651" t="s">
        <v>1522</v>
      </c>
      <c r="B1651" t="s">
        <v>403</v>
      </c>
      <c r="C1651" t="s">
        <v>404</v>
      </c>
      <c r="D1651" t="str">
        <f>HYPERLINK("http://service.sap.com/sap/support/notes/1636515","1636515")</f>
        <v>1636515</v>
      </c>
      <c r="E1651">
        <v>1</v>
      </c>
      <c r="F1651" t="s">
        <v>2490</v>
      </c>
    </row>
    <row r="1652" spans="1:6" x14ac:dyDescent="0.25">
      <c r="A1652" t="s">
        <v>1522</v>
      </c>
      <c r="B1652" t="s">
        <v>403</v>
      </c>
      <c r="C1652" t="s">
        <v>404</v>
      </c>
      <c r="D1652" t="str">
        <f>HYPERLINK("http://service.sap.com/sap/support/notes/1644046","1644046")</f>
        <v>1644046</v>
      </c>
      <c r="E1652">
        <v>1</v>
      </c>
      <c r="F1652" t="s">
        <v>2491</v>
      </c>
    </row>
    <row r="1653" spans="1:6" x14ac:dyDescent="0.25">
      <c r="A1653" t="s">
        <v>1522</v>
      </c>
      <c r="B1653" t="s">
        <v>403</v>
      </c>
      <c r="C1653" t="s">
        <v>404</v>
      </c>
      <c r="D1653" t="str">
        <f>HYPERLINK("http://service.sap.com/sap/support/notes/1646556","1646556")</f>
        <v>1646556</v>
      </c>
      <c r="E1653">
        <v>3</v>
      </c>
      <c r="F1653" t="s">
        <v>2492</v>
      </c>
    </row>
    <row r="1654" spans="1:6" x14ac:dyDescent="0.25">
      <c r="A1654" t="s">
        <v>1522</v>
      </c>
      <c r="B1654" t="s">
        <v>403</v>
      </c>
      <c r="C1654" t="s">
        <v>404</v>
      </c>
      <c r="D1654" t="str">
        <f>HYPERLINK("http://service.sap.com/sap/support/notes/1648688","1648688")</f>
        <v>1648688</v>
      </c>
      <c r="E1654">
        <v>1</v>
      </c>
      <c r="F1654" t="s">
        <v>2493</v>
      </c>
    </row>
    <row r="1655" spans="1:6" x14ac:dyDescent="0.25">
      <c r="A1655" t="s">
        <v>1522</v>
      </c>
      <c r="B1655" t="s">
        <v>403</v>
      </c>
      <c r="C1655" t="s">
        <v>404</v>
      </c>
      <c r="D1655" t="str">
        <f>HYPERLINK("http://service.sap.com/sap/support/notes/1651813","1651813")</f>
        <v>1651813</v>
      </c>
      <c r="E1655">
        <v>1</v>
      </c>
      <c r="F1655" t="s">
        <v>2494</v>
      </c>
    </row>
    <row r="1656" spans="1:6" x14ac:dyDescent="0.25">
      <c r="A1656" t="s">
        <v>1522</v>
      </c>
      <c r="B1656" t="s">
        <v>403</v>
      </c>
      <c r="C1656" t="s">
        <v>404</v>
      </c>
      <c r="D1656" t="str">
        <f>HYPERLINK("http://service.sap.com/sap/support/notes/1652894","1652894")</f>
        <v>1652894</v>
      </c>
      <c r="E1656">
        <v>4</v>
      </c>
      <c r="F1656" t="s">
        <v>2495</v>
      </c>
    </row>
    <row r="1657" spans="1:6" x14ac:dyDescent="0.25">
      <c r="A1657" t="s">
        <v>1522</v>
      </c>
      <c r="B1657" t="s">
        <v>403</v>
      </c>
      <c r="C1657" t="s">
        <v>404</v>
      </c>
      <c r="D1657" t="str">
        <f>HYPERLINK("http://service.sap.com/sap/support/notes/1659224","1659224")</f>
        <v>1659224</v>
      </c>
      <c r="E1657">
        <v>3</v>
      </c>
      <c r="F1657" t="s">
        <v>2496</v>
      </c>
    </row>
    <row r="1658" spans="1:6" x14ac:dyDescent="0.25">
      <c r="A1658" t="s">
        <v>1522</v>
      </c>
      <c r="B1658" t="s">
        <v>403</v>
      </c>
      <c r="C1658" t="s">
        <v>404</v>
      </c>
      <c r="D1658" t="str">
        <f>HYPERLINK("http://service.sap.com/sap/support/notes/1668985","1668985")</f>
        <v>1668985</v>
      </c>
      <c r="E1658">
        <v>1</v>
      </c>
      <c r="F1658" t="s">
        <v>2497</v>
      </c>
    </row>
    <row r="1659" spans="1:6" x14ac:dyDescent="0.25">
      <c r="A1659" t="s">
        <v>1522</v>
      </c>
      <c r="B1659" t="s">
        <v>408</v>
      </c>
      <c r="C1659" t="s">
        <v>409</v>
      </c>
      <c r="D1659" t="str">
        <f>HYPERLINK("http://service.sap.com/sap/support/notes/1628673","1628673")</f>
        <v>1628673</v>
      </c>
      <c r="E1659">
        <v>1</v>
      </c>
      <c r="F1659" t="s">
        <v>2498</v>
      </c>
    </row>
    <row r="1660" spans="1:6" x14ac:dyDescent="0.25">
      <c r="A1660" t="s">
        <v>1522</v>
      </c>
      <c r="B1660" t="s">
        <v>408</v>
      </c>
      <c r="C1660" t="s">
        <v>409</v>
      </c>
      <c r="D1660" t="str">
        <f>HYPERLINK("http://service.sap.com/sap/support/notes/1640177","1640177")</f>
        <v>1640177</v>
      </c>
      <c r="E1660">
        <v>1</v>
      </c>
      <c r="F1660" t="s">
        <v>2499</v>
      </c>
    </row>
    <row r="1661" spans="1:6" x14ac:dyDescent="0.25">
      <c r="A1661" t="s">
        <v>1522</v>
      </c>
      <c r="B1661" t="s">
        <v>408</v>
      </c>
      <c r="C1661" t="s">
        <v>409</v>
      </c>
      <c r="D1661" t="str">
        <f>HYPERLINK("http://service.sap.com/sap/support/notes/1650498","1650498")</f>
        <v>1650498</v>
      </c>
      <c r="E1661">
        <v>1</v>
      </c>
      <c r="F1661" t="s">
        <v>2500</v>
      </c>
    </row>
    <row r="1662" spans="1:6" x14ac:dyDescent="0.25">
      <c r="A1662" t="s">
        <v>1522</v>
      </c>
      <c r="B1662" t="s">
        <v>408</v>
      </c>
      <c r="C1662" t="s">
        <v>409</v>
      </c>
      <c r="D1662" t="str">
        <f>HYPERLINK("http://service.sap.com/sap/support/notes/1666555","1666555")</f>
        <v>1666555</v>
      </c>
      <c r="E1662">
        <v>3</v>
      </c>
      <c r="F1662" t="s">
        <v>2501</v>
      </c>
    </row>
    <row r="1663" spans="1:6" x14ac:dyDescent="0.25">
      <c r="A1663" t="s">
        <v>1522</v>
      </c>
      <c r="B1663" t="s">
        <v>408</v>
      </c>
      <c r="C1663" t="s">
        <v>409</v>
      </c>
      <c r="D1663" t="str">
        <f>HYPERLINK("http://service.sap.com/sap/support/notes/1666999","1666999")</f>
        <v>1666999</v>
      </c>
      <c r="E1663">
        <v>1</v>
      </c>
      <c r="F1663" t="s">
        <v>2502</v>
      </c>
    </row>
    <row r="1664" spans="1:6" x14ac:dyDescent="0.25">
      <c r="A1664" t="s">
        <v>1522</v>
      </c>
      <c r="B1664" t="s">
        <v>408</v>
      </c>
      <c r="C1664" t="s">
        <v>409</v>
      </c>
      <c r="D1664" t="str">
        <f>HYPERLINK("http://service.sap.com/sap/support/notes/1667262","1667262")</f>
        <v>1667262</v>
      </c>
      <c r="E1664">
        <v>3</v>
      </c>
      <c r="F1664" t="s">
        <v>2503</v>
      </c>
    </row>
    <row r="1665" spans="1:6" x14ac:dyDescent="0.25">
      <c r="A1665" t="s">
        <v>1522</v>
      </c>
      <c r="B1665" t="s">
        <v>408</v>
      </c>
      <c r="C1665" t="s">
        <v>409</v>
      </c>
      <c r="D1665" t="str">
        <f>HYPERLINK("http://service.sap.com/sap/support/notes/1668635","1668635")</f>
        <v>1668635</v>
      </c>
      <c r="E1665">
        <v>2</v>
      </c>
      <c r="F1665" t="s">
        <v>2504</v>
      </c>
    </row>
    <row r="1666" spans="1:6" x14ac:dyDescent="0.25">
      <c r="A1666" t="s">
        <v>1522</v>
      </c>
      <c r="B1666" t="s">
        <v>408</v>
      </c>
      <c r="C1666" t="s">
        <v>409</v>
      </c>
      <c r="D1666" t="str">
        <f>HYPERLINK("http://service.sap.com/sap/support/notes/1669788","1669788")</f>
        <v>1669788</v>
      </c>
      <c r="E1666">
        <v>3</v>
      </c>
      <c r="F1666" t="s">
        <v>2505</v>
      </c>
    </row>
    <row r="1667" spans="1:6" x14ac:dyDescent="0.25">
      <c r="A1667" t="s">
        <v>1522</v>
      </c>
      <c r="B1667" t="s">
        <v>411</v>
      </c>
      <c r="C1667" t="s">
        <v>412</v>
      </c>
    </row>
    <row r="1668" spans="1:6" x14ac:dyDescent="0.25">
      <c r="A1668" t="s">
        <v>1522</v>
      </c>
      <c r="B1668" t="s">
        <v>413</v>
      </c>
      <c r="C1668" t="s">
        <v>337</v>
      </c>
      <c r="D1668" t="str">
        <f>HYPERLINK("http://service.sap.com/sap/support/notes/1611602","1611602")</f>
        <v>1611602</v>
      </c>
      <c r="E1668">
        <v>4</v>
      </c>
      <c r="F1668" t="s">
        <v>2506</v>
      </c>
    </row>
    <row r="1669" spans="1:6" x14ac:dyDescent="0.25">
      <c r="A1669" t="s">
        <v>1522</v>
      </c>
      <c r="B1669" t="s">
        <v>413</v>
      </c>
      <c r="C1669" t="s">
        <v>337</v>
      </c>
      <c r="D1669" t="str">
        <f>HYPERLINK("http://service.sap.com/sap/support/notes/1664192","1664192")</f>
        <v>1664192</v>
      </c>
      <c r="E1669">
        <v>1</v>
      </c>
      <c r="F1669" t="s">
        <v>2507</v>
      </c>
    </row>
    <row r="1670" spans="1:6" x14ac:dyDescent="0.25">
      <c r="A1670" t="s">
        <v>1522</v>
      </c>
      <c r="B1670" t="s">
        <v>414</v>
      </c>
      <c r="C1670" t="s">
        <v>359</v>
      </c>
      <c r="D1670" t="str">
        <f>HYPERLINK("http://service.sap.com/sap/support/notes/1607984","1607984")</f>
        <v>1607984</v>
      </c>
      <c r="E1670">
        <v>7</v>
      </c>
      <c r="F1670" t="s">
        <v>2508</v>
      </c>
    </row>
    <row r="1671" spans="1:6" x14ac:dyDescent="0.25">
      <c r="A1671" t="s">
        <v>1522</v>
      </c>
      <c r="B1671" t="s">
        <v>414</v>
      </c>
      <c r="C1671" t="s">
        <v>359</v>
      </c>
      <c r="D1671" t="str">
        <f>HYPERLINK("http://service.sap.com/sap/support/notes/1627183","1627183")</f>
        <v>1627183</v>
      </c>
      <c r="E1671">
        <v>1</v>
      </c>
      <c r="F1671" t="s">
        <v>2509</v>
      </c>
    </row>
    <row r="1672" spans="1:6" x14ac:dyDescent="0.25">
      <c r="A1672" t="s">
        <v>1522</v>
      </c>
      <c r="B1672" t="s">
        <v>414</v>
      </c>
      <c r="C1672" t="s">
        <v>359</v>
      </c>
      <c r="D1672" t="str">
        <f>HYPERLINK("http://service.sap.com/sap/support/notes/1630578","1630578")</f>
        <v>1630578</v>
      </c>
      <c r="E1672">
        <v>1</v>
      </c>
      <c r="F1672" t="s">
        <v>2510</v>
      </c>
    </row>
    <row r="1673" spans="1:6" x14ac:dyDescent="0.25">
      <c r="A1673" t="s">
        <v>1522</v>
      </c>
      <c r="B1673" t="s">
        <v>414</v>
      </c>
      <c r="C1673" t="s">
        <v>359</v>
      </c>
      <c r="D1673" t="str">
        <f>HYPERLINK("http://service.sap.com/sap/support/notes/1637680","1637680")</f>
        <v>1637680</v>
      </c>
      <c r="E1673">
        <v>1</v>
      </c>
      <c r="F1673" t="s">
        <v>2511</v>
      </c>
    </row>
    <row r="1674" spans="1:6" x14ac:dyDescent="0.25">
      <c r="A1674" t="s">
        <v>1522</v>
      </c>
      <c r="B1674" t="s">
        <v>414</v>
      </c>
      <c r="C1674" t="s">
        <v>359</v>
      </c>
      <c r="D1674" t="str">
        <f>HYPERLINK("http://service.sap.com/sap/support/notes/1638238","1638238")</f>
        <v>1638238</v>
      </c>
      <c r="E1674">
        <v>1</v>
      </c>
      <c r="F1674" t="s">
        <v>2512</v>
      </c>
    </row>
    <row r="1675" spans="1:6" x14ac:dyDescent="0.25">
      <c r="A1675" t="s">
        <v>1522</v>
      </c>
      <c r="B1675" t="s">
        <v>414</v>
      </c>
      <c r="C1675" t="s">
        <v>359</v>
      </c>
      <c r="D1675" t="str">
        <f>HYPERLINK("http://service.sap.com/sap/support/notes/1669109","1669109")</f>
        <v>1669109</v>
      </c>
      <c r="E1675">
        <v>1</v>
      </c>
      <c r="F1675" t="s">
        <v>2513</v>
      </c>
    </row>
    <row r="1676" spans="1:6" x14ac:dyDescent="0.25">
      <c r="A1676" t="s">
        <v>1522</v>
      </c>
      <c r="B1676" t="s">
        <v>416</v>
      </c>
      <c r="C1676" t="s">
        <v>417</v>
      </c>
      <c r="D1676" t="str">
        <f>HYPERLINK("http://service.sap.com/sap/support/notes/1589963","1589963")</f>
        <v>1589963</v>
      </c>
      <c r="E1676">
        <v>4</v>
      </c>
      <c r="F1676" t="s">
        <v>2514</v>
      </c>
    </row>
    <row r="1677" spans="1:6" x14ac:dyDescent="0.25">
      <c r="A1677" t="s">
        <v>1522</v>
      </c>
      <c r="B1677" t="s">
        <v>416</v>
      </c>
      <c r="C1677" t="s">
        <v>417</v>
      </c>
      <c r="D1677" t="str">
        <f>HYPERLINK("http://service.sap.com/sap/support/notes/1609883","1609883")</f>
        <v>1609883</v>
      </c>
      <c r="E1677">
        <v>2</v>
      </c>
      <c r="F1677" t="s">
        <v>2515</v>
      </c>
    </row>
    <row r="1678" spans="1:6" x14ac:dyDescent="0.25">
      <c r="A1678" t="s">
        <v>1522</v>
      </c>
      <c r="B1678" t="s">
        <v>416</v>
      </c>
      <c r="C1678" t="s">
        <v>417</v>
      </c>
      <c r="D1678" t="str">
        <f>HYPERLINK("http://service.sap.com/sap/support/notes/1614844","1614844")</f>
        <v>1614844</v>
      </c>
      <c r="E1678">
        <v>1</v>
      </c>
      <c r="F1678" t="s">
        <v>2516</v>
      </c>
    </row>
    <row r="1679" spans="1:6" x14ac:dyDescent="0.25">
      <c r="A1679" t="s">
        <v>1522</v>
      </c>
      <c r="B1679" t="s">
        <v>416</v>
      </c>
      <c r="C1679" t="s">
        <v>417</v>
      </c>
      <c r="D1679" t="str">
        <f>HYPERLINK("http://service.sap.com/sap/support/notes/1615236","1615236")</f>
        <v>1615236</v>
      </c>
      <c r="E1679">
        <v>1</v>
      </c>
      <c r="F1679" t="s">
        <v>2517</v>
      </c>
    </row>
    <row r="1680" spans="1:6" x14ac:dyDescent="0.25">
      <c r="A1680" t="s">
        <v>1522</v>
      </c>
      <c r="B1680" t="s">
        <v>416</v>
      </c>
      <c r="C1680" t="s">
        <v>417</v>
      </c>
      <c r="D1680" t="str">
        <f>HYPERLINK("http://service.sap.com/sap/support/notes/1618720","1618720")</f>
        <v>1618720</v>
      </c>
      <c r="E1680">
        <v>1</v>
      </c>
      <c r="F1680" t="s">
        <v>2518</v>
      </c>
    </row>
    <row r="1681" spans="1:6" x14ac:dyDescent="0.25">
      <c r="A1681" t="s">
        <v>1522</v>
      </c>
      <c r="B1681" t="s">
        <v>416</v>
      </c>
      <c r="C1681" t="s">
        <v>417</v>
      </c>
      <c r="D1681" t="str">
        <f>HYPERLINK("http://service.sap.com/sap/support/notes/1624269","1624269")</f>
        <v>1624269</v>
      </c>
      <c r="E1681">
        <v>1</v>
      </c>
      <c r="F1681" t="s">
        <v>2519</v>
      </c>
    </row>
    <row r="1682" spans="1:6" x14ac:dyDescent="0.25">
      <c r="A1682" t="s">
        <v>1522</v>
      </c>
      <c r="B1682" t="s">
        <v>416</v>
      </c>
      <c r="C1682" t="s">
        <v>417</v>
      </c>
      <c r="D1682" t="str">
        <f>HYPERLINK("http://service.sap.com/sap/support/notes/1633098","1633098")</f>
        <v>1633098</v>
      </c>
      <c r="E1682">
        <v>1</v>
      </c>
      <c r="F1682" t="s">
        <v>2520</v>
      </c>
    </row>
    <row r="1683" spans="1:6" x14ac:dyDescent="0.25">
      <c r="A1683" t="s">
        <v>1522</v>
      </c>
      <c r="B1683" t="s">
        <v>416</v>
      </c>
      <c r="C1683" t="s">
        <v>417</v>
      </c>
      <c r="D1683" t="str">
        <f>HYPERLINK("http://service.sap.com/sap/support/notes/1634087","1634087")</f>
        <v>1634087</v>
      </c>
      <c r="E1683">
        <v>1</v>
      </c>
      <c r="F1683" t="s">
        <v>2521</v>
      </c>
    </row>
    <row r="1684" spans="1:6" x14ac:dyDescent="0.25">
      <c r="A1684" t="s">
        <v>1522</v>
      </c>
      <c r="B1684" t="s">
        <v>416</v>
      </c>
      <c r="C1684" t="s">
        <v>417</v>
      </c>
      <c r="D1684" t="str">
        <f>HYPERLINK("http://service.sap.com/sap/support/notes/1634144","1634144")</f>
        <v>1634144</v>
      </c>
      <c r="E1684">
        <v>1</v>
      </c>
      <c r="F1684" t="s">
        <v>2522</v>
      </c>
    </row>
    <row r="1685" spans="1:6" x14ac:dyDescent="0.25">
      <c r="A1685" t="s">
        <v>1522</v>
      </c>
      <c r="B1685" t="s">
        <v>416</v>
      </c>
      <c r="C1685" t="s">
        <v>417</v>
      </c>
      <c r="D1685" t="str">
        <f>HYPERLINK("http://service.sap.com/sap/support/notes/1635651","1635651")</f>
        <v>1635651</v>
      </c>
      <c r="E1685">
        <v>1</v>
      </c>
      <c r="F1685" t="s">
        <v>2523</v>
      </c>
    </row>
    <row r="1686" spans="1:6" x14ac:dyDescent="0.25">
      <c r="A1686" t="s">
        <v>1522</v>
      </c>
      <c r="B1686" t="s">
        <v>416</v>
      </c>
      <c r="C1686" t="s">
        <v>417</v>
      </c>
      <c r="D1686" t="str">
        <f>HYPERLINK("http://service.sap.com/sap/support/notes/1638741","1638741")</f>
        <v>1638741</v>
      </c>
      <c r="E1686">
        <v>1</v>
      </c>
      <c r="F1686" t="s">
        <v>2524</v>
      </c>
    </row>
    <row r="1687" spans="1:6" x14ac:dyDescent="0.25">
      <c r="A1687" t="s">
        <v>1522</v>
      </c>
      <c r="B1687" t="s">
        <v>416</v>
      </c>
      <c r="C1687" t="s">
        <v>417</v>
      </c>
      <c r="D1687" t="str">
        <f>HYPERLINK("http://service.sap.com/sap/support/notes/1640315","1640315")</f>
        <v>1640315</v>
      </c>
      <c r="E1687">
        <v>1</v>
      </c>
      <c r="F1687" t="s">
        <v>2525</v>
      </c>
    </row>
    <row r="1688" spans="1:6" x14ac:dyDescent="0.25">
      <c r="A1688" t="s">
        <v>1522</v>
      </c>
      <c r="B1688" t="s">
        <v>416</v>
      </c>
      <c r="C1688" t="s">
        <v>417</v>
      </c>
      <c r="D1688" t="str">
        <f>HYPERLINK("http://service.sap.com/sap/support/notes/1648471","1648471")</f>
        <v>1648471</v>
      </c>
      <c r="E1688">
        <v>1</v>
      </c>
      <c r="F1688" t="s">
        <v>2526</v>
      </c>
    </row>
    <row r="1689" spans="1:6" x14ac:dyDescent="0.25">
      <c r="A1689" t="s">
        <v>1522</v>
      </c>
      <c r="B1689" t="s">
        <v>416</v>
      </c>
      <c r="C1689" t="s">
        <v>417</v>
      </c>
      <c r="D1689" t="str">
        <f>HYPERLINK("http://service.sap.com/sap/support/notes/1650978","1650978")</f>
        <v>1650978</v>
      </c>
      <c r="E1689">
        <v>1</v>
      </c>
      <c r="F1689" t="s">
        <v>2527</v>
      </c>
    </row>
    <row r="1690" spans="1:6" x14ac:dyDescent="0.25">
      <c r="A1690" t="s">
        <v>1522</v>
      </c>
      <c r="B1690" t="s">
        <v>416</v>
      </c>
      <c r="C1690" t="s">
        <v>417</v>
      </c>
      <c r="D1690" t="str">
        <f>HYPERLINK("http://service.sap.com/sap/support/notes/1652402","1652402")</f>
        <v>1652402</v>
      </c>
      <c r="E1690">
        <v>1</v>
      </c>
      <c r="F1690" t="s">
        <v>2528</v>
      </c>
    </row>
    <row r="1691" spans="1:6" x14ac:dyDescent="0.25">
      <c r="A1691" t="s">
        <v>1522</v>
      </c>
      <c r="B1691" t="s">
        <v>416</v>
      </c>
      <c r="C1691" t="s">
        <v>417</v>
      </c>
      <c r="D1691" t="str">
        <f>HYPERLINK("http://service.sap.com/sap/support/notes/1658003","1658003")</f>
        <v>1658003</v>
      </c>
      <c r="E1691">
        <v>1</v>
      </c>
      <c r="F1691" t="s">
        <v>2529</v>
      </c>
    </row>
    <row r="1692" spans="1:6" x14ac:dyDescent="0.25">
      <c r="A1692" t="s">
        <v>1522</v>
      </c>
      <c r="B1692" t="s">
        <v>416</v>
      </c>
      <c r="C1692" t="s">
        <v>417</v>
      </c>
      <c r="D1692" t="str">
        <f>HYPERLINK("http://service.sap.com/sap/support/notes/1658782","1658782")</f>
        <v>1658782</v>
      </c>
      <c r="E1692">
        <v>1</v>
      </c>
      <c r="F1692" t="s">
        <v>2530</v>
      </c>
    </row>
    <row r="1693" spans="1:6" x14ac:dyDescent="0.25">
      <c r="A1693" t="s">
        <v>1522</v>
      </c>
      <c r="B1693" t="s">
        <v>416</v>
      </c>
      <c r="C1693" t="s">
        <v>417</v>
      </c>
      <c r="D1693" t="str">
        <f>HYPERLINK("http://service.sap.com/sap/support/notes/1660584","1660584")</f>
        <v>1660584</v>
      </c>
      <c r="E1693">
        <v>1</v>
      </c>
      <c r="F1693" t="s">
        <v>2518</v>
      </c>
    </row>
    <row r="1694" spans="1:6" x14ac:dyDescent="0.25">
      <c r="A1694" t="s">
        <v>1522</v>
      </c>
      <c r="B1694" t="s">
        <v>416</v>
      </c>
      <c r="C1694" t="s">
        <v>417</v>
      </c>
      <c r="D1694" t="str">
        <f>HYPERLINK("http://service.sap.com/sap/support/notes/1663457","1663457")</f>
        <v>1663457</v>
      </c>
      <c r="E1694">
        <v>1</v>
      </c>
      <c r="F1694" t="s">
        <v>2531</v>
      </c>
    </row>
    <row r="1695" spans="1:6" x14ac:dyDescent="0.25">
      <c r="A1695" t="s">
        <v>1522</v>
      </c>
      <c r="B1695" t="s">
        <v>416</v>
      </c>
      <c r="C1695" t="s">
        <v>417</v>
      </c>
      <c r="D1695" t="str">
        <f>HYPERLINK("http://service.sap.com/sap/support/notes/1668591","1668591")</f>
        <v>1668591</v>
      </c>
      <c r="E1695">
        <v>4</v>
      </c>
      <c r="F1695" t="s">
        <v>2532</v>
      </c>
    </row>
    <row r="1696" spans="1:6" x14ac:dyDescent="0.25">
      <c r="A1696" t="s">
        <v>1522</v>
      </c>
      <c r="B1696" t="s">
        <v>2533</v>
      </c>
      <c r="C1696" t="s">
        <v>389</v>
      </c>
      <c r="D1696" t="str">
        <f>HYPERLINK("http://service.sap.com/sap/support/notes/1613289","1613289")</f>
        <v>1613289</v>
      </c>
      <c r="E1696">
        <v>1</v>
      </c>
      <c r="F1696" t="s">
        <v>2534</v>
      </c>
    </row>
    <row r="1697" spans="1:6" x14ac:dyDescent="0.25">
      <c r="A1697" t="s">
        <v>1522</v>
      </c>
      <c r="B1697" t="s">
        <v>2533</v>
      </c>
      <c r="C1697" t="s">
        <v>389</v>
      </c>
      <c r="D1697" t="str">
        <f>HYPERLINK("http://service.sap.com/sap/support/notes/1620679","1620679")</f>
        <v>1620679</v>
      </c>
      <c r="E1697">
        <v>1</v>
      </c>
      <c r="F1697" t="s">
        <v>2535</v>
      </c>
    </row>
    <row r="1698" spans="1:6" x14ac:dyDescent="0.25">
      <c r="A1698" t="s">
        <v>1522</v>
      </c>
      <c r="B1698" t="s">
        <v>2533</v>
      </c>
      <c r="C1698" t="s">
        <v>389</v>
      </c>
      <c r="D1698" t="str">
        <f>HYPERLINK("http://service.sap.com/sap/support/notes/1624967","1624967")</f>
        <v>1624967</v>
      </c>
      <c r="E1698">
        <v>1</v>
      </c>
      <c r="F1698" t="s">
        <v>2536</v>
      </c>
    </row>
    <row r="1699" spans="1:6" x14ac:dyDescent="0.25">
      <c r="A1699" t="s">
        <v>1522</v>
      </c>
      <c r="B1699" t="s">
        <v>2533</v>
      </c>
      <c r="C1699" t="s">
        <v>389</v>
      </c>
      <c r="D1699" t="str">
        <f>HYPERLINK("http://service.sap.com/sap/support/notes/1632968","1632968")</f>
        <v>1632968</v>
      </c>
      <c r="E1699">
        <v>1</v>
      </c>
      <c r="F1699" t="s">
        <v>2537</v>
      </c>
    </row>
    <row r="1700" spans="1:6" x14ac:dyDescent="0.25">
      <c r="A1700" t="s">
        <v>1522</v>
      </c>
      <c r="B1700" t="s">
        <v>2533</v>
      </c>
      <c r="C1700" t="s">
        <v>389</v>
      </c>
      <c r="D1700" t="str">
        <f>HYPERLINK("http://service.sap.com/sap/support/notes/1634979","1634979")</f>
        <v>1634979</v>
      </c>
      <c r="E1700">
        <v>2</v>
      </c>
      <c r="F1700" t="s">
        <v>2538</v>
      </c>
    </row>
    <row r="1701" spans="1:6" x14ac:dyDescent="0.25">
      <c r="A1701" t="s">
        <v>1522</v>
      </c>
      <c r="B1701" t="s">
        <v>2533</v>
      </c>
      <c r="C1701" t="s">
        <v>389</v>
      </c>
      <c r="D1701" t="str">
        <f>HYPERLINK("http://service.sap.com/sap/support/notes/1649551","1649551")</f>
        <v>1649551</v>
      </c>
      <c r="E1701">
        <v>1</v>
      </c>
      <c r="F1701" t="s">
        <v>2539</v>
      </c>
    </row>
    <row r="1702" spans="1:6" x14ac:dyDescent="0.25">
      <c r="A1702" t="s">
        <v>1522</v>
      </c>
      <c r="B1702" t="s">
        <v>2533</v>
      </c>
      <c r="C1702" t="s">
        <v>389</v>
      </c>
      <c r="D1702" t="str">
        <f>HYPERLINK("http://service.sap.com/sap/support/notes/1657998","1657998")</f>
        <v>1657998</v>
      </c>
      <c r="E1702">
        <v>1</v>
      </c>
      <c r="F1702" t="s">
        <v>2540</v>
      </c>
    </row>
    <row r="1703" spans="1:6" x14ac:dyDescent="0.25">
      <c r="A1703" t="s">
        <v>1522</v>
      </c>
      <c r="B1703" t="s">
        <v>2541</v>
      </c>
      <c r="C1703" t="s">
        <v>505</v>
      </c>
      <c r="D1703" t="str">
        <f>HYPERLINK("http://service.sap.com/sap/support/notes/1563616","1563616")</f>
        <v>1563616</v>
      </c>
      <c r="E1703">
        <v>8</v>
      </c>
      <c r="F1703" t="s">
        <v>2542</v>
      </c>
    </row>
    <row r="1704" spans="1:6" x14ac:dyDescent="0.25">
      <c r="A1704" t="s">
        <v>1522</v>
      </c>
      <c r="B1704" t="s">
        <v>2541</v>
      </c>
      <c r="C1704" t="s">
        <v>505</v>
      </c>
      <c r="D1704" t="str">
        <f>HYPERLINK("http://service.sap.com/sap/support/notes/1569245","1569245")</f>
        <v>1569245</v>
      </c>
      <c r="E1704">
        <v>4</v>
      </c>
      <c r="F1704" t="s">
        <v>2543</v>
      </c>
    </row>
    <row r="1705" spans="1:6" x14ac:dyDescent="0.25">
      <c r="A1705" t="s">
        <v>1522</v>
      </c>
      <c r="B1705" t="s">
        <v>2541</v>
      </c>
      <c r="C1705" t="s">
        <v>505</v>
      </c>
      <c r="D1705" t="str">
        <f>HYPERLINK("http://service.sap.com/sap/support/notes/1636059","1636059")</f>
        <v>1636059</v>
      </c>
      <c r="E1705">
        <v>1</v>
      </c>
      <c r="F1705" t="s">
        <v>2544</v>
      </c>
    </row>
    <row r="1706" spans="1:6" x14ac:dyDescent="0.25">
      <c r="A1706" t="s">
        <v>1522</v>
      </c>
      <c r="B1706" t="s">
        <v>2541</v>
      </c>
      <c r="C1706" t="s">
        <v>505</v>
      </c>
      <c r="D1706" t="str">
        <f>HYPERLINK("http://service.sap.com/sap/support/notes/1640757","1640757")</f>
        <v>1640757</v>
      </c>
      <c r="E1706">
        <v>1</v>
      </c>
      <c r="F1706" t="s">
        <v>2545</v>
      </c>
    </row>
    <row r="1707" spans="1:6" x14ac:dyDescent="0.25">
      <c r="A1707" t="s">
        <v>1522</v>
      </c>
      <c r="B1707" t="s">
        <v>2541</v>
      </c>
      <c r="C1707" t="s">
        <v>505</v>
      </c>
      <c r="D1707" t="str">
        <f>HYPERLINK("http://service.sap.com/sap/support/notes/1643828","1643828")</f>
        <v>1643828</v>
      </c>
      <c r="E1707">
        <v>1</v>
      </c>
      <c r="F1707" t="s">
        <v>2546</v>
      </c>
    </row>
    <row r="1708" spans="1:6" x14ac:dyDescent="0.25">
      <c r="A1708" t="s">
        <v>1522</v>
      </c>
      <c r="B1708" t="s">
        <v>428</v>
      </c>
      <c r="C1708" t="s">
        <v>394</v>
      </c>
      <c r="D1708" t="str">
        <f>HYPERLINK("http://service.sap.com/sap/support/notes/1636190","1636190")</f>
        <v>1636190</v>
      </c>
      <c r="E1708">
        <v>1</v>
      </c>
      <c r="F1708" t="s">
        <v>2547</v>
      </c>
    </row>
    <row r="1709" spans="1:6" x14ac:dyDescent="0.25">
      <c r="A1709" t="s">
        <v>1522</v>
      </c>
      <c r="B1709" t="s">
        <v>428</v>
      </c>
      <c r="C1709" t="s">
        <v>394</v>
      </c>
      <c r="D1709" t="str">
        <f>HYPERLINK("http://service.sap.com/sap/support/notes/1658059","1658059")</f>
        <v>1658059</v>
      </c>
      <c r="E1709">
        <v>2</v>
      </c>
      <c r="F1709" t="s">
        <v>2548</v>
      </c>
    </row>
    <row r="1710" spans="1:6" x14ac:dyDescent="0.25">
      <c r="A1710" t="s">
        <v>1522</v>
      </c>
      <c r="B1710" t="s">
        <v>428</v>
      </c>
      <c r="C1710" t="s">
        <v>394</v>
      </c>
      <c r="D1710" t="str">
        <f>HYPERLINK("http://service.sap.com/sap/support/notes/1660992","1660992")</f>
        <v>1660992</v>
      </c>
      <c r="E1710">
        <v>1</v>
      </c>
      <c r="F1710" t="s">
        <v>2549</v>
      </c>
    </row>
    <row r="1711" spans="1:6" x14ac:dyDescent="0.25">
      <c r="A1711" t="s">
        <v>1522</v>
      </c>
      <c r="B1711" t="s">
        <v>2550</v>
      </c>
      <c r="C1711" t="s">
        <v>14</v>
      </c>
      <c r="D1711" t="str">
        <f>HYPERLINK("http://service.sap.com/sap/support/notes/1616144","1616144")</f>
        <v>1616144</v>
      </c>
      <c r="E1711">
        <v>2</v>
      </c>
      <c r="F1711" t="s">
        <v>2551</v>
      </c>
    </row>
    <row r="1712" spans="1:6" x14ac:dyDescent="0.25">
      <c r="A1712" t="s">
        <v>1522</v>
      </c>
      <c r="B1712" t="s">
        <v>2550</v>
      </c>
      <c r="C1712" t="s">
        <v>14</v>
      </c>
      <c r="D1712" t="str">
        <f>HYPERLINK("http://service.sap.com/sap/support/notes/1618768","1618768")</f>
        <v>1618768</v>
      </c>
      <c r="E1712">
        <v>1</v>
      </c>
      <c r="F1712" t="s">
        <v>2552</v>
      </c>
    </row>
    <row r="1713" spans="1:6" x14ac:dyDescent="0.25">
      <c r="A1713" t="s">
        <v>1522</v>
      </c>
      <c r="B1713" t="s">
        <v>2550</v>
      </c>
      <c r="C1713" t="s">
        <v>14</v>
      </c>
      <c r="D1713" t="str">
        <f>HYPERLINK("http://service.sap.com/sap/support/notes/1649320","1649320")</f>
        <v>1649320</v>
      </c>
      <c r="E1713">
        <v>1</v>
      </c>
      <c r="F1713" t="s">
        <v>2553</v>
      </c>
    </row>
    <row r="1714" spans="1:6" x14ac:dyDescent="0.25">
      <c r="A1714" t="s">
        <v>1522</v>
      </c>
      <c r="B1714" t="s">
        <v>2550</v>
      </c>
      <c r="C1714" t="s">
        <v>14</v>
      </c>
      <c r="D1714" t="str">
        <f>HYPERLINK("http://service.sap.com/sap/support/notes/1649680","1649680")</f>
        <v>1649680</v>
      </c>
      <c r="E1714">
        <v>1</v>
      </c>
      <c r="F1714" t="s">
        <v>2554</v>
      </c>
    </row>
    <row r="1715" spans="1:6" x14ac:dyDescent="0.25">
      <c r="A1715" t="s">
        <v>1522</v>
      </c>
      <c r="B1715" t="s">
        <v>2550</v>
      </c>
      <c r="C1715" t="s">
        <v>14</v>
      </c>
      <c r="D1715" t="str">
        <f>HYPERLINK("http://service.sap.com/sap/support/notes/1649682","1649682")</f>
        <v>1649682</v>
      </c>
      <c r="E1715">
        <v>1</v>
      </c>
      <c r="F1715" t="s">
        <v>2555</v>
      </c>
    </row>
    <row r="1716" spans="1:6" x14ac:dyDescent="0.25">
      <c r="A1716" t="s">
        <v>1522</v>
      </c>
      <c r="B1716" t="s">
        <v>2550</v>
      </c>
      <c r="C1716" t="s">
        <v>14</v>
      </c>
      <c r="D1716" t="str">
        <f>HYPERLINK("http://service.sap.com/sap/support/notes/1650336","1650336")</f>
        <v>1650336</v>
      </c>
      <c r="E1716">
        <v>2</v>
      </c>
      <c r="F1716" t="s">
        <v>2556</v>
      </c>
    </row>
    <row r="1717" spans="1:6" x14ac:dyDescent="0.25">
      <c r="A1717" t="s">
        <v>1522</v>
      </c>
      <c r="B1717" t="s">
        <v>2550</v>
      </c>
      <c r="C1717" t="s">
        <v>14</v>
      </c>
      <c r="D1717" t="str">
        <f>HYPERLINK("http://service.sap.com/sap/support/notes/1653851","1653851")</f>
        <v>1653851</v>
      </c>
      <c r="E1717">
        <v>1</v>
      </c>
      <c r="F1717" t="s">
        <v>2557</v>
      </c>
    </row>
    <row r="1718" spans="1:6" x14ac:dyDescent="0.25">
      <c r="A1718" t="s">
        <v>1522</v>
      </c>
      <c r="B1718" t="s">
        <v>2550</v>
      </c>
      <c r="C1718" t="s">
        <v>14</v>
      </c>
      <c r="D1718" t="str">
        <f>HYPERLINK("http://service.sap.com/sap/support/notes/1654646","1654646")</f>
        <v>1654646</v>
      </c>
      <c r="E1718">
        <v>1</v>
      </c>
      <c r="F1718" t="s">
        <v>2558</v>
      </c>
    </row>
    <row r="1719" spans="1:6" x14ac:dyDescent="0.25">
      <c r="A1719" t="s">
        <v>1522</v>
      </c>
      <c r="B1719" t="s">
        <v>2559</v>
      </c>
      <c r="C1719" t="s">
        <v>563</v>
      </c>
      <c r="D1719" t="str">
        <f>HYPERLINK("http://service.sap.com/sap/support/notes/1599993","1599993")</f>
        <v>1599993</v>
      </c>
      <c r="E1719">
        <v>2</v>
      </c>
      <c r="F1719" t="s">
        <v>2560</v>
      </c>
    </row>
    <row r="1720" spans="1:6" x14ac:dyDescent="0.25">
      <c r="A1720" t="s">
        <v>1522</v>
      </c>
      <c r="B1720" t="s">
        <v>2559</v>
      </c>
      <c r="C1720" t="s">
        <v>563</v>
      </c>
      <c r="D1720" t="str">
        <f>HYPERLINK("http://service.sap.com/sap/support/notes/1618680","1618680")</f>
        <v>1618680</v>
      </c>
      <c r="E1720">
        <v>1</v>
      </c>
      <c r="F1720" t="s">
        <v>2561</v>
      </c>
    </row>
    <row r="1721" spans="1:6" x14ac:dyDescent="0.25">
      <c r="A1721" t="s">
        <v>1522</v>
      </c>
      <c r="B1721" t="s">
        <v>2559</v>
      </c>
      <c r="C1721" t="s">
        <v>563</v>
      </c>
      <c r="D1721" t="str">
        <f>HYPERLINK("http://service.sap.com/sap/support/notes/1632207","1632207")</f>
        <v>1632207</v>
      </c>
      <c r="E1721">
        <v>1</v>
      </c>
      <c r="F1721" t="s">
        <v>2562</v>
      </c>
    </row>
    <row r="1722" spans="1:6" x14ac:dyDescent="0.25">
      <c r="A1722" t="s">
        <v>1522</v>
      </c>
      <c r="B1722" t="s">
        <v>2559</v>
      </c>
      <c r="C1722" t="s">
        <v>563</v>
      </c>
      <c r="D1722" t="str">
        <f>HYPERLINK("http://service.sap.com/sap/support/notes/1643943","1643943")</f>
        <v>1643943</v>
      </c>
      <c r="E1722">
        <v>1</v>
      </c>
      <c r="F1722" t="s">
        <v>2563</v>
      </c>
    </row>
    <row r="1723" spans="1:6" x14ac:dyDescent="0.25">
      <c r="A1723" t="s">
        <v>1522</v>
      </c>
      <c r="B1723" t="s">
        <v>431</v>
      </c>
      <c r="C1723" t="s">
        <v>432</v>
      </c>
    </row>
    <row r="1724" spans="1:6" x14ac:dyDescent="0.25">
      <c r="A1724" t="s">
        <v>1522</v>
      </c>
      <c r="B1724" t="s">
        <v>433</v>
      </c>
      <c r="C1724" t="s">
        <v>434</v>
      </c>
      <c r="D1724" t="str">
        <f>HYPERLINK("http://service.sap.com/sap/support/notes/1649956","1649956")</f>
        <v>1649956</v>
      </c>
      <c r="E1724">
        <v>2</v>
      </c>
      <c r="F1724" t="s">
        <v>2564</v>
      </c>
    </row>
    <row r="1725" spans="1:6" x14ac:dyDescent="0.25">
      <c r="A1725" t="s">
        <v>1522</v>
      </c>
      <c r="B1725" t="s">
        <v>2565</v>
      </c>
      <c r="C1725" t="s">
        <v>2566</v>
      </c>
      <c r="D1725" t="str">
        <f>HYPERLINK("http://service.sap.com/sap/support/notes/1517167","1517167")</f>
        <v>1517167</v>
      </c>
      <c r="E1725">
        <v>3</v>
      </c>
      <c r="F1725" t="s">
        <v>2567</v>
      </c>
    </row>
    <row r="1726" spans="1:6" x14ac:dyDescent="0.25">
      <c r="A1726" t="s">
        <v>1522</v>
      </c>
      <c r="B1726" t="s">
        <v>2565</v>
      </c>
      <c r="C1726" t="s">
        <v>2566</v>
      </c>
      <c r="D1726" t="str">
        <f>HYPERLINK("http://service.sap.com/sap/support/notes/1537428","1537428")</f>
        <v>1537428</v>
      </c>
      <c r="E1726">
        <v>2</v>
      </c>
      <c r="F1726" t="s">
        <v>2568</v>
      </c>
    </row>
    <row r="1727" spans="1:6" x14ac:dyDescent="0.25">
      <c r="A1727" t="s">
        <v>1522</v>
      </c>
      <c r="B1727" t="s">
        <v>2565</v>
      </c>
      <c r="C1727" t="s">
        <v>2566</v>
      </c>
      <c r="D1727" t="str">
        <f>HYPERLINK("http://service.sap.com/sap/support/notes/1601474","1601474")</f>
        <v>1601474</v>
      </c>
      <c r="E1727">
        <v>2</v>
      </c>
      <c r="F1727" t="s">
        <v>2569</v>
      </c>
    </row>
    <row r="1728" spans="1:6" x14ac:dyDescent="0.25">
      <c r="A1728" t="s">
        <v>1522</v>
      </c>
      <c r="B1728" t="s">
        <v>2565</v>
      </c>
      <c r="C1728" t="s">
        <v>2566</v>
      </c>
      <c r="D1728" t="str">
        <f>HYPERLINK("http://service.sap.com/sap/support/notes/1617299","1617299")</f>
        <v>1617299</v>
      </c>
      <c r="E1728">
        <v>1</v>
      </c>
      <c r="F1728" t="s">
        <v>2570</v>
      </c>
    </row>
    <row r="1729" spans="1:6" x14ac:dyDescent="0.25">
      <c r="A1729" t="s">
        <v>1522</v>
      </c>
      <c r="B1729" t="s">
        <v>2565</v>
      </c>
      <c r="C1729" t="s">
        <v>2566</v>
      </c>
      <c r="D1729" t="str">
        <f>HYPERLINK("http://service.sap.com/sap/support/notes/1622292","1622292")</f>
        <v>1622292</v>
      </c>
      <c r="E1729">
        <v>2</v>
      </c>
      <c r="F1729" t="s">
        <v>2571</v>
      </c>
    </row>
    <row r="1730" spans="1:6" x14ac:dyDescent="0.25">
      <c r="A1730" t="s">
        <v>1522</v>
      </c>
      <c r="B1730" t="s">
        <v>2565</v>
      </c>
      <c r="C1730" t="s">
        <v>2566</v>
      </c>
      <c r="D1730" t="str">
        <f>HYPERLINK("http://service.sap.com/sap/support/notes/1635540","1635540")</f>
        <v>1635540</v>
      </c>
      <c r="E1730">
        <v>1</v>
      </c>
      <c r="F1730" t="s">
        <v>2572</v>
      </c>
    </row>
    <row r="1731" spans="1:6" x14ac:dyDescent="0.25">
      <c r="A1731" t="s">
        <v>1522</v>
      </c>
      <c r="B1731" t="s">
        <v>2565</v>
      </c>
      <c r="C1731" t="s">
        <v>2566</v>
      </c>
      <c r="D1731" t="str">
        <f>HYPERLINK("http://service.sap.com/sap/support/notes/1640776","1640776")</f>
        <v>1640776</v>
      </c>
      <c r="E1731">
        <v>3</v>
      </c>
      <c r="F1731" t="s">
        <v>2573</v>
      </c>
    </row>
    <row r="1732" spans="1:6" x14ac:dyDescent="0.25">
      <c r="A1732" t="s">
        <v>1522</v>
      </c>
      <c r="B1732" t="s">
        <v>2565</v>
      </c>
      <c r="C1732" t="s">
        <v>2566</v>
      </c>
      <c r="D1732" t="str">
        <f>HYPERLINK("http://service.sap.com/sap/support/notes/1641724","1641724")</f>
        <v>1641724</v>
      </c>
      <c r="E1732">
        <v>1</v>
      </c>
      <c r="F1732" t="s">
        <v>2574</v>
      </c>
    </row>
    <row r="1733" spans="1:6" x14ac:dyDescent="0.25">
      <c r="A1733" t="s">
        <v>1522</v>
      </c>
      <c r="B1733" t="s">
        <v>2565</v>
      </c>
      <c r="C1733" t="s">
        <v>2566</v>
      </c>
      <c r="D1733" t="str">
        <f>HYPERLINK("http://service.sap.com/sap/support/notes/1642187","1642187")</f>
        <v>1642187</v>
      </c>
      <c r="E1733">
        <v>2</v>
      </c>
      <c r="F1733" t="s">
        <v>2575</v>
      </c>
    </row>
    <row r="1734" spans="1:6" x14ac:dyDescent="0.25">
      <c r="A1734" t="s">
        <v>1522</v>
      </c>
      <c r="B1734" t="s">
        <v>2565</v>
      </c>
      <c r="C1734" t="s">
        <v>2566</v>
      </c>
      <c r="D1734" t="str">
        <f>HYPERLINK("http://service.sap.com/sap/support/notes/1647294","1647294")</f>
        <v>1647294</v>
      </c>
      <c r="E1734">
        <v>1</v>
      </c>
      <c r="F1734" t="s">
        <v>2576</v>
      </c>
    </row>
    <row r="1735" spans="1:6" x14ac:dyDescent="0.25">
      <c r="A1735" t="s">
        <v>1522</v>
      </c>
      <c r="B1735" t="s">
        <v>2565</v>
      </c>
      <c r="C1735" t="s">
        <v>2566</v>
      </c>
      <c r="D1735" t="str">
        <f>HYPERLINK("http://service.sap.com/sap/support/notes/1649340","1649340")</f>
        <v>1649340</v>
      </c>
      <c r="E1735">
        <v>1</v>
      </c>
      <c r="F1735" t="s">
        <v>2577</v>
      </c>
    </row>
    <row r="1736" spans="1:6" x14ac:dyDescent="0.25">
      <c r="A1736" t="s">
        <v>1522</v>
      </c>
      <c r="B1736" t="s">
        <v>2565</v>
      </c>
      <c r="C1736" t="s">
        <v>2566</v>
      </c>
      <c r="D1736" t="str">
        <f>HYPERLINK("http://service.sap.com/sap/support/notes/1655292","1655292")</f>
        <v>1655292</v>
      </c>
      <c r="E1736">
        <v>2</v>
      </c>
      <c r="F1736" t="s">
        <v>2578</v>
      </c>
    </row>
    <row r="1737" spans="1:6" x14ac:dyDescent="0.25">
      <c r="A1737" t="s">
        <v>1522</v>
      </c>
      <c r="B1737" t="s">
        <v>2565</v>
      </c>
      <c r="C1737" t="s">
        <v>2566</v>
      </c>
      <c r="D1737" t="str">
        <f>HYPERLINK("http://service.sap.com/sap/support/notes/1663716","1663716")</f>
        <v>1663716</v>
      </c>
      <c r="E1737">
        <v>1</v>
      </c>
      <c r="F1737" t="s">
        <v>2579</v>
      </c>
    </row>
    <row r="1738" spans="1:6" x14ac:dyDescent="0.25">
      <c r="A1738" t="s">
        <v>1522</v>
      </c>
      <c r="B1738" t="s">
        <v>435</v>
      </c>
      <c r="C1738" t="s">
        <v>436</v>
      </c>
      <c r="D1738" t="str">
        <f>HYPERLINK("http://service.sap.com/sap/support/notes/1624744","1624744")</f>
        <v>1624744</v>
      </c>
      <c r="E1738">
        <v>1</v>
      </c>
      <c r="F1738" t="s">
        <v>2580</v>
      </c>
    </row>
    <row r="1739" spans="1:6" x14ac:dyDescent="0.25">
      <c r="A1739" t="s">
        <v>1522</v>
      </c>
      <c r="B1739" t="s">
        <v>435</v>
      </c>
      <c r="C1739" t="s">
        <v>436</v>
      </c>
      <c r="D1739" t="str">
        <f>HYPERLINK("http://service.sap.com/sap/support/notes/1628477","1628477")</f>
        <v>1628477</v>
      </c>
      <c r="E1739">
        <v>2</v>
      </c>
      <c r="F1739" t="s">
        <v>2581</v>
      </c>
    </row>
    <row r="1740" spans="1:6" x14ac:dyDescent="0.25">
      <c r="A1740" t="s">
        <v>1522</v>
      </c>
      <c r="B1740" t="s">
        <v>435</v>
      </c>
      <c r="C1740" t="s">
        <v>436</v>
      </c>
      <c r="D1740" t="str">
        <f>HYPERLINK("http://service.sap.com/sap/support/notes/1635985","1635985")</f>
        <v>1635985</v>
      </c>
      <c r="E1740">
        <v>3</v>
      </c>
      <c r="F1740" t="s">
        <v>2582</v>
      </c>
    </row>
    <row r="1741" spans="1:6" x14ac:dyDescent="0.25">
      <c r="A1741" t="s">
        <v>1522</v>
      </c>
      <c r="B1741" t="s">
        <v>435</v>
      </c>
      <c r="C1741" t="s">
        <v>436</v>
      </c>
      <c r="D1741" t="str">
        <f>HYPERLINK("http://service.sap.com/sap/support/notes/1646673","1646673")</f>
        <v>1646673</v>
      </c>
      <c r="E1741">
        <v>3</v>
      </c>
      <c r="F1741" t="s">
        <v>2583</v>
      </c>
    </row>
    <row r="1742" spans="1:6" x14ac:dyDescent="0.25">
      <c r="A1742" t="s">
        <v>1522</v>
      </c>
      <c r="B1742" t="s">
        <v>435</v>
      </c>
      <c r="C1742" t="s">
        <v>436</v>
      </c>
      <c r="D1742" t="str">
        <f>HYPERLINK("http://service.sap.com/sap/support/notes/1656727","1656727")</f>
        <v>1656727</v>
      </c>
      <c r="E1742">
        <v>1</v>
      </c>
      <c r="F1742" t="s">
        <v>2584</v>
      </c>
    </row>
    <row r="1743" spans="1:6" x14ac:dyDescent="0.25">
      <c r="A1743" t="s">
        <v>1522</v>
      </c>
      <c r="B1743" t="s">
        <v>435</v>
      </c>
      <c r="C1743" t="s">
        <v>436</v>
      </c>
      <c r="D1743" t="str">
        <f>HYPERLINK("http://service.sap.com/sap/support/notes/1670697","1670697")</f>
        <v>1670697</v>
      </c>
      <c r="E1743">
        <v>2</v>
      </c>
      <c r="F1743" t="s">
        <v>2585</v>
      </c>
    </row>
    <row r="1744" spans="1:6" x14ac:dyDescent="0.25">
      <c r="A1744" t="s">
        <v>1522</v>
      </c>
      <c r="B1744" t="s">
        <v>441</v>
      </c>
      <c r="C1744" t="s">
        <v>442</v>
      </c>
      <c r="D1744" t="str">
        <f>HYPERLINK("http://service.sap.com/sap/support/notes/1063616","1063616")</f>
        <v>1063616</v>
      </c>
      <c r="E1744">
        <v>1</v>
      </c>
      <c r="F1744" t="s">
        <v>2586</v>
      </c>
    </row>
    <row r="1745" spans="1:6" x14ac:dyDescent="0.25">
      <c r="A1745" t="s">
        <v>1522</v>
      </c>
      <c r="B1745" t="s">
        <v>441</v>
      </c>
      <c r="C1745" t="s">
        <v>442</v>
      </c>
      <c r="D1745" t="str">
        <f>HYPERLINK("http://service.sap.com/sap/support/notes/1561039","1561039")</f>
        <v>1561039</v>
      </c>
      <c r="E1745">
        <v>2</v>
      </c>
      <c r="F1745" t="s">
        <v>2587</v>
      </c>
    </row>
    <row r="1746" spans="1:6" x14ac:dyDescent="0.25">
      <c r="A1746" t="s">
        <v>1522</v>
      </c>
      <c r="B1746" t="s">
        <v>441</v>
      </c>
      <c r="C1746" t="s">
        <v>442</v>
      </c>
      <c r="D1746" t="str">
        <f>HYPERLINK("http://service.sap.com/sap/support/notes/1618767","1618767")</f>
        <v>1618767</v>
      </c>
      <c r="E1746">
        <v>3</v>
      </c>
      <c r="F1746" t="s">
        <v>2588</v>
      </c>
    </row>
    <row r="1747" spans="1:6" x14ac:dyDescent="0.25">
      <c r="A1747" t="s">
        <v>1522</v>
      </c>
      <c r="B1747" t="s">
        <v>441</v>
      </c>
      <c r="C1747" t="s">
        <v>442</v>
      </c>
      <c r="D1747" t="str">
        <f>HYPERLINK("http://service.sap.com/sap/support/notes/1619732","1619732")</f>
        <v>1619732</v>
      </c>
      <c r="E1747">
        <v>1</v>
      </c>
      <c r="F1747" t="s">
        <v>2589</v>
      </c>
    </row>
    <row r="1748" spans="1:6" x14ac:dyDescent="0.25">
      <c r="A1748" t="s">
        <v>1522</v>
      </c>
      <c r="B1748" t="s">
        <v>441</v>
      </c>
      <c r="C1748" t="s">
        <v>442</v>
      </c>
      <c r="D1748" t="str">
        <f>HYPERLINK("http://service.sap.com/sap/support/notes/1625129","1625129")</f>
        <v>1625129</v>
      </c>
      <c r="E1748">
        <v>2</v>
      </c>
      <c r="F1748" t="s">
        <v>2590</v>
      </c>
    </row>
    <row r="1749" spans="1:6" x14ac:dyDescent="0.25">
      <c r="A1749" t="s">
        <v>1522</v>
      </c>
      <c r="B1749" t="s">
        <v>441</v>
      </c>
      <c r="C1749" t="s">
        <v>442</v>
      </c>
      <c r="D1749" t="str">
        <f>HYPERLINK("http://service.sap.com/sap/support/notes/1626112","1626112")</f>
        <v>1626112</v>
      </c>
      <c r="E1749">
        <v>2</v>
      </c>
      <c r="F1749" t="s">
        <v>2591</v>
      </c>
    </row>
    <row r="1750" spans="1:6" x14ac:dyDescent="0.25">
      <c r="A1750" t="s">
        <v>1522</v>
      </c>
      <c r="B1750" t="s">
        <v>441</v>
      </c>
      <c r="C1750" t="s">
        <v>442</v>
      </c>
      <c r="D1750" t="str">
        <f>HYPERLINK("http://service.sap.com/sap/support/notes/1630082","1630082")</f>
        <v>1630082</v>
      </c>
      <c r="E1750">
        <v>1</v>
      </c>
      <c r="F1750" t="s">
        <v>2592</v>
      </c>
    </row>
    <row r="1751" spans="1:6" x14ac:dyDescent="0.25">
      <c r="A1751" t="s">
        <v>1522</v>
      </c>
      <c r="B1751" t="s">
        <v>441</v>
      </c>
      <c r="C1751" t="s">
        <v>442</v>
      </c>
      <c r="D1751" t="str">
        <f>HYPERLINK("http://service.sap.com/sap/support/notes/1637310","1637310")</f>
        <v>1637310</v>
      </c>
      <c r="E1751">
        <v>1</v>
      </c>
      <c r="F1751" t="s">
        <v>2593</v>
      </c>
    </row>
    <row r="1752" spans="1:6" x14ac:dyDescent="0.25">
      <c r="A1752" t="s">
        <v>1522</v>
      </c>
      <c r="B1752" t="s">
        <v>441</v>
      </c>
      <c r="C1752" t="s">
        <v>442</v>
      </c>
      <c r="D1752" t="str">
        <f>HYPERLINK("http://service.sap.com/sap/support/notes/1639649","1639649")</f>
        <v>1639649</v>
      </c>
      <c r="E1752">
        <v>1</v>
      </c>
      <c r="F1752" t="s">
        <v>2594</v>
      </c>
    </row>
    <row r="1753" spans="1:6" x14ac:dyDescent="0.25">
      <c r="A1753" t="s">
        <v>1522</v>
      </c>
      <c r="B1753" t="s">
        <v>441</v>
      </c>
      <c r="C1753" t="s">
        <v>442</v>
      </c>
      <c r="D1753" t="str">
        <f>HYPERLINK("http://service.sap.com/sap/support/notes/1643211","1643211")</f>
        <v>1643211</v>
      </c>
      <c r="E1753">
        <v>2</v>
      </c>
      <c r="F1753" t="s">
        <v>2595</v>
      </c>
    </row>
    <row r="1754" spans="1:6" x14ac:dyDescent="0.25">
      <c r="A1754" t="s">
        <v>1522</v>
      </c>
      <c r="B1754" t="s">
        <v>441</v>
      </c>
      <c r="C1754" t="s">
        <v>442</v>
      </c>
      <c r="D1754" t="str">
        <f>HYPERLINK("http://service.sap.com/sap/support/notes/1645298","1645298")</f>
        <v>1645298</v>
      </c>
      <c r="E1754">
        <v>2</v>
      </c>
      <c r="F1754" t="s">
        <v>2596</v>
      </c>
    </row>
    <row r="1755" spans="1:6" x14ac:dyDescent="0.25">
      <c r="A1755" t="s">
        <v>1522</v>
      </c>
      <c r="B1755" t="s">
        <v>441</v>
      </c>
      <c r="C1755" t="s">
        <v>442</v>
      </c>
      <c r="D1755" t="str">
        <f>HYPERLINK("http://service.sap.com/sap/support/notes/1646331","1646331")</f>
        <v>1646331</v>
      </c>
      <c r="E1755">
        <v>2</v>
      </c>
      <c r="F1755" t="s">
        <v>2597</v>
      </c>
    </row>
    <row r="1756" spans="1:6" x14ac:dyDescent="0.25">
      <c r="A1756" t="s">
        <v>1522</v>
      </c>
      <c r="B1756" t="s">
        <v>441</v>
      </c>
      <c r="C1756" t="s">
        <v>442</v>
      </c>
      <c r="D1756" t="str">
        <f>HYPERLINK("http://service.sap.com/sap/support/notes/1669677","1669677")</f>
        <v>1669677</v>
      </c>
      <c r="E1756">
        <v>1</v>
      </c>
      <c r="F1756" t="s">
        <v>2598</v>
      </c>
    </row>
    <row r="1757" spans="1:6" x14ac:dyDescent="0.25">
      <c r="A1757" t="s">
        <v>1522</v>
      </c>
      <c r="B1757" t="s">
        <v>445</v>
      </c>
      <c r="C1757" t="s">
        <v>446</v>
      </c>
      <c r="D1757" t="str">
        <f>HYPERLINK("http://service.sap.com/sap/support/notes/1537766","1537766")</f>
        <v>1537766</v>
      </c>
      <c r="E1757">
        <v>5</v>
      </c>
      <c r="F1757" t="s">
        <v>2599</v>
      </c>
    </row>
    <row r="1758" spans="1:6" x14ac:dyDescent="0.25">
      <c r="A1758" t="s">
        <v>1522</v>
      </c>
      <c r="B1758" t="s">
        <v>445</v>
      </c>
      <c r="C1758" t="s">
        <v>446</v>
      </c>
      <c r="D1758" t="str">
        <f>HYPERLINK("http://service.sap.com/sap/support/notes/1566268","1566268")</f>
        <v>1566268</v>
      </c>
      <c r="E1758">
        <v>3</v>
      </c>
      <c r="F1758" t="s">
        <v>2600</v>
      </c>
    </row>
    <row r="1759" spans="1:6" x14ac:dyDescent="0.25">
      <c r="A1759" t="s">
        <v>1522</v>
      </c>
      <c r="B1759" t="s">
        <v>445</v>
      </c>
      <c r="C1759" t="s">
        <v>446</v>
      </c>
      <c r="D1759" t="str">
        <f>HYPERLINK("http://service.sap.com/sap/support/notes/1597796","1597796")</f>
        <v>1597796</v>
      </c>
      <c r="E1759">
        <v>11</v>
      </c>
      <c r="F1759" t="s">
        <v>2601</v>
      </c>
    </row>
    <row r="1760" spans="1:6" x14ac:dyDescent="0.25">
      <c r="A1760" t="s">
        <v>1522</v>
      </c>
      <c r="B1760" t="s">
        <v>445</v>
      </c>
      <c r="C1760" t="s">
        <v>446</v>
      </c>
      <c r="D1760" t="str">
        <f>HYPERLINK("http://service.sap.com/sap/support/notes/1599347","1599347")</f>
        <v>1599347</v>
      </c>
      <c r="E1760">
        <v>2</v>
      </c>
      <c r="F1760" t="s">
        <v>2602</v>
      </c>
    </row>
    <row r="1761" spans="1:6" x14ac:dyDescent="0.25">
      <c r="A1761" t="s">
        <v>1522</v>
      </c>
      <c r="B1761" t="s">
        <v>445</v>
      </c>
      <c r="C1761" t="s">
        <v>446</v>
      </c>
      <c r="D1761" t="str">
        <f>HYPERLINK("http://service.sap.com/sap/support/notes/1601463","1601463")</f>
        <v>1601463</v>
      </c>
      <c r="E1761">
        <v>3</v>
      </c>
      <c r="F1761" t="s">
        <v>2603</v>
      </c>
    </row>
    <row r="1762" spans="1:6" x14ac:dyDescent="0.25">
      <c r="A1762" t="s">
        <v>1522</v>
      </c>
      <c r="B1762" t="s">
        <v>445</v>
      </c>
      <c r="C1762" t="s">
        <v>446</v>
      </c>
      <c r="D1762" t="str">
        <f>HYPERLINK("http://service.sap.com/sap/support/notes/1608880","1608880")</f>
        <v>1608880</v>
      </c>
      <c r="E1762">
        <v>2</v>
      </c>
      <c r="F1762" t="s">
        <v>2604</v>
      </c>
    </row>
    <row r="1763" spans="1:6" x14ac:dyDescent="0.25">
      <c r="A1763" t="s">
        <v>1522</v>
      </c>
      <c r="B1763" t="s">
        <v>445</v>
      </c>
      <c r="C1763" t="s">
        <v>446</v>
      </c>
      <c r="D1763" t="str">
        <f>HYPERLINK("http://service.sap.com/sap/support/notes/1614919","1614919")</f>
        <v>1614919</v>
      </c>
      <c r="E1763">
        <v>7</v>
      </c>
      <c r="F1763" t="s">
        <v>2605</v>
      </c>
    </row>
    <row r="1764" spans="1:6" x14ac:dyDescent="0.25">
      <c r="A1764" t="s">
        <v>1522</v>
      </c>
      <c r="B1764" t="s">
        <v>445</v>
      </c>
      <c r="C1764" t="s">
        <v>446</v>
      </c>
      <c r="D1764" t="str">
        <f>HYPERLINK("http://service.sap.com/sap/support/notes/1615931","1615931")</f>
        <v>1615931</v>
      </c>
      <c r="E1764">
        <v>2</v>
      </c>
      <c r="F1764" t="s">
        <v>2606</v>
      </c>
    </row>
    <row r="1765" spans="1:6" x14ac:dyDescent="0.25">
      <c r="A1765" t="s">
        <v>1522</v>
      </c>
      <c r="B1765" t="s">
        <v>445</v>
      </c>
      <c r="C1765" t="s">
        <v>446</v>
      </c>
      <c r="D1765" t="str">
        <f>HYPERLINK("http://service.sap.com/sap/support/notes/1619577","1619577")</f>
        <v>1619577</v>
      </c>
      <c r="E1765">
        <v>1</v>
      </c>
      <c r="F1765" t="s">
        <v>2607</v>
      </c>
    </row>
    <row r="1766" spans="1:6" x14ac:dyDescent="0.25">
      <c r="A1766" t="s">
        <v>1522</v>
      </c>
      <c r="B1766" t="s">
        <v>445</v>
      </c>
      <c r="C1766" t="s">
        <v>446</v>
      </c>
      <c r="D1766" t="str">
        <f>HYPERLINK("http://service.sap.com/sap/support/notes/1625102","1625102")</f>
        <v>1625102</v>
      </c>
      <c r="E1766">
        <v>3</v>
      </c>
      <c r="F1766" t="s">
        <v>2608</v>
      </c>
    </row>
    <row r="1767" spans="1:6" x14ac:dyDescent="0.25">
      <c r="A1767" t="s">
        <v>1522</v>
      </c>
      <c r="B1767" t="s">
        <v>445</v>
      </c>
      <c r="C1767" t="s">
        <v>446</v>
      </c>
      <c r="D1767" t="str">
        <f>HYPERLINK("http://service.sap.com/sap/support/notes/1630476","1630476")</f>
        <v>1630476</v>
      </c>
      <c r="E1767">
        <v>3</v>
      </c>
      <c r="F1767" t="s">
        <v>2609</v>
      </c>
    </row>
    <row r="1768" spans="1:6" x14ac:dyDescent="0.25">
      <c r="A1768" t="s">
        <v>1522</v>
      </c>
      <c r="B1768" t="s">
        <v>445</v>
      </c>
      <c r="C1768" t="s">
        <v>446</v>
      </c>
      <c r="D1768" t="str">
        <f>HYPERLINK("http://service.sap.com/sap/support/notes/1637230","1637230")</f>
        <v>1637230</v>
      </c>
      <c r="E1768">
        <v>4</v>
      </c>
      <c r="F1768" t="s">
        <v>2610</v>
      </c>
    </row>
    <row r="1769" spans="1:6" x14ac:dyDescent="0.25">
      <c r="A1769" t="s">
        <v>1522</v>
      </c>
      <c r="B1769" t="s">
        <v>445</v>
      </c>
      <c r="C1769" t="s">
        <v>446</v>
      </c>
      <c r="D1769" t="str">
        <f>HYPERLINK("http://service.sap.com/sap/support/notes/1642913","1642913")</f>
        <v>1642913</v>
      </c>
      <c r="E1769">
        <v>1</v>
      </c>
      <c r="F1769" t="s">
        <v>2611</v>
      </c>
    </row>
    <row r="1770" spans="1:6" x14ac:dyDescent="0.25">
      <c r="A1770" t="s">
        <v>1522</v>
      </c>
      <c r="B1770" t="s">
        <v>445</v>
      </c>
      <c r="C1770" t="s">
        <v>446</v>
      </c>
      <c r="D1770" t="str">
        <f>HYPERLINK("http://service.sap.com/sap/support/notes/1645054","1645054")</f>
        <v>1645054</v>
      </c>
      <c r="E1770">
        <v>2</v>
      </c>
      <c r="F1770" t="s">
        <v>2612</v>
      </c>
    </row>
    <row r="1771" spans="1:6" x14ac:dyDescent="0.25">
      <c r="A1771" t="s">
        <v>1522</v>
      </c>
      <c r="B1771" t="s">
        <v>445</v>
      </c>
      <c r="C1771" t="s">
        <v>446</v>
      </c>
      <c r="D1771" t="str">
        <f>HYPERLINK("http://service.sap.com/sap/support/notes/1653692","1653692")</f>
        <v>1653692</v>
      </c>
      <c r="E1771">
        <v>5</v>
      </c>
      <c r="F1771" t="s">
        <v>2613</v>
      </c>
    </row>
    <row r="1772" spans="1:6" x14ac:dyDescent="0.25">
      <c r="A1772" t="s">
        <v>1522</v>
      </c>
      <c r="B1772" t="s">
        <v>445</v>
      </c>
      <c r="C1772" t="s">
        <v>446</v>
      </c>
      <c r="D1772" t="str">
        <f>HYPERLINK("http://service.sap.com/sap/support/notes/1664423","1664423")</f>
        <v>1664423</v>
      </c>
      <c r="E1772">
        <v>1</v>
      </c>
      <c r="F1772" t="s">
        <v>2614</v>
      </c>
    </row>
    <row r="1773" spans="1:6" x14ac:dyDescent="0.25">
      <c r="A1773" t="s">
        <v>1522</v>
      </c>
      <c r="B1773" t="s">
        <v>445</v>
      </c>
      <c r="C1773" t="s">
        <v>446</v>
      </c>
      <c r="D1773" t="str">
        <f>HYPERLINK("http://service.sap.com/sap/support/notes/1664809","1664809")</f>
        <v>1664809</v>
      </c>
      <c r="E1773">
        <v>1</v>
      </c>
      <c r="F1773" t="s">
        <v>2615</v>
      </c>
    </row>
    <row r="1774" spans="1:6" x14ac:dyDescent="0.25">
      <c r="A1774" t="s">
        <v>1522</v>
      </c>
      <c r="B1774" t="s">
        <v>2616</v>
      </c>
      <c r="C1774" t="s">
        <v>2617</v>
      </c>
      <c r="D1774" t="str">
        <f>HYPERLINK("http://service.sap.com/sap/support/notes/1622920","1622920")</f>
        <v>1622920</v>
      </c>
      <c r="E1774">
        <v>3</v>
      </c>
      <c r="F1774" t="s">
        <v>2618</v>
      </c>
    </row>
    <row r="1775" spans="1:6" x14ac:dyDescent="0.25">
      <c r="A1775" t="s">
        <v>1522</v>
      </c>
      <c r="B1775" t="s">
        <v>451</v>
      </c>
      <c r="C1775" t="s">
        <v>2619</v>
      </c>
      <c r="D1775" t="str">
        <f>HYPERLINK("http://service.sap.com/sap/support/notes/1042941","1042941")</f>
        <v>1042941</v>
      </c>
      <c r="E1775">
        <v>1</v>
      </c>
      <c r="F1775" t="s">
        <v>2620</v>
      </c>
    </row>
    <row r="1776" spans="1:6" x14ac:dyDescent="0.25">
      <c r="A1776" t="s">
        <v>1522</v>
      </c>
      <c r="B1776" t="s">
        <v>451</v>
      </c>
      <c r="C1776" t="s">
        <v>2619</v>
      </c>
      <c r="D1776" t="str">
        <f>HYPERLINK("http://service.sap.com/sap/support/notes/1485116","1485116")</f>
        <v>1485116</v>
      </c>
      <c r="E1776">
        <v>1</v>
      </c>
      <c r="F1776" t="s">
        <v>2621</v>
      </c>
    </row>
    <row r="1777" spans="1:6" x14ac:dyDescent="0.25">
      <c r="A1777" t="s">
        <v>1522</v>
      </c>
      <c r="B1777" t="s">
        <v>451</v>
      </c>
      <c r="C1777" t="s">
        <v>2619</v>
      </c>
      <c r="D1777" t="str">
        <f>HYPERLINK("http://service.sap.com/sap/support/notes/1598547","1598547")</f>
        <v>1598547</v>
      </c>
      <c r="E1777">
        <v>2</v>
      </c>
      <c r="F1777" t="s">
        <v>2622</v>
      </c>
    </row>
    <row r="1778" spans="1:6" x14ac:dyDescent="0.25">
      <c r="A1778" t="s">
        <v>1522</v>
      </c>
      <c r="B1778" t="s">
        <v>451</v>
      </c>
      <c r="C1778" t="s">
        <v>2619</v>
      </c>
      <c r="D1778" t="str">
        <f>HYPERLINK("http://service.sap.com/sap/support/notes/1617628","1617628")</f>
        <v>1617628</v>
      </c>
      <c r="E1778">
        <v>3</v>
      </c>
      <c r="F1778" t="s">
        <v>2623</v>
      </c>
    </row>
    <row r="1779" spans="1:6" x14ac:dyDescent="0.25">
      <c r="A1779" t="s">
        <v>1522</v>
      </c>
      <c r="B1779" t="s">
        <v>451</v>
      </c>
      <c r="C1779" t="s">
        <v>2619</v>
      </c>
      <c r="D1779" t="str">
        <f>HYPERLINK("http://service.sap.com/sap/support/notes/1620177","1620177")</f>
        <v>1620177</v>
      </c>
      <c r="E1779">
        <v>2</v>
      </c>
      <c r="F1779" t="s">
        <v>2624</v>
      </c>
    </row>
    <row r="1780" spans="1:6" x14ac:dyDescent="0.25">
      <c r="A1780" t="s">
        <v>1522</v>
      </c>
      <c r="B1780" t="s">
        <v>451</v>
      </c>
      <c r="C1780" t="s">
        <v>2619</v>
      </c>
      <c r="D1780" t="str">
        <f>HYPERLINK("http://service.sap.com/sap/support/notes/1620213","1620213")</f>
        <v>1620213</v>
      </c>
      <c r="E1780">
        <v>1</v>
      </c>
      <c r="F1780" t="s">
        <v>2625</v>
      </c>
    </row>
    <row r="1781" spans="1:6" x14ac:dyDescent="0.25">
      <c r="A1781" t="s">
        <v>1522</v>
      </c>
      <c r="B1781" t="s">
        <v>451</v>
      </c>
      <c r="C1781" t="s">
        <v>2619</v>
      </c>
      <c r="D1781" t="str">
        <f>HYPERLINK("http://service.sap.com/sap/support/notes/1623306","1623306")</f>
        <v>1623306</v>
      </c>
      <c r="E1781">
        <v>1</v>
      </c>
      <c r="F1781" t="s">
        <v>2626</v>
      </c>
    </row>
    <row r="1782" spans="1:6" x14ac:dyDescent="0.25">
      <c r="A1782" t="s">
        <v>1522</v>
      </c>
      <c r="B1782" t="s">
        <v>451</v>
      </c>
      <c r="C1782" t="s">
        <v>2619</v>
      </c>
      <c r="D1782" t="str">
        <f>HYPERLINK("http://service.sap.com/sap/support/notes/1644059","1644059")</f>
        <v>1644059</v>
      </c>
      <c r="E1782">
        <v>2</v>
      </c>
      <c r="F1782" t="s">
        <v>2627</v>
      </c>
    </row>
    <row r="1783" spans="1:6" x14ac:dyDescent="0.25">
      <c r="A1783" t="s">
        <v>1522</v>
      </c>
      <c r="B1783" t="s">
        <v>2628</v>
      </c>
      <c r="C1783" t="s">
        <v>2629</v>
      </c>
      <c r="D1783" t="str">
        <f>HYPERLINK("http://service.sap.com/sap/support/notes/1596913","1596913")</f>
        <v>1596913</v>
      </c>
      <c r="E1783">
        <v>2</v>
      </c>
      <c r="F1783" t="s">
        <v>2630</v>
      </c>
    </row>
    <row r="1784" spans="1:6" x14ac:dyDescent="0.25">
      <c r="A1784" t="s">
        <v>1522</v>
      </c>
      <c r="B1784" t="s">
        <v>2628</v>
      </c>
      <c r="C1784" t="s">
        <v>2629</v>
      </c>
      <c r="D1784" t="str">
        <f>HYPERLINK("http://service.sap.com/sap/support/notes/1626914","1626914")</f>
        <v>1626914</v>
      </c>
      <c r="E1784">
        <v>2</v>
      </c>
      <c r="F1784" t="s">
        <v>2631</v>
      </c>
    </row>
    <row r="1785" spans="1:6" x14ac:dyDescent="0.25">
      <c r="A1785" t="s">
        <v>1522</v>
      </c>
      <c r="B1785" t="s">
        <v>2628</v>
      </c>
      <c r="C1785" t="s">
        <v>2629</v>
      </c>
      <c r="D1785" t="str">
        <f>HYPERLINK("http://service.sap.com/sap/support/notes/1628085","1628085")</f>
        <v>1628085</v>
      </c>
      <c r="E1785">
        <v>1</v>
      </c>
      <c r="F1785" t="s">
        <v>2632</v>
      </c>
    </row>
    <row r="1786" spans="1:6" x14ac:dyDescent="0.25">
      <c r="A1786" t="s">
        <v>1522</v>
      </c>
      <c r="B1786" t="s">
        <v>2628</v>
      </c>
      <c r="C1786" t="s">
        <v>2629</v>
      </c>
      <c r="D1786" t="str">
        <f>HYPERLINK("http://service.sap.com/sap/support/notes/1656136","1656136")</f>
        <v>1656136</v>
      </c>
      <c r="E1786">
        <v>1</v>
      </c>
      <c r="F1786" t="s">
        <v>2633</v>
      </c>
    </row>
    <row r="1787" spans="1:6" x14ac:dyDescent="0.25">
      <c r="A1787" t="s">
        <v>1522</v>
      </c>
      <c r="B1787" t="s">
        <v>453</v>
      </c>
      <c r="C1787" t="s">
        <v>454</v>
      </c>
    </row>
    <row r="1788" spans="1:6" x14ac:dyDescent="0.25">
      <c r="A1788" t="s">
        <v>1522</v>
      </c>
      <c r="B1788" t="s">
        <v>455</v>
      </c>
      <c r="C1788" t="s">
        <v>456</v>
      </c>
      <c r="D1788" t="str">
        <f>HYPERLINK("http://service.sap.com/sap/support/notes/1613379","1613379")</f>
        <v>1613379</v>
      </c>
      <c r="E1788">
        <v>1</v>
      </c>
      <c r="F1788" t="s">
        <v>2634</v>
      </c>
    </row>
    <row r="1789" spans="1:6" x14ac:dyDescent="0.25">
      <c r="A1789" t="s">
        <v>1522</v>
      </c>
      <c r="B1789" t="s">
        <v>455</v>
      </c>
      <c r="C1789" t="s">
        <v>456</v>
      </c>
      <c r="D1789" t="str">
        <f>HYPERLINK("http://service.sap.com/sap/support/notes/1633640","1633640")</f>
        <v>1633640</v>
      </c>
      <c r="E1789">
        <v>1</v>
      </c>
      <c r="F1789" t="s">
        <v>2635</v>
      </c>
    </row>
    <row r="1790" spans="1:6" x14ac:dyDescent="0.25">
      <c r="A1790" t="s">
        <v>1522</v>
      </c>
      <c r="B1790" t="s">
        <v>455</v>
      </c>
      <c r="C1790" t="s">
        <v>456</v>
      </c>
      <c r="D1790" t="str">
        <f>HYPERLINK("http://service.sap.com/sap/support/notes/1635128","1635128")</f>
        <v>1635128</v>
      </c>
      <c r="E1790">
        <v>1</v>
      </c>
      <c r="F1790" t="s">
        <v>2636</v>
      </c>
    </row>
    <row r="1791" spans="1:6" x14ac:dyDescent="0.25">
      <c r="A1791" t="s">
        <v>1522</v>
      </c>
      <c r="B1791" t="s">
        <v>455</v>
      </c>
      <c r="C1791" t="s">
        <v>456</v>
      </c>
      <c r="D1791" t="str">
        <f>HYPERLINK("http://service.sap.com/sap/support/notes/1639751","1639751")</f>
        <v>1639751</v>
      </c>
      <c r="E1791">
        <v>2</v>
      </c>
      <c r="F1791" t="s">
        <v>2637</v>
      </c>
    </row>
    <row r="1792" spans="1:6" x14ac:dyDescent="0.25">
      <c r="A1792" t="s">
        <v>1522</v>
      </c>
      <c r="B1792" t="s">
        <v>455</v>
      </c>
      <c r="C1792" t="s">
        <v>456</v>
      </c>
      <c r="D1792" t="str">
        <f>HYPERLINK("http://service.sap.com/sap/support/notes/1641135","1641135")</f>
        <v>1641135</v>
      </c>
      <c r="E1792">
        <v>1</v>
      </c>
      <c r="F1792" t="s">
        <v>2638</v>
      </c>
    </row>
    <row r="1793" spans="1:6" x14ac:dyDescent="0.25">
      <c r="A1793" t="s">
        <v>1522</v>
      </c>
      <c r="B1793" t="s">
        <v>455</v>
      </c>
      <c r="C1793" t="s">
        <v>456</v>
      </c>
      <c r="D1793" t="str">
        <f>HYPERLINK("http://service.sap.com/sap/support/notes/1641344","1641344")</f>
        <v>1641344</v>
      </c>
      <c r="E1793">
        <v>2</v>
      </c>
      <c r="F1793" t="s">
        <v>2639</v>
      </c>
    </row>
    <row r="1794" spans="1:6" x14ac:dyDescent="0.25">
      <c r="A1794" t="s">
        <v>1522</v>
      </c>
      <c r="B1794" t="s">
        <v>455</v>
      </c>
      <c r="C1794" t="s">
        <v>456</v>
      </c>
      <c r="D1794" t="str">
        <f>HYPERLINK("http://service.sap.com/sap/support/notes/1647162","1647162")</f>
        <v>1647162</v>
      </c>
      <c r="E1794">
        <v>1</v>
      </c>
      <c r="F1794" t="s">
        <v>2640</v>
      </c>
    </row>
    <row r="1795" spans="1:6" x14ac:dyDescent="0.25">
      <c r="A1795" t="s">
        <v>1522</v>
      </c>
      <c r="B1795" t="s">
        <v>455</v>
      </c>
      <c r="C1795" t="s">
        <v>456</v>
      </c>
      <c r="D1795" t="str">
        <f>HYPERLINK("http://service.sap.com/sap/support/notes/1647361","1647361")</f>
        <v>1647361</v>
      </c>
      <c r="E1795">
        <v>1</v>
      </c>
      <c r="F1795" t="s">
        <v>2641</v>
      </c>
    </row>
    <row r="1796" spans="1:6" x14ac:dyDescent="0.25">
      <c r="A1796" t="s">
        <v>1522</v>
      </c>
      <c r="B1796" t="s">
        <v>455</v>
      </c>
      <c r="C1796" t="s">
        <v>456</v>
      </c>
      <c r="D1796" t="str">
        <f>HYPERLINK("http://service.sap.com/sap/support/notes/1660482","1660482")</f>
        <v>1660482</v>
      </c>
      <c r="E1796">
        <v>1</v>
      </c>
      <c r="F1796" t="s">
        <v>2642</v>
      </c>
    </row>
    <row r="1797" spans="1:6" x14ac:dyDescent="0.25">
      <c r="A1797" t="s">
        <v>1522</v>
      </c>
      <c r="B1797" t="s">
        <v>455</v>
      </c>
      <c r="C1797" t="s">
        <v>456</v>
      </c>
      <c r="D1797" t="str">
        <f>HYPERLINK("http://service.sap.com/sap/support/notes/1661753","1661753")</f>
        <v>1661753</v>
      </c>
      <c r="E1797">
        <v>3</v>
      </c>
      <c r="F1797" t="s">
        <v>2643</v>
      </c>
    </row>
    <row r="1798" spans="1:6" x14ac:dyDescent="0.25">
      <c r="A1798" t="s">
        <v>1522</v>
      </c>
      <c r="B1798" t="s">
        <v>455</v>
      </c>
      <c r="C1798" t="s">
        <v>456</v>
      </c>
      <c r="D1798" t="str">
        <f>HYPERLINK("http://service.sap.com/sap/support/notes/1662422","1662422")</f>
        <v>1662422</v>
      </c>
      <c r="E1798">
        <v>1</v>
      </c>
      <c r="F1798" t="s">
        <v>2644</v>
      </c>
    </row>
    <row r="1799" spans="1:6" x14ac:dyDescent="0.25">
      <c r="A1799" t="s">
        <v>1522</v>
      </c>
      <c r="B1799" t="s">
        <v>455</v>
      </c>
      <c r="C1799" t="s">
        <v>456</v>
      </c>
      <c r="D1799" t="str">
        <f>HYPERLINK("http://service.sap.com/sap/support/notes/1667460","1667460")</f>
        <v>1667460</v>
      </c>
      <c r="E1799">
        <v>1</v>
      </c>
      <c r="F1799" t="s">
        <v>2645</v>
      </c>
    </row>
    <row r="1800" spans="1:6" x14ac:dyDescent="0.25">
      <c r="A1800" t="s">
        <v>1522</v>
      </c>
      <c r="B1800" t="s">
        <v>455</v>
      </c>
      <c r="C1800" t="s">
        <v>456</v>
      </c>
      <c r="D1800" t="str">
        <f>HYPERLINK("http://service.sap.com/sap/support/notes/1667536","1667536")</f>
        <v>1667536</v>
      </c>
      <c r="E1800">
        <v>5</v>
      </c>
      <c r="F1800" t="s">
        <v>2646</v>
      </c>
    </row>
    <row r="1801" spans="1:6" x14ac:dyDescent="0.25">
      <c r="A1801" t="s">
        <v>1522</v>
      </c>
      <c r="B1801" t="s">
        <v>455</v>
      </c>
      <c r="C1801" t="s">
        <v>456</v>
      </c>
      <c r="D1801" t="str">
        <f>HYPERLINK("http://service.sap.com/sap/support/notes/1670863","1670863")</f>
        <v>1670863</v>
      </c>
      <c r="E1801">
        <v>1</v>
      </c>
      <c r="F1801" t="s">
        <v>2647</v>
      </c>
    </row>
    <row r="1802" spans="1:6" x14ac:dyDescent="0.25">
      <c r="A1802" t="s">
        <v>1522</v>
      </c>
      <c r="B1802" t="s">
        <v>461</v>
      </c>
      <c r="C1802" t="s">
        <v>462</v>
      </c>
      <c r="D1802" t="str">
        <f>HYPERLINK("http://service.sap.com/sap/support/notes/855538","855538")</f>
        <v>855538</v>
      </c>
      <c r="F1802" t="s">
        <v>2648</v>
      </c>
    </row>
    <row r="1803" spans="1:6" x14ac:dyDescent="0.25">
      <c r="A1803" t="s">
        <v>1522</v>
      </c>
      <c r="B1803" t="s">
        <v>461</v>
      </c>
      <c r="C1803" t="s">
        <v>462</v>
      </c>
      <c r="D1803" t="str">
        <f>HYPERLINK("http://service.sap.com/sap/support/notes/1593057","1593057")</f>
        <v>1593057</v>
      </c>
      <c r="E1803">
        <v>3</v>
      </c>
      <c r="F1803" t="s">
        <v>2649</v>
      </c>
    </row>
    <row r="1804" spans="1:6" x14ac:dyDescent="0.25">
      <c r="A1804" t="s">
        <v>1522</v>
      </c>
      <c r="B1804" t="s">
        <v>461</v>
      </c>
      <c r="C1804" t="s">
        <v>462</v>
      </c>
      <c r="D1804" t="str">
        <f>HYPERLINK("http://service.sap.com/sap/support/notes/1618615","1618615")</f>
        <v>1618615</v>
      </c>
      <c r="E1804">
        <v>1</v>
      </c>
      <c r="F1804" t="s">
        <v>2650</v>
      </c>
    </row>
    <row r="1805" spans="1:6" x14ac:dyDescent="0.25">
      <c r="A1805" t="s">
        <v>1522</v>
      </c>
      <c r="B1805" t="s">
        <v>461</v>
      </c>
      <c r="C1805" t="s">
        <v>462</v>
      </c>
      <c r="D1805" t="str">
        <f>HYPERLINK("http://service.sap.com/sap/support/notes/1622890","1622890")</f>
        <v>1622890</v>
      </c>
      <c r="E1805">
        <v>3</v>
      </c>
      <c r="F1805" t="s">
        <v>2651</v>
      </c>
    </row>
    <row r="1806" spans="1:6" x14ac:dyDescent="0.25">
      <c r="A1806" t="s">
        <v>1522</v>
      </c>
      <c r="B1806" t="s">
        <v>461</v>
      </c>
      <c r="C1806" t="s">
        <v>462</v>
      </c>
      <c r="D1806" t="str">
        <f>HYPERLINK("http://service.sap.com/sap/support/notes/1632033","1632033")</f>
        <v>1632033</v>
      </c>
      <c r="E1806">
        <v>1</v>
      </c>
      <c r="F1806" t="s">
        <v>2652</v>
      </c>
    </row>
    <row r="1807" spans="1:6" x14ac:dyDescent="0.25">
      <c r="A1807" t="s">
        <v>1522</v>
      </c>
      <c r="B1807" t="s">
        <v>461</v>
      </c>
      <c r="C1807" t="s">
        <v>462</v>
      </c>
      <c r="D1807" t="str">
        <f>HYPERLINK("http://service.sap.com/sap/support/notes/1636847","1636847")</f>
        <v>1636847</v>
      </c>
      <c r="E1807">
        <v>2</v>
      </c>
      <c r="F1807" t="s">
        <v>2653</v>
      </c>
    </row>
    <row r="1808" spans="1:6" x14ac:dyDescent="0.25">
      <c r="A1808" t="s">
        <v>1522</v>
      </c>
      <c r="B1808" t="s">
        <v>461</v>
      </c>
      <c r="C1808" t="s">
        <v>462</v>
      </c>
      <c r="D1808" t="str">
        <f>HYPERLINK("http://service.sap.com/sap/support/notes/1638926","1638926")</f>
        <v>1638926</v>
      </c>
      <c r="E1808">
        <v>1</v>
      </c>
      <c r="F1808" t="s">
        <v>2654</v>
      </c>
    </row>
    <row r="1809" spans="1:6" x14ac:dyDescent="0.25">
      <c r="A1809" t="s">
        <v>1522</v>
      </c>
      <c r="B1809" t="s">
        <v>461</v>
      </c>
      <c r="C1809" t="s">
        <v>462</v>
      </c>
      <c r="D1809" t="str">
        <f>HYPERLINK("http://service.sap.com/sap/support/notes/1641195","1641195")</f>
        <v>1641195</v>
      </c>
      <c r="E1809">
        <v>1</v>
      </c>
      <c r="F1809" t="s">
        <v>2655</v>
      </c>
    </row>
    <row r="1810" spans="1:6" x14ac:dyDescent="0.25">
      <c r="A1810" t="s">
        <v>1522</v>
      </c>
      <c r="B1810" t="s">
        <v>461</v>
      </c>
      <c r="C1810" t="s">
        <v>462</v>
      </c>
      <c r="D1810" t="str">
        <f>HYPERLINK("http://service.sap.com/sap/support/notes/1643301","1643301")</f>
        <v>1643301</v>
      </c>
      <c r="E1810">
        <v>1</v>
      </c>
      <c r="F1810" t="s">
        <v>2656</v>
      </c>
    </row>
    <row r="1811" spans="1:6" x14ac:dyDescent="0.25">
      <c r="A1811" t="s">
        <v>1522</v>
      </c>
      <c r="B1811" t="s">
        <v>461</v>
      </c>
      <c r="C1811" t="s">
        <v>462</v>
      </c>
      <c r="D1811" t="str">
        <f>HYPERLINK("http://service.sap.com/sap/support/notes/1643832","1643832")</f>
        <v>1643832</v>
      </c>
      <c r="E1811">
        <v>1</v>
      </c>
      <c r="F1811" t="s">
        <v>2657</v>
      </c>
    </row>
    <row r="1812" spans="1:6" x14ac:dyDescent="0.25">
      <c r="A1812" t="s">
        <v>1522</v>
      </c>
      <c r="B1812" t="s">
        <v>461</v>
      </c>
      <c r="C1812" t="s">
        <v>462</v>
      </c>
      <c r="D1812" t="str">
        <f>HYPERLINK("http://service.sap.com/sap/support/notes/1649270","1649270")</f>
        <v>1649270</v>
      </c>
      <c r="E1812">
        <v>1</v>
      </c>
      <c r="F1812" t="s">
        <v>2658</v>
      </c>
    </row>
    <row r="1813" spans="1:6" x14ac:dyDescent="0.25">
      <c r="A1813" t="s">
        <v>1522</v>
      </c>
      <c r="B1813" t="s">
        <v>461</v>
      </c>
      <c r="C1813" t="s">
        <v>462</v>
      </c>
      <c r="D1813" t="str">
        <f>HYPERLINK("http://service.sap.com/sap/support/notes/1652126","1652126")</f>
        <v>1652126</v>
      </c>
      <c r="E1813">
        <v>1</v>
      </c>
      <c r="F1813" t="s">
        <v>2659</v>
      </c>
    </row>
    <row r="1814" spans="1:6" x14ac:dyDescent="0.25">
      <c r="A1814" t="s">
        <v>1522</v>
      </c>
      <c r="B1814" t="s">
        <v>461</v>
      </c>
      <c r="C1814" t="s">
        <v>462</v>
      </c>
      <c r="D1814" t="str">
        <f>HYPERLINK("http://service.sap.com/sap/support/notes/1655339","1655339")</f>
        <v>1655339</v>
      </c>
      <c r="E1814">
        <v>2</v>
      </c>
      <c r="F1814" t="s">
        <v>2660</v>
      </c>
    </row>
    <row r="1815" spans="1:6" x14ac:dyDescent="0.25">
      <c r="A1815" t="s">
        <v>1522</v>
      </c>
      <c r="B1815" t="s">
        <v>461</v>
      </c>
      <c r="C1815" t="s">
        <v>462</v>
      </c>
      <c r="D1815" t="str">
        <f>HYPERLINK("http://service.sap.com/sap/support/notes/1659806","1659806")</f>
        <v>1659806</v>
      </c>
      <c r="E1815">
        <v>1</v>
      </c>
      <c r="F1815" t="s">
        <v>2661</v>
      </c>
    </row>
    <row r="1816" spans="1:6" x14ac:dyDescent="0.25">
      <c r="A1816" t="s">
        <v>1522</v>
      </c>
      <c r="B1816" t="s">
        <v>461</v>
      </c>
      <c r="C1816" t="s">
        <v>462</v>
      </c>
      <c r="D1816" t="str">
        <f>HYPERLINK("http://service.sap.com/sap/support/notes/1664743","1664743")</f>
        <v>1664743</v>
      </c>
      <c r="E1816">
        <v>2</v>
      </c>
      <c r="F1816" t="s">
        <v>2662</v>
      </c>
    </row>
    <row r="1817" spans="1:6" x14ac:dyDescent="0.25">
      <c r="A1817" t="s">
        <v>1522</v>
      </c>
      <c r="B1817" t="s">
        <v>466</v>
      </c>
      <c r="C1817" t="s">
        <v>337</v>
      </c>
      <c r="D1817" t="str">
        <f>HYPERLINK("http://service.sap.com/sap/support/notes/1557167","1557167")</f>
        <v>1557167</v>
      </c>
      <c r="E1817">
        <v>4</v>
      </c>
      <c r="F1817" t="s">
        <v>2663</v>
      </c>
    </row>
    <row r="1818" spans="1:6" x14ac:dyDescent="0.25">
      <c r="A1818" t="s">
        <v>1522</v>
      </c>
      <c r="B1818" t="s">
        <v>466</v>
      </c>
      <c r="C1818" t="s">
        <v>337</v>
      </c>
      <c r="D1818" t="str">
        <f>HYPERLINK("http://service.sap.com/sap/support/notes/1608387","1608387")</f>
        <v>1608387</v>
      </c>
      <c r="E1818">
        <v>2</v>
      </c>
      <c r="F1818" t="s">
        <v>2664</v>
      </c>
    </row>
    <row r="1819" spans="1:6" x14ac:dyDescent="0.25">
      <c r="A1819" t="s">
        <v>1522</v>
      </c>
      <c r="B1819" t="s">
        <v>466</v>
      </c>
      <c r="C1819" t="s">
        <v>337</v>
      </c>
      <c r="D1819" t="str">
        <f>HYPERLINK("http://service.sap.com/sap/support/notes/1641086","1641086")</f>
        <v>1641086</v>
      </c>
      <c r="E1819">
        <v>1</v>
      </c>
      <c r="F1819" t="s">
        <v>2665</v>
      </c>
    </row>
    <row r="1820" spans="1:6" x14ac:dyDescent="0.25">
      <c r="A1820" t="s">
        <v>1522</v>
      </c>
      <c r="B1820" t="s">
        <v>468</v>
      </c>
      <c r="C1820" t="s">
        <v>469</v>
      </c>
      <c r="D1820" t="str">
        <f>HYPERLINK("http://service.sap.com/sap/support/notes/1608455","1608455")</f>
        <v>1608455</v>
      </c>
      <c r="E1820">
        <v>3</v>
      </c>
      <c r="F1820" t="s">
        <v>2666</v>
      </c>
    </row>
    <row r="1821" spans="1:6" x14ac:dyDescent="0.25">
      <c r="A1821" t="s">
        <v>1522</v>
      </c>
      <c r="B1821" t="s">
        <v>468</v>
      </c>
      <c r="C1821" t="s">
        <v>469</v>
      </c>
      <c r="D1821" t="str">
        <f>HYPERLINK("http://service.sap.com/sap/support/notes/1611134","1611134")</f>
        <v>1611134</v>
      </c>
      <c r="E1821">
        <v>4</v>
      </c>
      <c r="F1821" t="s">
        <v>2667</v>
      </c>
    </row>
    <row r="1822" spans="1:6" x14ac:dyDescent="0.25">
      <c r="A1822" t="s">
        <v>1522</v>
      </c>
      <c r="B1822" t="s">
        <v>468</v>
      </c>
      <c r="C1822" t="s">
        <v>469</v>
      </c>
      <c r="D1822" t="str">
        <f>HYPERLINK("http://service.sap.com/sap/support/notes/1616509","1616509")</f>
        <v>1616509</v>
      </c>
      <c r="E1822">
        <v>1</v>
      </c>
      <c r="F1822" t="s">
        <v>2668</v>
      </c>
    </row>
    <row r="1823" spans="1:6" x14ac:dyDescent="0.25">
      <c r="A1823" t="s">
        <v>1522</v>
      </c>
      <c r="B1823" t="s">
        <v>468</v>
      </c>
      <c r="C1823" t="s">
        <v>469</v>
      </c>
      <c r="D1823" t="str">
        <f>HYPERLINK("http://service.sap.com/sap/support/notes/1617205","1617205")</f>
        <v>1617205</v>
      </c>
      <c r="E1823">
        <v>2</v>
      </c>
      <c r="F1823" t="s">
        <v>2669</v>
      </c>
    </row>
    <row r="1824" spans="1:6" x14ac:dyDescent="0.25">
      <c r="A1824" t="s">
        <v>1522</v>
      </c>
      <c r="B1824" t="s">
        <v>468</v>
      </c>
      <c r="C1824" t="s">
        <v>469</v>
      </c>
      <c r="D1824" t="str">
        <f>HYPERLINK("http://service.sap.com/sap/support/notes/1618791","1618791")</f>
        <v>1618791</v>
      </c>
      <c r="E1824">
        <v>1</v>
      </c>
      <c r="F1824" t="s">
        <v>2670</v>
      </c>
    </row>
    <row r="1825" spans="1:6" x14ac:dyDescent="0.25">
      <c r="A1825" t="s">
        <v>1522</v>
      </c>
      <c r="B1825" t="s">
        <v>468</v>
      </c>
      <c r="C1825" t="s">
        <v>469</v>
      </c>
      <c r="D1825" t="str">
        <f>HYPERLINK("http://service.sap.com/sap/support/notes/1625756","1625756")</f>
        <v>1625756</v>
      </c>
      <c r="E1825">
        <v>1</v>
      </c>
      <c r="F1825" t="s">
        <v>2671</v>
      </c>
    </row>
    <row r="1826" spans="1:6" x14ac:dyDescent="0.25">
      <c r="A1826" t="s">
        <v>1522</v>
      </c>
      <c r="B1826" t="s">
        <v>468</v>
      </c>
      <c r="C1826" t="s">
        <v>469</v>
      </c>
      <c r="D1826" t="str">
        <f>HYPERLINK("http://service.sap.com/sap/support/notes/1630547","1630547")</f>
        <v>1630547</v>
      </c>
      <c r="E1826">
        <v>3</v>
      </c>
      <c r="F1826" t="s">
        <v>2672</v>
      </c>
    </row>
    <row r="1827" spans="1:6" x14ac:dyDescent="0.25">
      <c r="A1827" t="s">
        <v>1522</v>
      </c>
      <c r="B1827" t="s">
        <v>468</v>
      </c>
      <c r="C1827" t="s">
        <v>469</v>
      </c>
      <c r="D1827" t="str">
        <f>HYPERLINK("http://service.sap.com/sap/support/notes/1631643","1631643")</f>
        <v>1631643</v>
      </c>
      <c r="E1827">
        <v>6</v>
      </c>
      <c r="F1827" t="s">
        <v>2673</v>
      </c>
    </row>
    <row r="1828" spans="1:6" x14ac:dyDescent="0.25">
      <c r="A1828" t="s">
        <v>1522</v>
      </c>
      <c r="B1828" t="s">
        <v>468</v>
      </c>
      <c r="C1828" t="s">
        <v>469</v>
      </c>
      <c r="D1828" t="str">
        <f>HYPERLINK("http://service.sap.com/sap/support/notes/1634734","1634734")</f>
        <v>1634734</v>
      </c>
      <c r="E1828">
        <v>4</v>
      </c>
      <c r="F1828" t="s">
        <v>2674</v>
      </c>
    </row>
    <row r="1829" spans="1:6" x14ac:dyDescent="0.25">
      <c r="A1829" t="s">
        <v>1522</v>
      </c>
      <c r="B1829" t="s">
        <v>468</v>
      </c>
      <c r="C1829" t="s">
        <v>469</v>
      </c>
      <c r="D1829" t="str">
        <f>HYPERLINK("http://service.sap.com/sap/support/notes/1635653","1635653")</f>
        <v>1635653</v>
      </c>
      <c r="E1829">
        <v>1</v>
      </c>
      <c r="F1829" t="s">
        <v>2675</v>
      </c>
    </row>
    <row r="1830" spans="1:6" x14ac:dyDescent="0.25">
      <c r="A1830" t="s">
        <v>1522</v>
      </c>
      <c r="B1830" t="s">
        <v>468</v>
      </c>
      <c r="C1830" t="s">
        <v>469</v>
      </c>
      <c r="D1830" t="str">
        <f>HYPERLINK("http://service.sap.com/sap/support/notes/1637754","1637754")</f>
        <v>1637754</v>
      </c>
      <c r="E1830">
        <v>1</v>
      </c>
      <c r="F1830" t="s">
        <v>2676</v>
      </c>
    </row>
    <row r="1831" spans="1:6" x14ac:dyDescent="0.25">
      <c r="A1831" t="s">
        <v>1522</v>
      </c>
      <c r="B1831" t="s">
        <v>468</v>
      </c>
      <c r="C1831" t="s">
        <v>469</v>
      </c>
      <c r="D1831" t="str">
        <f>HYPERLINK("http://service.sap.com/sap/support/notes/1638796","1638796")</f>
        <v>1638796</v>
      </c>
      <c r="E1831">
        <v>1</v>
      </c>
      <c r="F1831" t="s">
        <v>2677</v>
      </c>
    </row>
    <row r="1832" spans="1:6" x14ac:dyDescent="0.25">
      <c r="A1832" t="s">
        <v>1522</v>
      </c>
      <c r="B1832" t="s">
        <v>468</v>
      </c>
      <c r="C1832" t="s">
        <v>469</v>
      </c>
      <c r="D1832" t="str">
        <f>HYPERLINK("http://service.sap.com/sap/support/notes/1642709","1642709")</f>
        <v>1642709</v>
      </c>
      <c r="E1832">
        <v>1</v>
      </c>
      <c r="F1832" t="s">
        <v>2678</v>
      </c>
    </row>
    <row r="1833" spans="1:6" x14ac:dyDescent="0.25">
      <c r="A1833" t="s">
        <v>1522</v>
      </c>
      <c r="B1833" t="s">
        <v>468</v>
      </c>
      <c r="C1833" t="s">
        <v>469</v>
      </c>
      <c r="D1833" t="str">
        <f>HYPERLINK("http://service.sap.com/sap/support/notes/1642712","1642712")</f>
        <v>1642712</v>
      </c>
      <c r="E1833">
        <v>2</v>
      </c>
      <c r="F1833" t="s">
        <v>2679</v>
      </c>
    </row>
    <row r="1834" spans="1:6" x14ac:dyDescent="0.25">
      <c r="A1834" t="s">
        <v>1522</v>
      </c>
      <c r="B1834" t="s">
        <v>468</v>
      </c>
      <c r="C1834" t="s">
        <v>469</v>
      </c>
      <c r="D1834" t="str">
        <f>HYPERLINK("http://service.sap.com/sap/support/notes/1644111","1644111")</f>
        <v>1644111</v>
      </c>
      <c r="E1834">
        <v>1</v>
      </c>
      <c r="F1834" t="s">
        <v>2680</v>
      </c>
    </row>
    <row r="1835" spans="1:6" x14ac:dyDescent="0.25">
      <c r="A1835" t="s">
        <v>1522</v>
      </c>
      <c r="B1835" t="s">
        <v>468</v>
      </c>
      <c r="C1835" t="s">
        <v>469</v>
      </c>
      <c r="D1835" t="str">
        <f>HYPERLINK("http://service.sap.com/sap/support/notes/1652049","1652049")</f>
        <v>1652049</v>
      </c>
      <c r="E1835">
        <v>4</v>
      </c>
      <c r="F1835" t="s">
        <v>2681</v>
      </c>
    </row>
    <row r="1836" spans="1:6" x14ac:dyDescent="0.25">
      <c r="A1836" t="s">
        <v>1522</v>
      </c>
      <c r="B1836" t="s">
        <v>468</v>
      </c>
      <c r="C1836" t="s">
        <v>469</v>
      </c>
      <c r="D1836" t="str">
        <f>HYPERLINK("http://service.sap.com/sap/support/notes/1653565","1653565")</f>
        <v>1653565</v>
      </c>
      <c r="E1836">
        <v>1</v>
      </c>
      <c r="F1836" t="s">
        <v>2682</v>
      </c>
    </row>
    <row r="1837" spans="1:6" x14ac:dyDescent="0.25">
      <c r="A1837" t="s">
        <v>1522</v>
      </c>
      <c r="B1837" t="s">
        <v>468</v>
      </c>
      <c r="C1837" t="s">
        <v>469</v>
      </c>
      <c r="D1837" t="str">
        <f>HYPERLINK("http://service.sap.com/sap/support/notes/1657316","1657316")</f>
        <v>1657316</v>
      </c>
      <c r="E1837">
        <v>2</v>
      </c>
      <c r="F1837" t="s">
        <v>2683</v>
      </c>
    </row>
    <row r="1838" spans="1:6" x14ac:dyDescent="0.25">
      <c r="A1838" t="s">
        <v>1522</v>
      </c>
      <c r="B1838" t="s">
        <v>468</v>
      </c>
      <c r="C1838" t="s">
        <v>469</v>
      </c>
      <c r="D1838" t="str">
        <f>HYPERLINK("http://service.sap.com/sap/support/notes/1658007","1658007")</f>
        <v>1658007</v>
      </c>
      <c r="E1838">
        <v>1</v>
      </c>
      <c r="F1838" t="s">
        <v>2684</v>
      </c>
    </row>
    <row r="1839" spans="1:6" x14ac:dyDescent="0.25">
      <c r="A1839" t="s">
        <v>1522</v>
      </c>
      <c r="B1839" t="s">
        <v>468</v>
      </c>
      <c r="C1839" t="s">
        <v>469</v>
      </c>
      <c r="D1839" t="str">
        <f>HYPERLINK("http://service.sap.com/sap/support/notes/1660107","1660107")</f>
        <v>1660107</v>
      </c>
      <c r="E1839">
        <v>1</v>
      </c>
      <c r="F1839" t="s">
        <v>2685</v>
      </c>
    </row>
    <row r="1840" spans="1:6" x14ac:dyDescent="0.25">
      <c r="A1840" t="s">
        <v>1522</v>
      </c>
      <c r="B1840" t="s">
        <v>468</v>
      </c>
      <c r="C1840" t="s">
        <v>469</v>
      </c>
      <c r="D1840" t="str">
        <f>HYPERLINK("http://service.sap.com/sap/support/notes/1660466","1660466")</f>
        <v>1660466</v>
      </c>
      <c r="E1840">
        <v>1</v>
      </c>
      <c r="F1840" t="s">
        <v>2686</v>
      </c>
    </row>
    <row r="1841" spans="1:6" x14ac:dyDescent="0.25">
      <c r="A1841" t="s">
        <v>1522</v>
      </c>
      <c r="B1841" t="s">
        <v>468</v>
      </c>
      <c r="C1841" t="s">
        <v>469</v>
      </c>
      <c r="D1841" t="str">
        <f>HYPERLINK("http://service.sap.com/sap/support/notes/1660511","1660511")</f>
        <v>1660511</v>
      </c>
      <c r="E1841">
        <v>2</v>
      </c>
      <c r="F1841" t="s">
        <v>2687</v>
      </c>
    </row>
    <row r="1842" spans="1:6" x14ac:dyDescent="0.25">
      <c r="A1842" t="s">
        <v>1522</v>
      </c>
      <c r="B1842" t="s">
        <v>468</v>
      </c>
      <c r="C1842" t="s">
        <v>469</v>
      </c>
      <c r="D1842" t="str">
        <f>HYPERLINK("http://service.sap.com/sap/support/notes/1661938","1661938")</f>
        <v>1661938</v>
      </c>
      <c r="E1842">
        <v>1</v>
      </c>
      <c r="F1842" t="s">
        <v>2688</v>
      </c>
    </row>
    <row r="1843" spans="1:6" x14ac:dyDescent="0.25">
      <c r="A1843" t="s">
        <v>1522</v>
      </c>
      <c r="B1843" t="s">
        <v>468</v>
      </c>
      <c r="C1843" t="s">
        <v>469</v>
      </c>
      <c r="D1843" t="str">
        <f>HYPERLINK("http://service.sap.com/sap/support/notes/1662050","1662050")</f>
        <v>1662050</v>
      </c>
      <c r="E1843">
        <v>2</v>
      </c>
      <c r="F1843" t="s">
        <v>2689</v>
      </c>
    </row>
    <row r="1844" spans="1:6" x14ac:dyDescent="0.25">
      <c r="A1844" t="s">
        <v>1522</v>
      </c>
      <c r="B1844" t="s">
        <v>468</v>
      </c>
      <c r="C1844" t="s">
        <v>469</v>
      </c>
      <c r="D1844" t="str">
        <f>HYPERLINK("http://service.sap.com/sap/support/notes/1662155","1662155")</f>
        <v>1662155</v>
      </c>
      <c r="E1844">
        <v>2</v>
      </c>
      <c r="F1844" t="s">
        <v>2690</v>
      </c>
    </row>
    <row r="1845" spans="1:6" x14ac:dyDescent="0.25">
      <c r="A1845" t="s">
        <v>1522</v>
      </c>
      <c r="B1845" t="s">
        <v>468</v>
      </c>
      <c r="C1845" t="s">
        <v>469</v>
      </c>
      <c r="D1845" t="str">
        <f>HYPERLINK("http://service.sap.com/sap/support/notes/1662214","1662214")</f>
        <v>1662214</v>
      </c>
      <c r="E1845">
        <v>2</v>
      </c>
      <c r="F1845" t="s">
        <v>2691</v>
      </c>
    </row>
    <row r="1846" spans="1:6" x14ac:dyDescent="0.25">
      <c r="A1846" t="s">
        <v>1522</v>
      </c>
      <c r="B1846" t="s">
        <v>468</v>
      </c>
      <c r="C1846" t="s">
        <v>469</v>
      </c>
      <c r="D1846" t="str">
        <f>HYPERLINK("http://service.sap.com/sap/support/notes/1663638","1663638")</f>
        <v>1663638</v>
      </c>
      <c r="E1846">
        <v>1</v>
      </c>
      <c r="F1846" t="s">
        <v>2692</v>
      </c>
    </row>
    <row r="1847" spans="1:6" x14ac:dyDescent="0.25">
      <c r="A1847" t="s">
        <v>1522</v>
      </c>
      <c r="B1847" t="s">
        <v>468</v>
      </c>
      <c r="C1847" t="s">
        <v>469</v>
      </c>
      <c r="D1847" t="str">
        <f>HYPERLINK("http://service.sap.com/sap/support/notes/1664075","1664075")</f>
        <v>1664075</v>
      </c>
      <c r="E1847">
        <v>2</v>
      </c>
      <c r="F1847" t="s">
        <v>2693</v>
      </c>
    </row>
    <row r="1848" spans="1:6" x14ac:dyDescent="0.25">
      <c r="A1848" t="s">
        <v>1522</v>
      </c>
      <c r="B1848" t="s">
        <v>468</v>
      </c>
      <c r="C1848" t="s">
        <v>469</v>
      </c>
      <c r="D1848" t="str">
        <f>HYPERLINK("http://service.sap.com/sap/support/notes/1664772","1664772")</f>
        <v>1664772</v>
      </c>
      <c r="E1848">
        <v>4</v>
      </c>
      <c r="F1848" t="s">
        <v>2694</v>
      </c>
    </row>
    <row r="1849" spans="1:6" x14ac:dyDescent="0.25">
      <c r="A1849" t="s">
        <v>1522</v>
      </c>
      <c r="B1849" t="s">
        <v>468</v>
      </c>
      <c r="C1849" t="s">
        <v>469</v>
      </c>
      <c r="D1849" t="str">
        <f>HYPERLINK("http://service.sap.com/sap/support/notes/1667289","1667289")</f>
        <v>1667289</v>
      </c>
      <c r="E1849">
        <v>1</v>
      </c>
      <c r="F1849" t="s">
        <v>2695</v>
      </c>
    </row>
    <row r="1850" spans="1:6" x14ac:dyDescent="0.25">
      <c r="A1850" t="s">
        <v>1522</v>
      </c>
      <c r="B1850" t="s">
        <v>468</v>
      </c>
      <c r="C1850" t="s">
        <v>469</v>
      </c>
      <c r="D1850" t="str">
        <f>HYPERLINK("http://service.sap.com/sap/support/notes/1668906","1668906")</f>
        <v>1668906</v>
      </c>
      <c r="E1850">
        <v>2</v>
      </c>
      <c r="F1850" t="s">
        <v>2696</v>
      </c>
    </row>
    <row r="1851" spans="1:6" x14ac:dyDescent="0.25">
      <c r="A1851" t="s">
        <v>1522</v>
      </c>
      <c r="B1851" t="s">
        <v>468</v>
      </c>
      <c r="C1851" t="s">
        <v>469</v>
      </c>
      <c r="D1851" t="str">
        <f>HYPERLINK("http://service.sap.com/sap/support/notes/1671254","1671254")</f>
        <v>1671254</v>
      </c>
      <c r="E1851">
        <v>1</v>
      </c>
      <c r="F1851" t="s">
        <v>2697</v>
      </c>
    </row>
    <row r="1852" spans="1:6" x14ac:dyDescent="0.25">
      <c r="A1852" t="s">
        <v>1522</v>
      </c>
      <c r="B1852" t="s">
        <v>468</v>
      </c>
      <c r="C1852" t="s">
        <v>469</v>
      </c>
      <c r="D1852" t="str">
        <f>HYPERLINK("http://service.sap.com/sap/support/notes/1671427","1671427")</f>
        <v>1671427</v>
      </c>
      <c r="E1852">
        <v>1</v>
      </c>
      <c r="F1852" t="s">
        <v>2698</v>
      </c>
    </row>
    <row r="1853" spans="1:6" x14ac:dyDescent="0.25">
      <c r="A1853" t="s">
        <v>1522</v>
      </c>
      <c r="B1853" t="s">
        <v>468</v>
      </c>
      <c r="C1853" t="s">
        <v>469</v>
      </c>
      <c r="D1853" t="str">
        <f>HYPERLINK("http://service.sap.com/sap/support/notes/1671868","1671868")</f>
        <v>1671868</v>
      </c>
      <c r="E1853">
        <v>1</v>
      </c>
      <c r="F1853" t="s">
        <v>2691</v>
      </c>
    </row>
    <row r="1854" spans="1:6" x14ac:dyDescent="0.25">
      <c r="A1854" t="s">
        <v>1522</v>
      </c>
      <c r="B1854" t="s">
        <v>468</v>
      </c>
      <c r="C1854" t="s">
        <v>469</v>
      </c>
      <c r="D1854" t="str">
        <f>HYPERLINK("http://service.sap.com/sap/support/notes/1671944","1671944")</f>
        <v>1671944</v>
      </c>
      <c r="E1854">
        <v>1</v>
      </c>
      <c r="F1854" t="s">
        <v>2699</v>
      </c>
    </row>
    <row r="1855" spans="1:6" x14ac:dyDescent="0.25">
      <c r="A1855" t="s">
        <v>1522</v>
      </c>
      <c r="B1855" t="s">
        <v>2700</v>
      </c>
      <c r="C1855" t="s">
        <v>2701</v>
      </c>
      <c r="D1855" t="str">
        <f>HYPERLINK("http://service.sap.com/sap/support/notes/1617811","1617811")</f>
        <v>1617811</v>
      </c>
      <c r="E1855">
        <v>2</v>
      </c>
      <c r="F1855" t="s">
        <v>2702</v>
      </c>
    </row>
    <row r="1856" spans="1:6" x14ac:dyDescent="0.25">
      <c r="A1856" t="s">
        <v>1522</v>
      </c>
      <c r="B1856" t="s">
        <v>2700</v>
      </c>
      <c r="C1856" t="s">
        <v>2701</v>
      </c>
      <c r="D1856" t="str">
        <f>HYPERLINK("http://service.sap.com/sap/support/notes/1620359","1620359")</f>
        <v>1620359</v>
      </c>
      <c r="E1856">
        <v>2</v>
      </c>
      <c r="F1856" t="s">
        <v>2703</v>
      </c>
    </row>
    <row r="1857" spans="1:6" x14ac:dyDescent="0.25">
      <c r="A1857" t="s">
        <v>1522</v>
      </c>
      <c r="B1857" t="s">
        <v>2700</v>
      </c>
      <c r="C1857" t="s">
        <v>2701</v>
      </c>
      <c r="D1857" t="str">
        <f>HYPERLINK("http://service.sap.com/sap/support/notes/1637211","1637211")</f>
        <v>1637211</v>
      </c>
      <c r="E1857">
        <v>1</v>
      </c>
      <c r="F1857" t="s">
        <v>2704</v>
      </c>
    </row>
    <row r="1858" spans="1:6" x14ac:dyDescent="0.25">
      <c r="A1858" t="s">
        <v>1522</v>
      </c>
      <c r="B1858" t="s">
        <v>2705</v>
      </c>
      <c r="C1858" t="s">
        <v>2434</v>
      </c>
      <c r="D1858" t="str">
        <f>HYPERLINK("http://service.sap.com/sap/support/notes/1658870","1658870")</f>
        <v>1658870</v>
      </c>
      <c r="E1858">
        <v>1</v>
      </c>
      <c r="F1858" t="s">
        <v>2706</v>
      </c>
    </row>
    <row r="1859" spans="1:6" x14ac:dyDescent="0.25">
      <c r="A1859" t="s">
        <v>1522</v>
      </c>
      <c r="B1859" t="s">
        <v>478</v>
      </c>
      <c r="C1859" t="s">
        <v>389</v>
      </c>
      <c r="D1859" t="str">
        <f>HYPERLINK("http://service.sap.com/sap/support/notes/1612827","1612827")</f>
        <v>1612827</v>
      </c>
      <c r="E1859">
        <v>1</v>
      </c>
      <c r="F1859" t="s">
        <v>2707</v>
      </c>
    </row>
    <row r="1860" spans="1:6" x14ac:dyDescent="0.25">
      <c r="A1860" t="s">
        <v>1522</v>
      </c>
      <c r="B1860" t="s">
        <v>478</v>
      </c>
      <c r="C1860" t="s">
        <v>389</v>
      </c>
      <c r="D1860" t="str">
        <f>HYPERLINK("http://service.sap.com/sap/support/notes/1634647","1634647")</f>
        <v>1634647</v>
      </c>
      <c r="E1860">
        <v>1</v>
      </c>
      <c r="F1860" t="s">
        <v>2708</v>
      </c>
    </row>
    <row r="1861" spans="1:6" x14ac:dyDescent="0.25">
      <c r="A1861" t="s">
        <v>1522</v>
      </c>
      <c r="B1861" t="s">
        <v>478</v>
      </c>
      <c r="C1861" t="s">
        <v>389</v>
      </c>
      <c r="D1861" t="str">
        <f>HYPERLINK("http://service.sap.com/sap/support/notes/1635819","1635819")</f>
        <v>1635819</v>
      </c>
      <c r="E1861">
        <v>2</v>
      </c>
      <c r="F1861" t="s">
        <v>2709</v>
      </c>
    </row>
    <row r="1862" spans="1:6" x14ac:dyDescent="0.25">
      <c r="A1862" t="s">
        <v>1522</v>
      </c>
      <c r="B1862" t="s">
        <v>478</v>
      </c>
      <c r="C1862" t="s">
        <v>389</v>
      </c>
      <c r="D1862" t="str">
        <f>HYPERLINK("http://service.sap.com/sap/support/notes/1654680","1654680")</f>
        <v>1654680</v>
      </c>
      <c r="E1862">
        <v>1</v>
      </c>
      <c r="F1862" t="s">
        <v>2710</v>
      </c>
    </row>
    <row r="1863" spans="1:6" x14ac:dyDescent="0.25">
      <c r="A1863" t="s">
        <v>1522</v>
      </c>
      <c r="B1863" t="s">
        <v>478</v>
      </c>
      <c r="C1863" t="s">
        <v>389</v>
      </c>
      <c r="D1863" t="str">
        <f>HYPERLINK("http://service.sap.com/sap/support/notes/1661520","1661520")</f>
        <v>1661520</v>
      </c>
      <c r="E1863">
        <v>1</v>
      </c>
      <c r="F1863" t="s">
        <v>2711</v>
      </c>
    </row>
    <row r="1864" spans="1:6" x14ac:dyDescent="0.25">
      <c r="A1864" t="s">
        <v>1522</v>
      </c>
      <c r="B1864" t="s">
        <v>2712</v>
      </c>
      <c r="C1864" t="s">
        <v>2440</v>
      </c>
      <c r="D1864" t="str">
        <f>HYPERLINK("http://service.sap.com/sap/support/notes/1301279","1301279")</f>
        <v>1301279</v>
      </c>
      <c r="E1864">
        <v>11</v>
      </c>
      <c r="F1864" t="s">
        <v>2713</v>
      </c>
    </row>
    <row r="1865" spans="1:6" x14ac:dyDescent="0.25">
      <c r="A1865" t="s">
        <v>1522</v>
      </c>
      <c r="B1865" t="s">
        <v>2712</v>
      </c>
      <c r="C1865" t="s">
        <v>2440</v>
      </c>
      <c r="D1865" t="str">
        <f>HYPERLINK("http://service.sap.com/sap/support/notes/1618604","1618604")</f>
        <v>1618604</v>
      </c>
      <c r="E1865">
        <v>9</v>
      </c>
      <c r="F1865" t="s">
        <v>2714</v>
      </c>
    </row>
    <row r="1866" spans="1:6" x14ac:dyDescent="0.25">
      <c r="A1866" t="s">
        <v>1522</v>
      </c>
      <c r="B1866" t="s">
        <v>2712</v>
      </c>
      <c r="C1866" t="s">
        <v>2440</v>
      </c>
      <c r="D1866" t="str">
        <f>HYPERLINK("http://service.sap.com/sap/support/notes/1623505","1623505")</f>
        <v>1623505</v>
      </c>
      <c r="E1866">
        <v>1</v>
      </c>
      <c r="F1866" t="s">
        <v>2715</v>
      </c>
    </row>
    <row r="1867" spans="1:6" x14ac:dyDescent="0.25">
      <c r="A1867" t="s">
        <v>1522</v>
      </c>
      <c r="B1867" t="s">
        <v>2712</v>
      </c>
      <c r="C1867" t="s">
        <v>2440</v>
      </c>
      <c r="D1867" t="str">
        <f>HYPERLINK("http://service.sap.com/sap/support/notes/1627474","1627474")</f>
        <v>1627474</v>
      </c>
      <c r="E1867">
        <v>2</v>
      </c>
      <c r="F1867" t="s">
        <v>2716</v>
      </c>
    </row>
    <row r="1868" spans="1:6" x14ac:dyDescent="0.25">
      <c r="A1868" t="s">
        <v>1522</v>
      </c>
      <c r="B1868" t="s">
        <v>2712</v>
      </c>
      <c r="C1868" t="s">
        <v>2440</v>
      </c>
      <c r="D1868" t="str">
        <f>HYPERLINK("http://service.sap.com/sap/support/notes/1628313","1628313")</f>
        <v>1628313</v>
      </c>
      <c r="E1868">
        <v>9</v>
      </c>
      <c r="F1868" t="s">
        <v>2717</v>
      </c>
    </row>
    <row r="1869" spans="1:6" x14ac:dyDescent="0.25">
      <c r="A1869" t="s">
        <v>1522</v>
      </c>
      <c r="B1869" t="s">
        <v>2712</v>
      </c>
      <c r="C1869" t="s">
        <v>2440</v>
      </c>
      <c r="D1869" t="str">
        <f>HYPERLINK("http://service.sap.com/sap/support/notes/1636516","1636516")</f>
        <v>1636516</v>
      </c>
      <c r="E1869">
        <v>4</v>
      </c>
      <c r="F1869" t="s">
        <v>2718</v>
      </c>
    </row>
    <row r="1870" spans="1:6" x14ac:dyDescent="0.25">
      <c r="A1870" t="s">
        <v>1522</v>
      </c>
      <c r="B1870" t="s">
        <v>481</v>
      </c>
      <c r="C1870" t="s">
        <v>482</v>
      </c>
      <c r="D1870" t="str">
        <f>HYPERLINK("http://service.sap.com/sap/support/notes/607640","607640")</f>
        <v>607640</v>
      </c>
      <c r="E1870">
        <v>1</v>
      </c>
      <c r="F1870" t="s">
        <v>2719</v>
      </c>
    </row>
    <row r="1871" spans="1:6" x14ac:dyDescent="0.25">
      <c r="A1871" t="s">
        <v>1522</v>
      </c>
      <c r="B1871" t="s">
        <v>481</v>
      </c>
      <c r="C1871" t="s">
        <v>482</v>
      </c>
      <c r="D1871" t="str">
        <f>HYPERLINK("http://service.sap.com/sap/support/notes/1542782","1542782")</f>
        <v>1542782</v>
      </c>
      <c r="E1871">
        <v>8</v>
      </c>
      <c r="F1871" t="s">
        <v>2720</v>
      </c>
    </row>
    <row r="1872" spans="1:6" x14ac:dyDescent="0.25">
      <c r="A1872" t="s">
        <v>1522</v>
      </c>
      <c r="B1872" t="s">
        <v>481</v>
      </c>
      <c r="C1872" t="s">
        <v>482</v>
      </c>
      <c r="D1872" t="str">
        <f>HYPERLINK("http://service.sap.com/sap/support/notes/1548302","1548302")</f>
        <v>1548302</v>
      </c>
      <c r="E1872">
        <v>4</v>
      </c>
      <c r="F1872" t="s">
        <v>2721</v>
      </c>
    </row>
    <row r="1873" spans="1:6" x14ac:dyDescent="0.25">
      <c r="A1873" t="s">
        <v>1522</v>
      </c>
      <c r="B1873" t="s">
        <v>481</v>
      </c>
      <c r="C1873" t="s">
        <v>482</v>
      </c>
      <c r="D1873" t="str">
        <f>HYPERLINK("http://service.sap.com/sap/support/notes/1609747","1609747")</f>
        <v>1609747</v>
      </c>
      <c r="E1873">
        <v>2</v>
      </c>
      <c r="F1873" t="s">
        <v>493</v>
      </c>
    </row>
    <row r="1874" spans="1:6" x14ac:dyDescent="0.25">
      <c r="A1874" t="s">
        <v>1522</v>
      </c>
      <c r="B1874" t="s">
        <v>481</v>
      </c>
      <c r="C1874" t="s">
        <v>482</v>
      </c>
      <c r="D1874" t="str">
        <f>HYPERLINK("http://service.sap.com/sap/support/notes/1617745","1617745")</f>
        <v>1617745</v>
      </c>
      <c r="E1874">
        <v>1</v>
      </c>
      <c r="F1874" t="s">
        <v>2722</v>
      </c>
    </row>
    <row r="1875" spans="1:6" x14ac:dyDescent="0.25">
      <c r="A1875" t="s">
        <v>1522</v>
      </c>
      <c r="B1875" t="s">
        <v>481</v>
      </c>
      <c r="C1875" t="s">
        <v>482</v>
      </c>
      <c r="D1875" t="str">
        <f>HYPERLINK("http://service.sap.com/sap/support/notes/1618199","1618199")</f>
        <v>1618199</v>
      </c>
      <c r="E1875">
        <v>4</v>
      </c>
      <c r="F1875" t="s">
        <v>2723</v>
      </c>
    </row>
    <row r="1876" spans="1:6" x14ac:dyDescent="0.25">
      <c r="A1876" t="s">
        <v>1522</v>
      </c>
      <c r="B1876" t="s">
        <v>481</v>
      </c>
      <c r="C1876" t="s">
        <v>482</v>
      </c>
      <c r="D1876" t="str">
        <f>HYPERLINK("http://service.sap.com/sap/support/notes/1619281","1619281")</f>
        <v>1619281</v>
      </c>
      <c r="E1876">
        <v>3</v>
      </c>
      <c r="F1876" t="s">
        <v>2724</v>
      </c>
    </row>
    <row r="1877" spans="1:6" x14ac:dyDescent="0.25">
      <c r="A1877" t="s">
        <v>1522</v>
      </c>
      <c r="B1877" t="s">
        <v>481</v>
      </c>
      <c r="C1877" t="s">
        <v>482</v>
      </c>
      <c r="D1877" t="str">
        <f>HYPERLINK("http://service.sap.com/sap/support/notes/1623158","1623158")</f>
        <v>1623158</v>
      </c>
      <c r="E1877">
        <v>7</v>
      </c>
      <c r="F1877" t="s">
        <v>2725</v>
      </c>
    </row>
    <row r="1878" spans="1:6" x14ac:dyDescent="0.25">
      <c r="A1878" t="s">
        <v>1522</v>
      </c>
      <c r="B1878" t="s">
        <v>481</v>
      </c>
      <c r="C1878" t="s">
        <v>482</v>
      </c>
      <c r="D1878" t="str">
        <f>HYPERLINK("http://service.sap.com/sap/support/notes/1623912","1623912")</f>
        <v>1623912</v>
      </c>
      <c r="E1878">
        <v>2</v>
      </c>
      <c r="F1878" t="s">
        <v>2726</v>
      </c>
    </row>
    <row r="1879" spans="1:6" x14ac:dyDescent="0.25">
      <c r="A1879" t="s">
        <v>1522</v>
      </c>
      <c r="B1879" t="s">
        <v>481</v>
      </c>
      <c r="C1879" t="s">
        <v>482</v>
      </c>
      <c r="D1879" t="str">
        <f>HYPERLINK("http://service.sap.com/sap/support/notes/1625955","1625955")</f>
        <v>1625955</v>
      </c>
      <c r="E1879">
        <v>1</v>
      </c>
      <c r="F1879" t="s">
        <v>2727</v>
      </c>
    </row>
    <row r="1880" spans="1:6" x14ac:dyDescent="0.25">
      <c r="A1880" t="s">
        <v>1522</v>
      </c>
      <c r="B1880" t="s">
        <v>481</v>
      </c>
      <c r="C1880" t="s">
        <v>482</v>
      </c>
      <c r="D1880" t="str">
        <f>HYPERLINK("http://service.sap.com/sap/support/notes/1626904","1626904")</f>
        <v>1626904</v>
      </c>
      <c r="E1880">
        <v>3</v>
      </c>
      <c r="F1880" t="s">
        <v>2728</v>
      </c>
    </row>
    <row r="1881" spans="1:6" x14ac:dyDescent="0.25">
      <c r="A1881" t="s">
        <v>1522</v>
      </c>
      <c r="B1881" t="s">
        <v>481</v>
      </c>
      <c r="C1881" t="s">
        <v>482</v>
      </c>
      <c r="D1881" t="str">
        <f>HYPERLINK("http://service.sap.com/sap/support/notes/1629530","1629530")</f>
        <v>1629530</v>
      </c>
      <c r="E1881">
        <v>1</v>
      </c>
      <c r="F1881" t="s">
        <v>2729</v>
      </c>
    </row>
    <row r="1882" spans="1:6" x14ac:dyDescent="0.25">
      <c r="A1882" t="s">
        <v>1522</v>
      </c>
      <c r="B1882" t="s">
        <v>481</v>
      </c>
      <c r="C1882" t="s">
        <v>482</v>
      </c>
      <c r="D1882" t="str">
        <f>HYPERLINK("http://service.sap.com/sap/support/notes/1630743","1630743")</f>
        <v>1630743</v>
      </c>
      <c r="E1882">
        <v>2</v>
      </c>
      <c r="F1882" t="s">
        <v>2730</v>
      </c>
    </row>
    <row r="1883" spans="1:6" x14ac:dyDescent="0.25">
      <c r="A1883" t="s">
        <v>1522</v>
      </c>
      <c r="B1883" t="s">
        <v>481</v>
      </c>
      <c r="C1883" t="s">
        <v>482</v>
      </c>
      <c r="D1883" t="str">
        <f>HYPERLINK("http://service.sap.com/sap/support/notes/1631466","1631466")</f>
        <v>1631466</v>
      </c>
      <c r="E1883">
        <v>1</v>
      </c>
      <c r="F1883" t="s">
        <v>2731</v>
      </c>
    </row>
    <row r="1884" spans="1:6" x14ac:dyDescent="0.25">
      <c r="A1884" t="s">
        <v>1522</v>
      </c>
      <c r="B1884" t="s">
        <v>481</v>
      </c>
      <c r="C1884" t="s">
        <v>482</v>
      </c>
      <c r="D1884" t="str">
        <f>HYPERLINK("http://service.sap.com/sap/support/notes/1632983","1632983")</f>
        <v>1632983</v>
      </c>
      <c r="E1884">
        <v>1</v>
      </c>
      <c r="F1884" t="s">
        <v>2732</v>
      </c>
    </row>
    <row r="1885" spans="1:6" x14ac:dyDescent="0.25">
      <c r="A1885" t="s">
        <v>1522</v>
      </c>
      <c r="B1885" t="s">
        <v>481</v>
      </c>
      <c r="C1885" t="s">
        <v>482</v>
      </c>
      <c r="D1885" t="str">
        <f>HYPERLINK("http://service.sap.com/sap/support/notes/1635268","1635268")</f>
        <v>1635268</v>
      </c>
      <c r="E1885">
        <v>1</v>
      </c>
      <c r="F1885" t="s">
        <v>2733</v>
      </c>
    </row>
    <row r="1886" spans="1:6" x14ac:dyDescent="0.25">
      <c r="A1886" t="s">
        <v>1522</v>
      </c>
      <c r="B1886" t="s">
        <v>481</v>
      </c>
      <c r="C1886" t="s">
        <v>482</v>
      </c>
      <c r="D1886" t="str">
        <f>HYPERLINK("http://service.sap.com/sap/support/notes/1639384","1639384")</f>
        <v>1639384</v>
      </c>
      <c r="E1886">
        <v>4</v>
      </c>
      <c r="F1886" t="s">
        <v>2734</v>
      </c>
    </row>
    <row r="1887" spans="1:6" x14ac:dyDescent="0.25">
      <c r="A1887" t="s">
        <v>1522</v>
      </c>
      <c r="B1887" t="s">
        <v>481</v>
      </c>
      <c r="C1887" t="s">
        <v>482</v>
      </c>
      <c r="D1887" t="str">
        <f>HYPERLINK("http://service.sap.com/sap/support/notes/1640373","1640373")</f>
        <v>1640373</v>
      </c>
      <c r="E1887">
        <v>1</v>
      </c>
      <c r="F1887" t="s">
        <v>2735</v>
      </c>
    </row>
    <row r="1888" spans="1:6" x14ac:dyDescent="0.25">
      <c r="A1888" t="s">
        <v>1522</v>
      </c>
      <c r="B1888" t="s">
        <v>481</v>
      </c>
      <c r="C1888" t="s">
        <v>482</v>
      </c>
      <c r="D1888" t="str">
        <f>HYPERLINK("http://service.sap.com/sap/support/notes/1645234","1645234")</f>
        <v>1645234</v>
      </c>
      <c r="E1888">
        <v>1</v>
      </c>
      <c r="F1888" t="s">
        <v>2736</v>
      </c>
    </row>
    <row r="1889" spans="1:6" x14ac:dyDescent="0.25">
      <c r="A1889" t="s">
        <v>1522</v>
      </c>
      <c r="B1889" t="s">
        <v>481</v>
      </c>
      <c r="C1889" t="s">
        <v>482</v>
      </c>
      <c r="D1889" t="str">
        <f>HYPERLINK("http://service.sap.com/sap/support/notes/1646825","1646825")</f>
        <v>1646825</v>
      </c>
      <c r="E1889">
        <v>1</v>
      </c>
      <c r="F1889" t="s">
        <v>2737</v>
      </c>
    </row>
    <row r="1890" spans="1:6" x14ac:dyDescent="0.25">
      <c r="A1890" t="s">
        <v>1522</v>
      </c>
      <c r="B1890" t="s">
        <v>481</v>
      </c>
      <c r="C1890" t="s">
        <v>482</v>
      </c>
      <c r="D1890" t="str">
        <f>HYPERLINK("http://service.sap.com/sap/support/notes/1647756","1647756")</f>
        <v>1647756</v>
      </c>
      <c r="E1890">
        <v>1</v>
      </c>
      <c r="F1890" t="s">
        <v>2738</v>
      </c>
    </row>
    <row r="1891" spans="1:6" x14ac:dyDescent="0.25">
      <c r="A1891" t="s">
        <v>1522</v>
      </c>
      <c r="B1891" t="s">
        <v>481</v>
      </c>
      <c r="C1891" t="s">
        <v>482</v>
      </c>
      <c r="D1891" t="str">
        <f>HYPERLINK("http://service.sap.com/sap/support/notes/1647826","1647826")</f>
        <v>1647826</v>
      </c>
      <c r="E1891">
        <v>1</v>
      </c>
      <c r="F1891" t="s">
        <v>2739</v>
      </c>
    </row>
    <row r="1892" spans="1:6" x14ac:dyDescent="0.25">
      <c r="A1892" t="s">
        <v>1522</v>
      </c>
      <c r="B1892" t="s">
        <v>481</v>
      </c>
      <c r="C1892" t="s">
        <v>482</v>
      </c>
      <c r="D1892" t="str">
        <f>HYPERLINK("http://service.sap.com/sap/support/notes/1650809","1650809")</f>
        <v>1650809</v>
      </c>
      <c r="E1892">
        <v>7</v>
      </c>
      <c r="F1892" t="s">
        <v>2740</v>
      </c>
    </row>
    <row r="1893" spans="1:6" x14ac:dyDescent="0.25">
      <c r="A1893" t="s">
        <v>1522</v>
      </c>
      <c r="B1893" t="s">
        <v>481</v>
      </c>
      <c r="C1893" t="s">
        <v>482</v>
      </c>
      <c r="D1893" t="str">
        <f>HYPERLINK("http://service.sap.com/sap/support/notes/1653889","1653889")</f>
        <v>1653889</v>
      </c>
      <c r="E1893">
        <v>2</v>
      </c>
      <c r="F1893" t="s">
        <v>2741</v>
      </c>
    </row>
    <row r="1894" spans="1:6" x14ac:dyDescent="0.25">
      <c r="A1894" t="s">
        <v>1522</v>
      </c>
      <c r="B1894" t="s">
        <v>481</v>
      </c>
      <c r="C1894" t="s">
        <v>482</v>
      </c>
      <c r="D1894" t="str">
        <f>HYPERLINK("http://service.sap.com/sap/support/notes/1655318","1655318")</f>
        <v>1655318</v>
      </c>
      <c r="E1894">
        <v>2</v>
      </c>
      <c r="F1894" t="s">
        <v>2742</v>
      </c>
    </row>
    <row r="1895" spans="1:6" x14ac:dyDescent="0.25">
      <c r="A1895" t="s">
        <v>1522</v>
      </c>
      <c r="B1895" t="s">
        <v>481</v>
      </c>
      <c r="C1895" t="s">
        <v>482</v>
      </c>
      <c r="D1895" t="str">
        <f>HYPERLINK("http://service.sap.com/sap/support/notes/1655387","1655387")</f>
        <v>1655387</v>
      </c>
      <c r="E1895">
        <v>5</v>
      </c>
      <c r="F1895" t="s">
        <v>2743</v>
      </c>
    </row>
    <row r="1896" spans="1:6" x14ac:dyDescent="0.25">
      <c r="A1896" t="s">
        <v>1522</v>
      </c>
      <c r="B1896" t="s">
        <v>481</v>
      </c>
      <c r="C1896" t="s">
        <v>482</v>
      </c>
      <c r="D1896" t="str">
        <f>HYPERLINK("http://service.sap.com/sap/support/notes/1658594","1658594")</f>
        <v>1658594</v>
      </c>
      <c r="E1896">
        <v>1</v>
      </c>
      <c r="F1896" t="s">
        <v>2744</v>
      </c>
    </row>
    <row r="1897" spans="1:6" x14ac:dyDescent="0.25">
      <c r="A1897" t="s">
        <v>1522</v>
      </c>
      <c r="B1897" t="s">
        <v>481</v>
      </c>
      <c r="C1897" t="s">
        <v>482</v>
      </c>
      <c r="D1897" t="str">
        <f>HYPERLINK("http://service.sap.com/sap/support/notes/1660177","1660177")</f>
        <v>1660177</v>
      </c>
      <c r="E1897">
        <v>2</v>
      </c>
      <c r="F1897" t="s">
        <v>2745</v>
      </c>
    </row>
    <row r="1898" spans="1:6" x14ac:dyDescent="0.25">
      <c r="A1898" t="s">
        <v>1522</v>
      </c>
      <c r="B1898" t="s">
        <v>481</v>
      </c>
      <c r="C1898" t="s">
        <v>482</v>
      </c>
      <c r="D1898" t="str">
        <f>HYPERLINK("http://service.sap.com/sap/support/notes/1661175","1661175")</f>
        <v>1661175</v>
      </c>
      <c r="E1898">
        <v>2</v>
      </c>
      <c r="F1898" t="s">
        <v>2746</v>
      </c>
    </row>
    <row r="1899" spans="1:6" x14ac:dyDescent="0.25">
      <c r="A1899" t="s">
        <v>1522</v>
      </c>
      <c r="B1899" t="s">
        <v>481</v>
      </c>
      <c r="C1899" t="s">
        <v>482</v>
      </c>
      <c r="D1899" t="str">
        <f>HYPERLINK("http://service.sap.com/sap/support/notes/1661360","1661360")</f>
        <v>1661360</v>
      </c>
      <c r="E1899">
        <v>3</v>
      </c>
      <c r="F1899" t="s">
        <v>2747</v>
      </c>
    </row>
    <row r="1900" spans="1:6" x14ac:dyDescent="0.25">
      <c r="A1900" t="s">
        <v>1522</v>
      </c>
      <c r="B1900" t="s">
        <v>481</v>
      </c>
      <c r="C1900" t="s">
        <v>482</v>
      </c>
      <c r="D1900" t="str">
        <f>HYPERLINK("http://service.sap.com/sap/support/notes/1662516","1662516")</f>
        <v>1662516</v>
      </c>
      <c r="E1900">
        <v>2</v>
      </c>
      <c r="F1900" t="s">
        <v>2748</v>
      </c>
    </row>
    <row r="1901" spans="1:6" x14ac:dyDescent="0.25">
      <c r="A1901" t="s">
        <v>1522</v>
      </c>
      <c r="B1901" t="s">
        <v>481</v>
      </c>
      <c r="C1901" t="s">
        <v>482</v>
      </c>
      <c r="D1901" t="str">
        <f>HYPERLINK("http://service.sap.com/sap/support/notes/1663813","1663813")</f>
        <v>1663813</v>
      </c>
      <c r="E1901">
        <v>2</v>
      </c>
      <c r="F1901" t="s">
        <v>2749</v>
      </c>
    </row>
    <row r="1902" spans="1:6" x14ac:dyDescent="0.25">
      <c r="A1902" t="s">
        <v>1522</v>
      </c>
      <c r="B1902" t="s">
        <v>481</v>
      </c>
      <c r="C1902" t="s">
        <v>482</v>
      </c>
      <c r="D1902" t="str">
        <f>HYPERLINK("http://service.sap.com/sap/support/notes/1664418","1664418")</f>
        <v>1664418</v>
      </c>
      <c r="E1902">
        <v>3</v>
      </c>
      <c r="F1902" t="s">
        <v>2750</v>
      </c>
    </row>
    <row r="1903" spans="1:6" x14ac:dyDescent="0.25">
      <c r="A1903" t="s">
        <v>1522</v>
      </c>
      <c r="B1903" t="s">
        <v>481</v>
      </c>
      <c r="C1903" t="s">
        <v>482</v>
      </c>
      <c r="D1903" t="str">
        <f>HYPERLINK("http://service.sap.com/sap/support/notes/1665570","1665570")</f>
        <v>1665570</v>
      </c>
      <c r="E1903">
        <v>2</v>
      </c>
      <c r="F1903" t="s">
        <v>2751</v>
      </c>
    </row>
    <row r="1904" spans="1:6" x14ac:dyDescent="0.25">
      <c r="A1904" t="s">
        <v>1522</v>
      </c>
      <c r="B1904" t="s">
        <v>481</v>
      </c>
      <c r="C1904" t="s">
        <v>482</v>
      </c>
      <c r="D1904" t="str">
        <f>HYPERLINK("http://service.sap.com/sap/support/notes/1666591","1666591")</f>
        <v>1666591</v>
      </c>
      <c r="E1904">
        <v>2</v>
      </c>
      <c r="F1904" t="s">
        <v>2752</v>
      </c>
    </row>
    <row r="1905" spans="1:6" x14ac:dyDescent="0.25">
      <c r="A1905" t="s">
        <v>1522</v>
      </c>
      <c r="B1905" t="s">
        <v>481</v>
      </c>
      <c r="C1905" t="s">
        <v>482</v>
      </c>
      <c r="D1905" t="str">
        <f>HYPERLINK("http://service.sap.com/sap/support/notes/1669965","1669965")</f>
        <v>1669965</v>
      </c>
      <c r="E1905">
        <v>1</v>
      </c>
      <c r="F1905" t="s">
        <v>2753</v>
      </c>
    </row>
    <row r="1906" spans="1:6" x14ac:dyDescent="0.25">
      <c r="A1906" t="s">
        <v>1522</v>
      </c>
      <c r="B1906" t="s">
        <v>2754</v>
      </c>
      <c r="C1906" t="s">
        <v>2755</v>
      </c>
      <c r="D1906" t="str">
        <f>HYPERLINK("http://service.sap.com/sap/support/notes/1545742","1545742")</f>
        <v>1545742</v>
      </c>
      <c r="E1906">
        <v>4</v>
      </c>
      <c r="F1906" t="s">
        <v>2756</v>
      </c>
    </row>
    <row r="1907" spans="1:6" x14ac:dyDescent="0.25">
      <c r="A1907" t="s">
        <v>1522</v>
      </c>
      <c r="B1907" t="s">
        <v>2754</v>
      </c>
      <c r="C1907" t="s">
        <v>2755</v>
      </c>
      <c r="D1907" t="str">
        <f>HYPERLINK("http://service.sap.com/sap/support/notes/1582458","1582458")</f>
        <v>1582458</v>
      </c>
      <c r="E1907">
        <v>2</v>
      </c>
      <c r="F1907" t="s">
        <v>2757</v>
      </c>
    </row>
    <row r="1908" spans="1:6" x14ac:dyDescent="0.25">
      <c r="A1908" t="s">
        <v>1522</v>
      </c>
      <c r="B1908" t="s">
        <v>2754</v>
      </c>
      <c r="C1908" t="s">
        <v>2755</v>
      </c>
      <c r="D1908" t="str">
        <f>HYPERLINK("http://service.sap.com/sap/support/notes/1596809","1596809")</f>
        <v>1596809</v>
      </c>
      <c r="E1908">
        <v>2</v>
      </c>
      <c r="F1908" t="s">
        <v>2758</v>
      </c>
    </row>
    <row r="1909" spans="1:6" x14ac:dyDescent="0.25">
      <c r="A1909" t="s">
        <v>1522</v>
      </c>
      <c r="B1909" t="s">
        <v>2754</v>
      </c>
      <c r="C1909" t="s">
        <v>2755</v>
      </c>
      <c r="D1909" t="str">
        <f>HYPERLINK("http://service.sap.com/sap/support/notes/1606246","1606246")</f>
        <v>1606246</v>
      </c>
      <c r="E1909">
        <v>5</v>
      </c>
      <c r="F1909" t="s">
        <v>2759</v>
      </c>
    </row>
    <row r="1910" spans="1:6" x14ac:dyDescent="0.25">
      <c r="A1910" t="s">
        <v>1522</v>
      </c>
      <c r="B1910" t="s">
        <v>2754</v>
      </c>
      <c r="C1910" t="s">
        <v>2755</v>
      </c>
      <c r="D1910" t="str">
        <f>HYPERLINK("http://service.sap.com/sap/support/notes/1608967","1608967")</f>
        <v>1608967</v>
      </c>
      <c r="E1910">
        <v>3</v>
      </c>
      <c r="F1910" t="s">
        <v>2760</v>
      </c>
    </row>
    <row r="1911" spans="1:6" x14ac:dyDescent="0.25">
      <c r="A1911" t="s">
        <v>1522</v>
      </c>
      <c r="B1911" t="s">
        <v>2754</v>
      </c>
      <c r="C1911" t="s">
        <v>2755</v>
      </c>
      <c r="D1911" t="str">
        <f>HYPERLINK("http://service.sap.com/sap/support/notes/1616012","1616012")</f>
        <v>1616012</v>
      </c>
      <c r="E1911">
        <v>1</v>
      </c>
      <c r="F1911" t="s">
        <v>2761</v>
      </c>
    </row>
    <row r="1912" spans="1:6" x14ac:dyDescent="0.25">
      <c r="A1912" t="s">
        <v>1522</v>
      </c>
      <c r="B1912" t="s">
        <v>2754</v>
      </c>
      <c r="C1912" t="s">
        <v>2755</v>
      </c>
      <c r="D1912" t="str">
        <f>HYPERLINK("http://service.sap.com/sap/support/notes/1619948","1619948")</f>
        <v>1619948</v>
      </c>
      <c r="E1912">
        <v>2</v>
      </c>
      <c r="F1912" t="s">
        <v>2762</v>
      </c>
    </row>
    <row r="1913" spans="1:6" x14ac:dyDescent="0.25">
      <c r="A1913" t="s">
        <v>1522</v>
      </c>
      <c r="B1913" t="s">
        <v>2754</v>
      </c>
      <c r="C1913" t="s">
        <v>2755</v>
      </c>
      <c r="D1913" t="str">
        <f>HYPERLINK("http://service.sap.com/sap/support/notes/1621279","1621279")</f>
        <v>1621279</v>
      </c>
      <c r="E1913">
        <v>2</v>
      </c>
      <c r="F1913" t="s">
        <v>2763</v>
      </c>
    </row>
    <row r="1914" spans="1:6" x14ac:dyDescent="0.25">
      <c r="A1914" t="s">
        <v>1522</v>
      </c>
      <c r="B1914" t="s">
        <v>2754</v>
      </c>
      <c r="C1914" t="s">
        <v>2755</v>
      </c>
      <c r="D1914" t="str">
        <f>HYPERLINK("http://service.sap.com/sap/support/notes/1621822","1621822")</f>
        <v>1621822</v>
      </c>
      <c r="E1914">
        <v>1</v>
      </c>
      <c r="F1914" t="s">
        <v>2764</v>
      </c>
    </row>
    <row r="1915" spans="1:6" x14ac:dyDescent="0.25">
      <c r="A1915" t="s">
        <v>1522</v>
      </c>
      <c r="B1915" t="s">
        <v>2754</v>
      </c>
      <c r="C1915" t="s">
        <v>2755</v>
      </c>
      <c r="D1915" t="str">
        <f>HYPERLINK("http://service.sap.com/sap/support/notes/1623816","1623816")</f>
        <v>1623816</v>
      </c>
      <c r="E1915">
        <v>1</v>
      </c>
      <c r="F1915" t="s">
        <v>2765</v>
      </c>
    </row>
    <row r="1916" spans="1:6" x14ac:dyDescent="0.25">
      <c r="A1916" t="s">
        <v>1522</v>
      </c>
      <c r="B1916" t="s">
        <v>2754</v>
      </c>
      <c r="C1916" t="s">
        <v>2755</v>
      </c>
      <c r="D1916" t="str">
        <f>HYPERLINK("http://service.sap.com/sap/support/notes/1625258","1625258")</f>
        <v>1625258</v>
      </c>
      <c r="E1916">
        <v>1</v>
      </c>
      <c r="F1916" t="s">
        <v>2766</v>
      </c>
    </row>
    <row r="1917" spans="1:6" x14ac:dyDescent="0.25">
      <c r="A1917" t="s">
        <v>1522</v>
      </c>
      <c r="B1917" t="s">
        <v>2754</v>
      </c>
      <c r="C1917" t="s">
        <v>2755</v>
      </c>
      <c r="D1917" t="str">
        <f>HYPERLINK("http://service.sap.com/sap/support/notes/1626099","1626099")</f>
        <v>1626099</v>
      </c>
      <c r="E1917">
        <v>3</v>
      </c>
      <c r="F1917" t="s">
        <v>2767</v>
      </c>
    </row>
    <row r="1918" spans="1:6" x14ac:dyDescent="0.25">
      <c r="A1918" t="s">
        <v>1522</v>
      </c>
      <c r="B1918" t="s">
        <v>2754</v>
      </c>
      <c r="C1918" t="s">
        <v>2755</v>
      </c>
      <c r="D1918" t="str">
        <f>HYPERLINK("http://service.sap.com/sap/support/notes/1626177","1626177")</f>
        <v>1626177</v>
      </c>
      <c r="E1918">
        <v>2</v>
      </c>
      <c r="F1918" t="s">
        <v>2768</v>
      </c>
    </row>
    <row r="1919" spans="1:6" x14ac:dyDescent="0.25">
      <c r="A1919" t="s">
        <v>1522</v>
      </c>
      <c r="B1919" t="s">
        <v>2754</v>
      </c>
      <c r="C1919" t="s">
        <v>2755</v>
      </c>
      <c r="D1919" t="str">
        <f>HYPERLINK("http://service.sap.com/sap/support/notes/1626286","1626286")</f>
        <v>1626286</v>
      </c>
      <c r="E1919">
        <v>1</v>
      </c>
      <c r="F1919" t="s">
        <v>2769</v>
      </c>
    </row>
    <row r="1920" spans="1:6" x14ac:dyDescent="0.25">
      <c r="A1920" t="s">
        <v>1522</v>
      </c>
      <c r="B1920" t="s">
        <v>2754</v>
      </c>
      <c r="C1920" t="s">
        <v>2755</v>
      </c>
      <c r="D1920" t="str">
        <f>HYPERLINK("http://service.sap.com/sap/support/notes/1626287","1626287")</f>
        <v>1626287</v>
      </c>
      <c r="E1920">
        <v>1</v>
      </c>
      <c r="F1920" t="s">
        <v>2770</v>
      </c>
    </row>
    <row r="1921" spans="1:6" x14ac:dyDescent="0.25">
      <c r="A1921" t="s">
        <v>1522</v>
      </c>
      <c r="B1921" t="s">
        <v>2754</v>
      </c>
      <c r="C1921" t="s">
        <v>2755</v>
      </c>
      <c r="D1921" t="str">
        <f>HYPERLINK("http://service.sap.com/sap/support/notes/1626485","1626485")</f>
        <v>1626485</v>
      </c>
      <c r="E1921">
        <v>1</v>
      </c>
      <c r="F1921" t="s">
        <v>2771</v>
      </c>
    </row>
    <row r="1922" spans="1:6" x14ac:dyDescent="0.25">
      <c r="A1922" t="s">
        <v>1522</v>
      </c>
      <c r="B1922" t="s">
        <v>2754</v>
      </c>
      <c r="C1922" t="s">
        <v>2755</v>
      </c>
      <c r="D1922" t="str">
        <f>HYPERLINK("http://service.sap.com/sap/support/notes/1630681","1630681")</f>
        <v>1630681</v>
      </c>
      <c r="E1922">
        <v>1</v>
      </c>
      <c r="F1922" t="s">
        <v>2772</v>
      </c>
    </row>
    <row r="1923" spans="1:6" x14ac:dyDescent="0.25">
      <c r="A1923" t="s">
        <v>1522</v>
      </c>
      <c r="B1923" t="s">
        <v>2754</v>
      </c>
      <c r="C1923" t="s">
        <v>2755</v>
      </c>
      <c r="D1923" t="str">
        <f>HYPERLINK("http://service.sap.com/sap/support/notes/1631476","1631476")</f>
        <v>1631476</v>
      </c>
      <c r="E1923">
        <v>1</v>
      </c>
      <c r="F1923" t="s">
        <v>2773</v>
      </c>
    </row>
    <row r="1924" spans="1:6" x14ac:dyDescent="0.25">
      <c r="A1924" t="s">
        <v>1522</v>
      </c>
      <c r="B1924" t="s">
        <v>2754</v>
      </c>
      <c r="C1924" t="s">
        <v>2755</v>
      </c>
      <c r="D1924" t="str">
        <f>HYPERLINK("http://service.sap.com/sap/support/notes/1635527","1635527")</f>
        <v>1635527</v>
      </c>
      <c r="E1924">
        <v>1</v>
      </c>
      <c r="F1924" t="s">
        <v>2774</v>
      </c>
    </row>
    <row r="1925" spans="1:6" x14ac:dyDescent="0.25">
      <c r="A1925" t="s">
        <v>1522</v>
      </c>
      <c r="B1925" t="s">
        <v>2754</v>
      </c>
      <c r="C1925" t="s">
        <v>2755</v>
      </c>
      <c r="D1925" t="str">
        <f>HYPERLINK("http://service.sap.com/sap/support/notes/1636568","1636568")</f>
        <v>1636568</v>
      </c>
      <c r="E1925">
        <v>2</v>
      </c>
      <c r="F1925" t="s">
        <v>2775</v>
      </c>
    </row>
    <row r="1926" spans="1:6" x14ac:dyDescent="0.25">
      <c r="A1926" t="s">
        <v>1522</v>
      </c>
      <c r="B1926" t="s">
        <v>2754</v>
      </c>
      <c r="C1926" t="s">
        <v>2755</v>
      </c>
      <c r="D1926" t="str">
        <f>HYPERLINK("http://service.sap.com/sap/support/notes/1639418","1639418")</f>
        <v>1639418</v>
      </c>
      <c r="E1926">
        <v>3</v>
      </c>
      <c r="F1926" t="s">
        <v>2776</v>
      </c>
    </row>
    <row r="1927" spans="1:6" x14ac:dyDescent="0.25">
      <c r="A1927" t="s">
        <v>1522</v>
      </c>
      <c r="B1927" t="s">
        <v>2754</v>
      </c>
      <c r="C1927" t="s">
        <v>2755</v>
      </c>
      <c r="D1927" t="str">
        <f>HYPERLINK("http://service.sap.com/sap/support/notes/1640940","1640940")</f>
        <v>1640940</v>
      </c>
      <c r="E1927">
        <v>1</v>
      </c>
      <c r="F1927" t="s">
        <v>2777</v>
      </c>
    </row>
    <row r="1928" spans="1:6" x14ac:dyDescent="0.25">
      <c r="A1928" t="s">
        <v>1522</v>
      </c>
      <c r="B1928" t="s">
        <v>2754</v>
      </c>
      <c r="C1928" t="s">
        <v>2755</v>
      </c>
      <c r="D1928" t="str">
        <f>HYPERLINK("http://service.sap.com/sap/support/notes/1641228","1641228")</f>
        <v>1641228</v>
      </c>
      <c r="E1928">
        <v>2</v>
      </c>
      <c r="F1928" t="s">
        <v>2778</v>
      </c>
    </row>
    <row r="1929" spans="1:6" x14ac:dyDescent="0.25">
      <c r="A1929" t="s">
        <v>1522</v>
      </c>
      <c r="B1929" t="s">
        <v>2754</v>
      </c>
      <c r="C1929" t="s">
        <v>2755</v>
      </c>
      <c r="D1929" t="str">
        <f>HYPERLINK("http://service.sap.com/sap/support/notes/1643810","1643810")</f>
        <v>1643810</v>
      </c>
      <c r="E1929">
        <v>1</v>
      </c>
      <c r="F1929" t="s">
        <v>2779</v>
      </c>
    </row>
    <row r="1930" spans="1:6" x14ac:dyDescent="0.25">
      <c r="A1930" t="s">
        <v>1522</v>
      </c>
      <c r="B1930" t="s">
        <v>2754</v>
      </c>
      <c r="C1930" t="s">
        <v>2755</v>
      </c>
      <c r="D1930" t="str">
        <f>HYPERLINK("http://service.sap.com/sap/support/notes/1651933","1651933")</f>
        <v>1651933</v>
      </c>
      <c r="E1930">
        <v>2</v>
      </c>
      <c r="F1930" t="s">
        <v>2780</v>
      </c>
    </row>
    <row r="1931" spans="1:6" x14ac:dyDescent="0.25">
      <c r="A1931" t="s">
        <v>1522</v>
      </c>
      <c r="B1931" t="s">
        <v>2754</v>
      </c>
      <c r="C1931" t="s">
        <v>2755</v>
      </c>
      <c r="D1931" t="str">
        <f>HYPERLINK("http://service.sap.com/sap/support/notes/1653908","1653908")</f>
        <v>1653908</v>
      </c>
      <c r="E1931">
        <v>1</v>
      </c>
      <c r="F1931" t="s">
        <v>2781</v>
      </c>
    </row>
    <row r="1932" spans="1:6" x14ac:dyDescent="0.25">
      <c r="A1932" t="s">
        <v>1522</v>
      </c>
      <c r="B1932" t="s">
        <v>2754</v>
      </c>
      <c r="C1932" t="s">
        <v>2755</v>
      </c>
      <c r="D1932" t="str">
        <f>HYPERLINK("http://service.sap.com/sap/support/notes/1658221","1658221")</f>
        <v>1658221</v>
      </c>
      <c r="E1932">
        <v>1</v>
      </c>
      <c r="F1932" t="s">
        <v>2782</v>
      </c>
    </row>
    <row r="1933" spans="1:6" x14ac:dyDescent="0.25">
      <c r="A1933" t="s">
        <v>1522</v>
      </c>
      <c r="B1933" t="s">
        <v>2754</v>
      </c>
      <c r="C1933" t="s">
        <v>2755</v>
      </c>
      <c r="D1933" t="str">
        <f>HYPERLINK("http://service.sap.com/sap/support/notes/1660092","1660092")</f>
        <v>1660092</v>
      </c>
      <c r="E1933">
        <v>1</v>
      </c>
      <c r="F1933" t="s">
        <v>2776</v>
      </c>
    </row>
    <row r="1934" spans="1:6" x14ac:dyDescent="0.25">
      <c r="A1934" t="s">
        <v>1522</v>
      </c>
      <c r="B1934" t="s">
        <v>2754</v>
      </c>
      <c r="C1934" t="s">
        <v>2755</v>
      </c>
      <c r="D1934" t="str">
        <f>HYPERLINK("http://service.sap.com/sap/support/notes/1660409","1660409")</f>
        <v>1660409</v>
      </c>
      <c r="E1934">
        <v>4</v>
      </c>
      <c r="F1934" t="s">
        <v>2783</v>
      </c>
    </row>
    <row r="1935" spans="1:6" x14ac:dyDescent="0.25">
      <c r="A1935" t="s">
        <v>1522</v>
      </c>
      <c r="B1935" t="s">
        <v>2754</v>
      </c>
      <c r="C1935" t="s">
        <v>2755</v>
      </c>
      <c r="D1935" t="str">
        <f>HYPERLINK("http://service.sap.com/sap/support/notes/1662319","1662319")</f>
        <v>1662319</v>
      </c>
      <c r="E1935">
        <v>1</v>
      </c>
      <c r="F1935" t="s">
        <v>2784</v>
      </c>
    </row>
    <row r="1936" spans="1:6" x14ac:dyDescent="0.25">
      <c r="A1936" t="s">
        <v>1522</v>
      </c>
      <c r="B1936" t="s">
        <v>2754</v>
      </c>
      <c r="C1936" t="s">
        <v>2755</v>
      </c>
      <c r="D1936" t="str">
        <f>HYPERLINK("http://service.sap.com/sap/support/notes/1662363","1662363")</f>
        <v>1662363</v>
      </c>
      <c r="E1936">
        <v>1</v>
      </c>
      <c r="F1936" t="s">
        <v>2785</v>
      </c>
    </row>
    <row r="1937" spans="1:6" x14ac:dyDescent="0.25">
      <c r="A1937" t="s">
        <v>1522</v>
      </c>
      <c r="B1937" t="s">
        <v>2754</v>
      </c>
      <c r="C1937" t="s">
        <v>2755</v>
      </c>
      <c r="D1937" t="str">
        <f>HYPERLINK("http://service.sap.com/sap/support/notes/1663480","1663480")</f>
        <v>1663480</v>
      </c>
      <c r="E1937">
        <v>1</v>
      </c>
      <c r="F1937" t="s">
        <v>2776</v>
      </c>
    </row>
    <row r="1938" spans="1:6" x14ac:dyDescent="0.25">
      <c r="A1938" t="s">
        <v>1522</v>
      </c>
      <c r="B1938" t="s">
        <v>2754</v>
      </c>
      <c r="C1938" t="s">
        <v>2755</v>
      </c>
      <c r="D1938" t="str">
        <f>HYPERLINK("http://service.sap.com/sap/support/notes/1664193","1664193")</f>
        <v>1664193</v>
      </c>
      <c r="E1938">
        <v>3</v>
      </c>
      <c r="F1938" t="s">
        <v>2786</v>
      </c>
    </row>
    <row r="1939" spans="1:6" x14ac:dyDescent="0.25">
      <c r="A1939" t="s">
        <v>1522</v>
      </c>
      <c r="B1939" t="s">
        <v>2754</v>
      </c>
      <c r="C1939" t="s">
        <v>2755</v>
      </c>
      <c r="D1939" t="str">
        <f>HYPERLINK("http://service.sap.com/sap/support/notes/1665087","1665087")</f>
        <v>1665087</v>
      </c>
      <c r="E1939">
        <v>1</v>
      </c>
      <c r="F1939" t="s">
        <v>2787</v>
      </c>
    </row>
    <row r="1940" spans="1:6" x14ac:dyDescent="0.25">
      <c r="A1940" t="s">
        <v>1522</v>
      </c>
      <c r="B1940" t="s">
        <v>2754</v>
      </c>
      <c r="C1940" t="s">
        <v>2755</v>
      </c>
      <c r="D1940" t="str">
        <f>HYPERLINK("http://service.sap.com/sap/support/notes/1665223","1665223")</f>
        <v>1665223</v>
      </c>
      <c r="E1940">
        <v>2</v>
      </c>
      <c r="F1940" t="s">
        <v>2788</v>
      </c>
    </row>
    <row r="1941" spans="1:6" x14ac:dyDescent="0.25">
      <c r="A1941" t="s">
        <v>1522</v>
      </c>
      <c r="B1941" t="s">
        <v>2754</v>
      </c>
      <c r="C1941" t="s">
        <v>2755</v>
      </c>
      <c r="D1941" t="str">
        <f>HYPERLINK("http://service.sap.com/sap/support/notes/1666127","1666127")</f>
        <v>1666127</v>
      </c>
      <c r="E1941">
        <v>1</v>
      </c>
      <c r="F1941" t="s">
        <v>2776</v>
      </c>
    </row>
    <row r="1942" spans="1:6" x14ac:dyDescent="0.25">
      <c r="A1942" t="s">
        <v>1522</v>
      </c>
      <c r="B1942" t="s">
        <v>2754</v>
      </c>
      <c r="C1942" t="s">
        <v>2755</v>
      </c>
      <c r="D1942" t="str">
        <f>HYPERLINK("http://service.sap.com/sap/support/notes/1666923","1666923")</f>
        <v>1666923</v>
      </c>
      <c r="E1942">
        <v>2</v>
      </c>
      <c r="F1942" t="s">
        <v>2776</v>
      </c>
    </row>
    <row r="1943" spans="1:6" x14ac:dyDescent="0.25">
      <c r="A1943" t="s">
        <v>1522</v>
      </c>
      <c r="B1943" t="s">
        <v>2754</v>
      </c>
      <c r="C1943" t="s">
        <v>2755</v>
      </c>
      <c r="D1943" t="str">
        <f>HYPERLINK("http://service.sap.com/sap/support/notes/1669015","1669015")</f>
        <v>1669015</v>
      </c>
      <c r="E1943">
        <v>2</v>
      </c>
      <c r="F1943" t="s">
        <v>2776</v>
      </c>
    </row>
    <row r="1944" spans="1:6" x14ac:dyDescent="0.25">
      <c r="A1944" t="s">
        <v>1522</v>
      </c>
      <c r="B1944" t="s">
        <v>2754</v>
      </c>
      <c r="C1944" t="s">
        <v>2755</v>
      </c>
      <c r="D1944" t="str">
        <f>HYPERLINK("http://service.sap.com/sap/support/notes/1669594","1669594")</f>
        <v>1669594</v>
      </c>
      <c r="E1944">
        <v>2</v>
      </c>
      <c r="F1944" t="s">
        <v>2789</v>
      </c>
    </row>
    <row r="1945" spans="1:6" x14ac:dyDescent="0.25">
      <c r="A1945" t="s">
        <v>1522</v>
      </c>
      <c r="B1945" t="s">
        <v>2754</v>
      </c>
      <c r="C1945" t="s">
        <v>2755</v>
      </c>
      <c r="D1945" t="str">
        <f>HYPERLINK("http://service.sap.com/sap/support/notes/1670727","1670727")</f>
        <v>1670727</v>
      </c>
      <c r="E1945">
        <v>1</v>
      </c>
      <c r="F1945" t="s">
        <v>2790</v>
      </c>
    </row>
    <row r="1946" spans="1:6" x14ac:dyDescent="0.25">
      <c r="A1946" t="s">
        <v>1522</v>
      </c>
      <c r="B1946" t="s">
        <v>2754</v>
      </c>
      <c r="C1946" t="s">
        <v>2755</v>
      </c>
      <c r="D1946" t="str">
        <f>HYPERLINK("http://service.sap.com/sap/support/notes/1673909","1673909")</f>
        <v>1673909</v>
      </c>
      <c r="E1946">
        <v>1</v>
      </c>
      <c r="F1946" t="s">
        <v>2791</v>
      </c>
    </row>
    <row r="1947" spans="1:6" x14ac:dyDescent="0.25">
      <c r="A1947" t="s">
        <v>1522</v>
      </c>
      <c r="B1947" t="s">
        <v>504</v>
      </c>
      <c r="C1947" t="s">
        <v>505</v>
      </c>
      <c r="D1947" t="str">
        <f>HYPERLINK("http://service.sap.com/sap/support/notes/915692","915692")</f>
        <v>915692</v>
      </c>
      <c r="E1947">
        <v>1</v>
      </c>
      <c r="F1947" t="s">
        <v>2792</v>
      </c>
    </row>
    <row r="1948" spans="1:6" x14ac:dyDescent="0.25">
      <c r="A1948" t="s">
        <v>1522</v>
      </c>
      <c r="B1948" t="s">
        <v>504</v>
      </c>
      <c r="C1948" t="s">
        <v>505</v>
      </c>
      <c r="D1948" t="str">
        <f>HYPERLINK("http://service.sap.com/sap/support/notes/1433110","1433110")</f>
        <v>1433110</v>
      </c>
      <c r="E1948">
        <v>3</v>
      </c>
      <c r="F1948" t="s">
        <v>2793</v>
      </c>
    </row>
    <row r="1949" spans="1:6" x14ac:dyDescent="0.25">
      <c r="A1949" t="s">
        <v>1522</v>
      </c>
      <c r="B1949" t="s">
        <v>504</v>
      </c>
      <c r="C1949" t="s">
        <v>505</v>
      </c>
      <c r="D1949" t="str">
        <f>HYPERLINK("http://service.sap.com/sap/support/notes/1523182","1523182")</f>
        <v>1523182</v>
      </c>
      <c r="E1949">
        <v>4</v>
      </c>
      <c r="F1949" t="s">
        <v>2794</v>
      </c>
    </row>
    <row r="1950" spans="1:6" x14ac:dyDescent="0.25">
      <c r="A1950" t="s">
        <v>1522</v>
      </c>
      <c r="B1950" t="s">
        <v>504</v>
      </c>
      <c r="C1950" t="s">
        <v>505</v>
      </c>
      <c r="D1950" t="str">
        <f>HYPERLINK("http://service.sap.com/sap/support/notes/1530922","1530922")</f>
        <v>1530922</v>
      </c>
      <c r="E1950">
        <v>2</v>
      </c>
      <c r="F1950" t="s">
        <v>2795</v>
      </c>
    </row>
    <row r="1951" spans="1:6" x14ac:dyDescent="0.25">
      <c r="A1951" t="s">
        <v>1522</v>
      </c>
      <c r="B1951" t="s">
        <v>504</v>
      </c>
      <c r="C1951" t="s">
        <v>505</v>
      </c>
      <c r="D1951" t="str">
        <f>HYPERLINK("http://service.sap.com/sap/support/notes/1571363","1571363")</f>
        <v>1571363</v>
      </c>
      <c r="E1951">
        <v>3</v>
      </c>
      <c r="F1951" t="s">
        <v>2796</v>
      </c>
    </row>
    <row r="1952" spans="1:6" x14ac:dyDescent="0.25">
      <c r="A1952" t="s">
        <v>1522</v>
      </c>
      <c r="B1952" t="s">
        <v>504</v>
      </c>
      <c r="C1952" t="s">
        <v>505</v>
      </c>
      <c r="D1952" t="str">
        <f>HYPERLINK("http://service.sap.com/sap/support/notes/1587763","1587763")</f>
        <v>1587763</v>
      </c>
      <c r="E1952">
        <v>2</v>
      </c>
      <c r="F1952" t="s">
        <v>2797</v>
      </c>
    </row>
    <row r="1953" spans="1:6" x14ac:dyDescent="0.25">
      <c r="A1953" t="s">
        <v>1522</v>
      </c>
      <c r="B1953" t="s">
        <v>504</v>
      </c>
      <c r="C1953" t="s">
        <v>505</v>
      </c>
      <c r="D1953" t="str">
        <f>HYPERLINK("http://service.sap.com/sap/support/notes/1593324","1593324")</f>
        <v>1593324</v>
      </c>
      <c r="E1953">
        <v>4</v>
      </c>
      <c r="F1953" t="s">
        <v>2798</v>
      </c>
    </row>
    <row r="1954" spans="1:6" x14ac:dyDescent="0.25">
      <c r="A1954" t="s">
        <v>1522</v>
      </c>
      <c r="B1954" t="s">
        <v>504</v>
      </c>
      <c r="C1954" t="s">
        <v>505</v>
      </c>
      <c r="D1954" t="str">
        <f>HYPERLINK("http://service.sap.com/sap/support/notes/1599229","1599229")</f>
        <v>1599229</v>
      </c>
      <c r="E1954">
        <v>3</v>
      </c>
      <c r="F1954" t="s">
        <v>2799</v>
      </c>
    </row>
    <row r="1955" spans="1:6" x14ac:dyDescent="0.25">
      <c r="A1955" t="s">
        <v>1522</v>
      </c>
      <c r="B1955" t="s">
        <v>504</v>
      </c>
      <c r="C1955" t="s">
        <v>505</v>
      </c>
      <c r="D1955" t="str">
        <f>HYPERLINK("http://service.sap.com/sap/support/notes/1604129","1604129")</f>
        <v>1604129</v>
      </c>
      <c r="E1955">
        <v>3</v>
      </c>
      <c r="F1955" t="s">
        <v>2800</v>
      </c>
    </row>
    <row r="1956" spans="1:6" x14ac:dyDescent="0.25">
      <c r="A1956" t="s">
        <v>1522</v>
      </c>
      <c r="B1956" t="s">
        <v>504</v>
      </c>
      <c r="C1956" t="s">
        <v>505</v>
      </c>
      <c r="D1956" t="str">
        <f>HYPERLINK("http://service.sap.com/sap/support/notes/1605705","1605705")</f>
        <v>1605705</v>
      </c>
      <c r="E1956">
        <v>2</v>
      </c>
      <c r="F1956" t="s">
        <v>2801</v>
      </c>
    </row>
    <row r="1957" spans="1:6" x14ac:dyDescent="0.25">
      <c r="A1957" t="s">
        <v>1522</v>
      </c>
      <c r="B1957" t="s">
        <v>504</v>
      </c>
      <c r="C1957" t="s">
        <v>505</v>
      </c>
      <c r="D1957" t="str">
        <f>HYPERLINK("http://service.sap.com/sap/support/notes/1612808","1612808")</f>
        <v>1612808</v>
      </c>
      <c r="E1957">
        <v>1</v>
      </c>
      <c r="F1957" t="s">
        <v>2802</v>
      </c>
    </row>
    <row r="1958" spans="1:6" x14ac:dyDescent="0.25">
      <c r="A1958" t="s">
        <v>1522</v>
      </c>
      <c r="B1958" t="s">
        <v>504</v>
      </c>
      <c r="C1958" t="s">
        <v>505</v>
      </c>
      <c r="D1958" t="str">
        <f>HYPERLINK("http://service.sap.com/sap/support/notes/1615126","1615126")</f>
        <v>1615126</v>
      </c>
      <c r="E1958">
        <v>4</v>
      </c>
      <c r="F1958" t="s">
        <v>2803</v>
      </c>
    </row>
    <row r="1959" spans="1:6" x14ac:dyDescent="0.25">
      <c r="A1959" t="s">
        <v>1522</v>
      </c>
      <c r="B1959" t="s">
        <v>504</v>
      </c>
      <c r="C1959" t="s">
        <v>505</v>
      </c>
      <c r="D1959" t="str">
        <f>HYPERLINK("http://service.sap.com/sap/support/notes/1619227","1619227")</f>
        <v>1619227</v>
      </c>
      <c r="E1959">
        <v>1</v>
      </c>
      <c r="F1959" t="s">
        <v>2804</v>
      </c>
    </row>
    <row r="1960" spans="1:6" x14ac:dyDescent="0.25">
      <c r="A1960" t="s">
        <v>1522</v>
      </c>
      <c r="B1960" t="s">
        <v>504</v>
      </c>
      <c r="C1960" t="s">
        <v>505</v>
      </c>
      <c r="D1960" t="str">
        <f>HYPERLINK("http://service.sap.com/sap/support/notes/1621790","1621790")</f>
        <v>1621790</v>
      </c>
      <c r="E1960">
        <v>1</v>
      </c>
      <c r="F1960" t="s">
        <v>2805</v>
      </c>
    </row>
    <row r="1961" spans="1:6" x14ac:dyDescent="0.25">
      <c r="A1961" t="s">
        <v>1522</v>
      </c>
      <c r="B1961" t="s">
        <v>504</v>
      </c>
      <c r="C1961" t="s">
        <v>505</v>
      </c>
      <c r="D1961" t="str">
        <f>HYPERLINK("http://service.sap.com/sap/support/notes/1621859","1621859")</f>
        <v>1621859</v>
      </c>
      <c r="E1961">
        <v>1</v>
      </c>
      <c r="F1961" t="s">
        <v>2806</v>
      </c>
    </row>
    <row r="1962" spans="1:6" x14ac:dyDescent="0.25">
      <c r="A1962" t="s">
        <v>1522</v>
      </c>
      <c r="B1962" t="s">
        <v>504</v>
      </c>
      <c r="C1962" t="s">
        <v>505</v>
      </c>
      <c r="D1962" t="str">
        <f>HYPERLINK("http://service.sap.com/sap/support/notes/1622359","1622359")</f>
        <v>1622359</v>
      </c>
      <c r="E1962">
        <v>3</v>
      </c>
      <c r="F1962" t="s">
        <v>2807</v>
      </c>
    </row>
    <row r="1963" spans="1:6" x14ac:dyDescent="0.25">
      <c r="A1963" t="s">
        <v>1522</v>
      </c>
      <c r="B1963" t="s">
        <v>504</v>
      </c>
      <c r="C1963" t="s">
        <v>505</v>
      </c>
      <c r="D1963" t="str">
        <f>HYPERLINK("http://service.sap.com/sap/support/notes/1622447","1622447")</f>
        <v>1622447</v>
      </c>
      <c r="E1963">
        <v>2</v>
      </c>
      <c r="F1963" t="s">
        <v>2808</v>
      </c>
    </row>
    <row r="1964" spans="1:6" x14ac:dyDescent="0.25">
      <c r="A1964" t="s">
        <v>1522</v>
      </c>
      <c r="B1964" t="s">
        <v>504</v>
      </c>
      <c r="C1964" t="s">
        <v>505</v>
      </c>
      <c r="D1964" t="str">
        <f>HYPERLINK("http://service.sap.com/sap/support/notes/1623727","1623727")</f>
        <v>1623727</v>
      </c>
      <c r="E1964">
        <v>1</v>
      </c>
      <c r="F1964" t="s">
        <v>2809</v>
      </c>
    </row>
    <row r="1965" spans="1:6" x14ac:dyDescent="0.25">
      <c r="A1965" t="s">
        <v>1522</v>
      </c>
      <c r="B1965" t="s">
        <v>504</v>
      </c>
      <c r="C1965" t="s">
        <v>505</v>
      </c>
      <c r="D1965" t="str">
        <f>HYPERLINK("http://service.sap.com/sap/support/notes/1624189","1624189")</f>
        <v>1624189</v>
      </c>
      <c r="E1965">
        <v>4</v>
      </c>
      <c r="F1965" t="s">
        <v>2810</v>
      </c>
    </row>
    <row r="1966" spans="1:6" x14ac:dyDescent="0.25">
      <c r="A1966" t="s">
        <v>1522</v>
      </c>
      <c r="B1966" t="s">
        <v>504</v>
      </c>
      <c r="C1966" t="s">
        <v>505</v>
      </c>
      <c r="D1966" t="str">
        <f>HYPERLINK("http://service.sap.com/sap/support/notes/1626636","1626636")</f>
        <v>1626636</v>
      </c>
      <c r="E1966">
        <v>2</v>
      </c>
      <c r="F1966" t="s">
        <v>2811</v>
      </c>
    </row>
    <row r="1967" spans="1:6" x14ac:dyDescent="0.25">
      <c r="A1967" t="s">
        <v>1522</v>
      </c>
      <c r="B1967" t="s">
        <v>504</v>
      </c>
      <c r="C1967" t="s">
        <v>505</v>
      </c>
      <c r="D1967" t="str">
        <f>HYPERLINK("http://service.sap.com/sap/support/notes/1627584","1627584")</f>
        <v>1627584</v>
      </c>
      <c r="E1967">
        <v>3</v>
      </c>
      <c r="F1967" t="s">
        <v>2812</v>
      </c>
    </row>
    <row r="1968" spans="1:6" x14ac:dyDescent="0.25">
      <c r="A1968" t="s">
        <v>1522</v>
      </c>
      <c r="B1968" t="s">
        <v>504</v>
      </c>
      <c r="C1968" t="s">
        <v>505</v>
      </c>
      <c r="D1968" t="str">
        <f>HYPERLINK("http://service.sap.com/sap/support/notes/1628471","1628471")</f>
        <v>1628471</v>
      </c>
      <c r="E1968">
        <v>2</v>
      </c>
      <c r="F1968" t="s">
        <v>2813</v>
      </c>
    </row>
    <row r="1969" spans="1:6" x14ac:dyDescent="0.25">
      <c r="A1969" t="s">
        <v>1522</v>
      </c>
      <c r="B1969" t="s">
        <v>504</v>
      </c>
      <c r="C1969" t="s">
        <v>505</v>
      </c>
      <c r="D1969" t="str">
        <f>HYPERLINK("http://service.sap.com/sap/support/notes/1628793","1628793")</f>
        <v>1628793</v>
      </c>
      <c r="E1969">
        <v>4</v>
      </c>
      <c r="F1969" t="s">
        <v>2814</v>
      </c>
    </row>
    <row r="1970" spans="1:6" x14ac:dyDescent="0.25">
      <c r="A1970" t="s">
        <v>1522</v>
      </c>
      <c r="B1970" t="s">
        <v>504</v>
      </c>
      <c r="C1970" t="s">
        <v>505</v>
      </c>
      <c r="D1970" t="str">
        <f>HYPERLINK("http://service.sap.com/sap/support/notes/1629059","1629059")</f>
        <v>1629059</v>
      </c>
      <c r="E1970">
        <v>3</v>
      </c>
      <c r="F1970" t="s">
        <v>2815</v>
      </c>
    </row>
    <row r="1971" spans="1:6" x14ac:dyDescent="0.25">
      <c r="A1971" t="s">
        <v>1522</v>
      </c>
      <c r="B1971" t="s">
        <v>504</v>
      </c>
      <c r="C1971" t="s">
        <v>505</v>
      </c>
      <c r="D1971" t="str">
        <f>HYPERLINK("http://service.sap.com/sap/support/notes/1630482","1630482")</f>
        <v>1630482</v>
      </c>
      <c r="E1971">
        <v>2</v>
      </c>
      <c r="F1971" t="s">
        <v>2816</v>
      </c>
    </row>
    <row r="1972" spans="1:6" x14ac:dyDescent="0.25">
      <c r="A1972" t="s">
        <v>1522</v>
      </c>
      <c r="B1972" t="s">
        <v>504</v>
      </c>
      <c r="C1972" t="s">
        <v>505</v>
      </c>
      <c r="D1972" t="str">
        <f>HYPERLINK("http://service.sap.com/sap/support/notes/1631057","1631057")</f>
        <v>1631057</v>
      </c>
      <c r="E1972">
        <v>4</v>
      </c>
      <c r="F1972" t="s">
        <v>2817</v>
      </c>
    </row>
    <row r="1973" spans="1:6" x14ac:dyDescent="0.25">
      <c r="A1973" t="s">
        <v>1522</v>
      </c>
      <c r="B1973" t="s">
        <v>504</v>
      </c>
      <c r="C1973" t="s">
        <v>505</v>
      </c>
      <c r="D1973" t="str">
        <f>HYPERLINK("http://service.sap.com/sap/support/notes/1632158","1632158")</f>
        <v>1632158</v>
      </c>
      <c r="E1973">
        <v>3</v>
      </c>
      <c r="F1973" t="s">
        <v>2818</v>
      </c>
    </row>
    <row r="1974" spans="1:6" x14ac:dyDescent="0.25">
      <c r="A1974" t="s">
        <v>1522</v>
      </c>
      <c r="B1974" t="s">
        <v>504</v>
      </c>
      <c r="C1974" t="s">
        <v>505</v>
      </c>
      <c r="D1974" t="str">
        <f>HYPERLINK("http://service.sap.com/sap/support/notes/1633054","1633054")</f>
        <v>1633054</v>
      </c>
      <c r="E1974">
        <v>1</v>
      </c>
      <c r="F1974" t="s">
        <v>2819</v>
      </c>
    </row>
    <row r="1975" spans="1:6" x14ac:dyDescent="0.25">
      <c r="A1975" t="s">
        <v>1522</v>
      </c>
      <c r="B1975" t="s">
        <v>504</v>
      </c>
      <c r="C1975" t="s">
        <v>505</v>
      </c>
      <c r="D1975" t="str">
        <f>HYPERLINK("http://service.sap.com/sap/support/notes/1633613","1633613")</f>
        <v>1633613</v>
      </c>
      <c r="E1975">
        <v>3</v>
      </c>
      <c r="F1975" t="s">
        <v>2820</v>
      </c>
    </row>
    <row r="1976" spans="1:6" x14ac:dyDescent="0.25">
      <c r="A1976" t="s">
        <v>1522</v>
      </c>
      <c r="B1976" t="s">
        <v>504</v>
      </c>
      <c r="C1976" t="s">
        <v>505</v>
      </c>
      <c r="D1976" t="str">
        <f>HYPERLINK("http://service.sap.com/sap/support/notes/1633740","1633740")</f>
        <v>1633740</v>
      </c>
      <c r="E1976">
        <v>3</v>
      </c>
      <c r="F1976" t="s">
        <v>2821</v>
      </c>
    </row>
    <row r="1977" spans="1:6" x14ac:dyDescent="0.25">
      <c r="A1977" t="s">
        <v>1522</v>
      </c>
      <c r="B1977" t="s">
        <v>504</v>
      </c>
      <c r="C1977" t="s">
        <v>505</v>
      </c>
      <c r="D1977" t="str">
        <f>HYPERLINK("http://service.sap.com/sap/support/notes/1633784","1633784")</f>
        <v>1633784</v>
      </c>
      <c r="E1977">
        <v>2</v>
      </c>
      <c r="F1977" t="s">
        <v>2822</v>
      </c>
    </row>
    <row r="1978" spans="1:6" x14ac:dyDescent="0.25">
      <c r="A1978" t="s">
        <v>1522</v>
      </c>
      <c r="B1978" t="s">
        <v>504</v>
      </c>
      <c r="C1978" t="s">
        <v>505</v>
      </c>
      <c r="D1978" t="str">
        <f>HYPERLINK("http://service.sap.com/sap/support/notes/1634808","1634808")</f>
        <v>1634808</v>
      </c>
      <c r="E1978">
        <v>2</v>
      </c>
      <c r="F1978" t="s">
        <v>2823</v>
      </c>
    </row>
    <row r="1979" spans="1:6" x14ac:dyDescent="0.25">
      <c r="A1979" t="s">
        <v>1522</v>
      </c>
      <c r="B1979" t="s">
        <v>504</v>
      </c>
      <c r="C1979" t="s">
        <v>505</v>
      </c>
      <c r="D1979" t="str">
        <f>HYPERLINK("http://service.sap.com/sap/support/notes/1634987","1634987")</f>
        <v>1634987</v>
      </c>
      <c r="E1979">
        <v>2</v>
      </c>
      <c r="F1979" t="s">
        <v>2824</v>
      </c>
    </row>
    <row r="1980" spans="1:6" x14ac:dyDescent="0.25">
      <c r="A1980" t="s">
        <v>1522</v>
      </c>
      <c r="B1980" t="s">
        <v>504</v>
      </c>
      <c r="C1980" t="s">
        <v>505</v>
      </c>
      <c r="D1980" t="str">
        <f>HYPERLINK("http://service.sap.com/sap/support/notes/1638813","1638813")</f>
        <v>1638813</v>
      </c>
      <c r="E1980">
        <v>1</v>
      </c>
      <c r="F1980" t="s">
        <v>2825</v>
      </c>
    </row>
    <row r="1981" spans="1:6" x14ac:dyDescent="0.25">
      <c r="A1981" t="s">
        <v>1522</v>
      </c>
      <c r="B1981" t="s">
        <v>504</v>
      </c>
      <c r="C1981" t="s">
        <v>505</v>
      </c>
      <c r="D1981" t="str">
        <f>HYPERLINK("http://service.sap.com/sap/support/notes/1639630","1639630")</f>
        <v>1639630</v>
      </c>
      <c r="E1981">
        <v>2</v>
      </c>
      <c r="F1981" t="s">
        <v>2826</v>
      </c>
    </row>
    <row r="1982" spans="1:6" x14ac:dyDescent="0.25">
      <c r="A1982" t="s">
        <v>1522</v>
      </c>
      <c r="B1982" t="s">
        <v>504</v>
      </c>
      <c r="C1982" t="s">
        <v>505</v>
      </c>
      <c r="D1982" t="str">
        <f>HYPERLINK("http://service.sap.com/sap/support/notes/1641739","1641739")</f>
        <v>1641739</v>
      </c>
      <c r="E1982">
        <v>1</v>
      </c>
      <c r="F1982" t="s">
        <v>2827</v>
      </c>
    </row>
    <row r="1983" spans="1:6" x14ac:dyDescent="0.25">
      <c r="A1983" t="s">
        <v>1522</v>
      </c>
      <c r="B1983" t="s">
        <v>504</v>
      </c>
      <c r="C1983" t="s">
        <v>505</v>
      </c>
      <c r="D1983" t="str">
        <f>HYPERLINK("http://service.sap.com/sap/support/notes/1644136","1644136")</f>
        <v>1644136</v>
      </c>
      <c r="E1983">
        <v>2</v>
      </c>
      <c r="F1983" t="s">
        <v>2828</v>
      </c>
    </row>
    <row r="1984" spans="1:6" x14ac:dyDescent="0.25">
      <c r="A1984" t="s">
        <v>1522</v>
      </c>
      <c r="B1984" t="s">
        <v>504</v>
      </c>
      <c r="C1984" t="s">
        <v>505</v>
      </c>
      <c r="D1984" t="str">
        <f>HYPERLINK("http://service.sap.com/sap/support/notes/1644304","1644304")</f>
        <v>1644304</v>
      </c>
      <c r="E1984">
        <v>3</v>
      </c>
      <c r="F1984" t="s">
        <v>2829</v>
      </c>
    </row>
    <row r="1985" spans="1:6" x14ac:dyDescent="0.25">
      <c r="A1985" t="s">
        <v>1522</v>
      </c>
      <c r="B1985" t="s">
        <v>504</v>
      </c>
      <c r="C1985" t="s">
        <v>505</v>
      </c>
      <c r="D1985" t="str">
        <f>HYPERLINK("http://service.sap.com/sap/support/notes/1645672","1645672")</f>
        <v>1645672</v>
      </c>
      <c r="E1985">
        <v>2</v>
      </c>
      <c r="F1985" t="s">
        <v>2830</v>
      </c>
    </row>
    <row r="1986" spans="1:6" x14ac:dyDescent="0.25">
      <c r="A1986" t="s">
        <v>1522</v>
      </c>
      <c r="B1986" t="s">
        <v>504</v>
      </c>
      <c r="C1986" t="s">
        <v>505</v>
      </c>
      <c r="D1986" t="str">
        <f>HYPERLINK("http://service.sap.com/sap/support/notes/1646376","1646376")</f>
        <v>1646376</v>
      </c>
      <c r="E1986">
        <v>1</v>
      </c>
      <c r="F1986" t="s">
        <v>2831</v>
      </c>
    </row>
    <row r="1987" spans="1:6" x14ac:dyDescent="0.25">
      <c r="A1987" t="s">
        <v>1522</v>
      </c>
      <c r="B1987" t="s">
        <v>504</v>
      </c>
      <c r="C1987" t="s">
        <v>505</v>
      </c>
      <c r="D1987" t="str">
        <f>HYPERLINK("http://service.sap.com/sap/support/notes/1649531","1649531")</f>
        <v>1649531</v>
      </c>
      <c r="E1987">
        <v>1</v>
      </c>
      <c r="F1987" t="s">
        <v>2832</v>
      </c>
    </row>
    <row r="1988" spans="1:6" x14ac:dyDescent="0.25">
      <c r="A1988" t="s">
        <v>1522</v>
      </c>
      <c r="B1988" t="s">
        <v>504</v>
      </c>
      <c r="C1988" t="s">
        <v>505</v>
      </c>
      <c r="D1988" t="str">
        <f>HYPERLINK("http://service.sap.com/sap/support/notes/1650428","1650428")</f>
        <v>1650428</v>
      </c>
      <c r="E1988">
        <v>3</v>
      </c>
      <c r="F1988" t="s">
        <v>2833</v>
      </c>
    </row>
    <row r="1989" spans="1:6" x14ac:dyDescent="0.25">
      <c r="A1989" t="s">
        <v>1522</v>
      </c>
      <c r="B1989" t="s">
        <v>504</v>
      </c>
      <c r="C1989" t="s">
        <v>505</v>
      </c>
      <c r="D1989" t="str">
        <f>HYPERLINK("http://service.sap.com/sap/support/notes/1652112","1652112")</f>
        <v>1652112</v>
      </c>
      <c r="E1989">
        <v>2</v>
      </c>
      <c r="F1989" t="s">
        <v>2834</v>
      </c>
    </row>
    <row r="1990" spans="1:6" x14ac:dyDescent="0.25">
      <c r="A1990" t="s">
        <v>1522</v>
      </c>
      <c r="B1990" t="s">
        <v>504</v>
      </c>
      <c r="C1990" t="s">
        <v>505</v>
      </c>
      <c r="D1990" t="str">
        <f>HYPERLINK("http://service.sap.com/sap/support/notes/1655788","1655788")</f>
        <v>1655788</v>
      </c>
      <c r="E1990">
        <v>1</v>
      </c>
      <c r="F1990" t="s">
        <v>2835</v>
      </c>
    </row>
    <row r="1991" spans="1:6" x14ac:dyDescent="0.25">
      <c r="A1991" t="s">
        <v>1522</v>
      </c>
      <c r="B1991" t="s">
        <v>504</v>
      </c>
      <c r="C1991" t="s">
        <v>505</v>
      </c>
      <c r="D1991" t="str">
        <f>HYPERLINK("http://service.sap.com/sap/support/notes/1656667","1656667")</f>
        <v>1656667</v>
      </c>
      <c r="E1991">
        <v>2</v>
      </c>
      <c r="F1991" t="s">
        <v>2836</v>
      </c>
    </row>
    <row r="1992" spans="1:6" x14ac:dyDescent="0.25">
      <c r="A1992" t="s">
        <v>1522</v>
      </c>
      <c r="B1992" t="s">
        <v>504</v>
      </c>
      <c r="C1992" t="s">
        <v>505</v>
      </c>
      <c r="D1992" t="str">
        <f>HYPERLINK("http://service.sap.com/sap/support/notes/1657730","1657730")</f>
        <v>1657730</v>
      </c>
      <c r="E1992">
        <v>1</v>
      </c>
      <c r="F1992" t="s">
        <v>2837</v>
      </c>
    </row>
    <row r="1993" spans="1:6" x14ac:dyDescent="0.25">
      <c r="A1993" t="s">
        <v>1522</v>
      </c>
      <c r="B1993" t="s">
        <v>504</v>
      </c>
      <c r="C1993" t="s">
        <v>505</v>
      </c>
      <c r="D1993" t="str">
        <f>HYPERLINK("http://service.sap.com/sap/support/notes/1659005","1659005")</f>
        <v>1659005</v>
      </c>
      <c r="E1993">
        <v>2</v>
      </c>
      <c r="F1993" t="s">
        <v>2838</v>
      </c>
    </row>
    <row r="1994" spans="1:6" x14ac:dyDescent="0.25">
      <c r="A1994" t="s">
        <v>1522</v>
      </c>
      <c r="B1994" t="s">
        <v>504</v>
      </c>
      <c r="C1994" t="s">
        <v>505</v>
      </c>
      <c r="D1994" t="str">
        <f>HYPERLINK("http://service.sap.com/sap/support/notes/1662599","1662599")</f>
        <v>1662599</v>
      </c>
      <c r="E1994">
        <v>3</v>
      </c>
      <c r="F1994" t="s">
        <v>2839</v>
      </c>
    </row>
    <row r="1995" spans="1:6" x14ac:dyDescent="0.25">
      <c r="A1995" t="s">
        <v>1522</v>
      </c>
      <c r="B1995" t="s">
        <v>504</v>
      </c>
      <c r="C1995" t="s">
        <v>505</v>
      </c>
      <c r="D1995" t="str">
        <f>HYPERLINK("http://service.sap.com/sap/support/notes/1665332","1665332")</f>
        <v>1665332</v>
      </c>
      <c r="E1995">
        <v>1</v>
      </c>
      <c r="F1995" t="s">
        <v>2840</v>
      </c>
    </row>
    <row r="1996" spans="1:6" x14ac:dyDescent="0.25">
      <c r="A1996" t="s">
        <v>1522</v>
      </c>
      <c r="B1996" t="s">
        <v>504</v>
      </c>
      <c r="C1996" t="s">
        <v>505</v>
      </c>
      <c r="D1996" t="str">
        <f>HYPERLINK("http://service.sap.com/sap/support/notes/1665399","1665399")</f>
        <v>1665399</v>
      </c>
      <c r="E1996">
        <v>2</v>
      </c>
      <c r="F1996" t="s">
        <v>2841</v>
      </c>
    </row>
    <row r="1997" spans="1:6" x14ac:dyDescent="0.25">
      <c r="A1997" t="s">
        <v>1522</v>
      </c>
      <c r="B1997" t="s">
        <v>504</v>
      </c>
      <c r="C1997" t="s">
        <v>505</v>
      </c>
      <c r="D1997" t="str">
        <f>HYPERLINK("http://service.sap.com/sap/support/notes/1667290","1667290")</f>
        <v>1667290</v>
      </c>
      <c r="E1997">
        <v>4</v>
      </c>
      <c r="F1997" t="s">
        <v>2842</v>
      </c>
    </row>
    <row r="1998" spans="1:6" x14ac:dyDescent="0.25">
      <c r="A1998" t="s">
        <v>1522</v>
      </c>
      <c r="B1998" t="s">
        <v>504</v>
      </c>
      <c r="C1998" t="s">
        <v>505</v>
      </c>
      <c r="D1998" t="str">
        <f>HYPERLINK("http://service.sap.com/sap/support/notes/1671277","1671277")</f>
        <v>1671277</v>
      </c>
      <c r="E1998">
        <v>1</v>
      </c>
      <c r="F1998" t="s">
        <v>2843</v>
      </c>
    </row>
    <row r="1999" spans="1:6" x14ac:dyDescent="0.25">
      <c r="A1999" t="s">
        <v>1522</v>
      </c>
      <c r="B1999" t="s">
        <v>2844</v>
      </c>
      <c r="C1999" t="s">
        <v>2452</v>
      </c>
      <c r="D1999" t="str">
        <f>HYPERLINK("http://service.sap.com/sap/support/notes/1626148","1626148")</f>
        <v>1626148</v>
      </c>
      <c r="E1999">
        <v>1</v>
      </c>
      <c r="F1999" t="s">
        <v>2845</v>
      </c>
    </row>
    <row r="2000" spans="1:6" x14ac:dyDescent="0.25">
      <c r="A2000" t="s">
        <v>1522</v>
      </c>
      <c r="B2000" t="s">
        <v>511</v>
      </c>
      <c r="C2000" t="s">
        <v>394</v>
      </c>
      <c r="D2000" t="str">
        <f>HYPERLINK("http://service.sap.com/sap/support/notes/1622448","1622448")</f>
        <v>1622448</v>
      </c>
      <c r="E2000">
        <v>1</v>
      </c>
      <c r="F2000" t="s">
        <v>2846</v>
      </c>
    </row>
    <row r="2001" spans="1:6" x14ac:dyDescent="0.25">
      <c r="A2001" t="s">
        <v>1522</v>
      </c>
      <c r="B2001" t="s">
        <v>511</v>
      </c>
      <c r="C2001" t="s">
        <v>394</v>
      </c>
      <c r="D2001" t="str">
        <f>HYPERLINK("http://service.sap.com/sap/support/notes/1626962","1626962")</f>
        <v>1626962</v>
      </c>
      <c r="E2001">
        <v>2</v>
      </c>
      <c r="F2001" t="s">
        <v>2847</v>
      </c>
    </row>
    <row r="2002" spans="1:6" x14ac:dyDescent="0.25">
      <c r="A2002" t="s">
        <v>1522</v>
      </c>
      <c r="B2002" t="s">
        <v>511</v>
      </c>
      <c r="C2002" t="s">
        <v>394</v>
      </c>
      <c r="D2002" t="str">
        <f>HYPERLINK("http://service.sap.com/sap/support/notes/1633717","1633717")</f>
        <v>1633717</v>
      </c>
      <c r="E2002">
        <v>2</v>
      </c>
      <c r="F2002" t="s">
        <v>2848</v>
      </c>
    </row>
    <row r="2003" spans="1:6" x14ac:dyDescent="0.25">
      <c r="A2003" t="s">
        <v>1522</v>
      </c>
      <c r="B2003" t="s">
        <v>511</v>
      </c>
      <c r="C2003" t="s">
        <v>394</v>
      </c>
      <c r="D2003" t="str">
        <f>HYPERLINK("http://service.sap.com/sap/support/notes/1642194","1642194")</f>
        <v>1642194</v>
      </c>
      <c r="E2003">
        <v>2</v>
      </c>
      <c r="F2003" t="s">
        <v>2849</v>
      </c>
    </row>
    <row r="2004" spans="1:6" x14ac:dyDescent="0.25">
      <c r="A2004" t="s">
        <v>1522</v>
      </c>
      <c r="B2004" t="s">
        <v>511</v>
      </c>
      <c r="C2004" t="s">
        <v>394</v>
      </c>
      <c r="D2004" t="str">
        <f>HYPERLINK("http://service.sap.com/sap/support/notes/1656542","1656542")</f>
        <v>1656542</v>
      </c>
      <c r="E2004">
        <v>1</v>
      </c>
      <c r="F2004" t="s">
        <v>2850</v>
      </c>
    </row>
    <row r="2005" spans="1:6" x14ac:dyDescent="0.25">
      <c r="A2005" t="s">
        <v>1522</v>
      </c>
      <c r="B2005" t="s">
        <v>514</v>
      </c>
      <c r="C2005" t="s">
        <v>14</v>
      </c>
      <c r="D2005" t="str">
        <f>HYPERLINK("http://service.sap.com/sap/support/notes/1633016","1633016")</f>
        <v>1633016</v>
      </c>
      <c r="E2005">
        <v>1</v>
      </c>
      <c r="F2005" t="s">
        <v>2851</v>
      </c>
    </row>
    <row r="2006" spans="1:6" x14ac:dyDescent="0.25">
      <c r="A2006" t="s">
        <v>1522</v>
      </c>
      <c r="B2006" t="s">
        <v>514</v>
      </c>
      <c r="C2006" t="s">
        <v>14</v>
      </c>
      <c r="D2006" t="str">
        <f>HYPERLINK("http://service.sap.com/sap/support/notes/1663451","1663451")</f>
        <v>1663451</v>
      </c>
      <c r="E2006">
        <v>2</v>
      </c>
      <c r="F2006" t="s">
        <v>2852</v>
      </c>
    </row>
    <row r="2007" spans="1:6" x14ac:dyDescent="0.25">
      <c r="A2007" t="s">
        <v>1522</v>
      </c>
      <c r="B2007" t="s">
        <v>2853</v>
      </c>
      <c r="C2007" t="s">
        <v>2854</v>
      </c>
      <c r="D2007" t="str">
        <f>HYPERLINK("http://service.sap.com/sap/support/notes/1589384","1589384")</f>
        <v>1589384</v>
      </c>
      <c r="E2007">
        <v>3</v>
      </c>
      <c r="F2007" t="s">
        <v>2855</v>
      </c>
    </row>
    <row r="2008" spans="1:6" x14ac:dyDescent="0.25">
      <c r="A2008" t="s">
        <v>1522</v>
      </c>
      <c r="B2008" t="s">
        <v>2853</v>
      </c>
      <c r="C2008" t="s">
        <v>2854</v>
      </c>
      <c r="D2008" t="str">
        <f>HYPERLINK("http://service.sap.com/sap/support/notes/1622258","1622258")</f>
        <v>1622258</v>
      </c>
      <c r="E2008">
        <v>2</v>
      </c>
      <c r="F2008" t="s">
        <v>2856</v>
      </c>
    </row>
    <row r="2009" spans="1:6" x14ac:dyDescent="0.25">
      <c r="A2009" t="s">
        <v>1522</v>
      </c>
      <c r="B2009" t="s">
        <v>2853</v>
      </c>
      <c r="C2009" t="s">
        <v>2854</v>
      </c>
      <c r="D2009" t="str">
        <f>HYPERLINK("http://service.sap.com/sap/support/notes/1637758","1637758")</f>
        <v>1637758</v>
      </c>
      <c r="E2009">
        <v>1</v>
      </c>
      <c r="F2009" t="s">
        <v>2857</v>
      </c>
    </row>
    <row r="2010" spans="1:6" x14ac:dyDescent="0.25">
      <c r="A2010" t="s">
        <v>1522</v>
      </c>
      <c r="B2010" t="s">
        <v>2853</v>
      </c>
      <c r="C2010" t="s">
        <v>2854</v>
      </c>
      <c r="D2010" t="str">
        <f>HYPERLINK("http://service.sap.com/sap/support/notes/1661408","1661408")</f>
        <v>1661408</v>
      </c>
      <c r="E2010">
        <v>1</v>
      </c>
      <c r="F2010" t="s">
        <v>2858</v>
      </c>
    </row>
    <row r="2011" spans="1:6" x14ac:dyDescent="0.25">
      <c r="A2011" t="s">
        <v>1522</v>
      </c>
      <c r="B2011" t="s">
        <v>517</v>
      </c>
      <c r="C2011" t="s">
        <v>409</v>
      </c>
      <c r="D2011" t="str">
        <f>HYPERLINK("http://service.sap.com/sap/support/notes/1626233","1626233")</f>
        <v>1626233</v>
      </c>
      <c r="E2011">
        <v>1</v>
      </c>
      <c r="F2011" t="s">
        <v>2859</v>
      </c>
    </row>
    <row r="2012" spans="1:6" x14ac:dyDescent="0.25">
      <c r="A2012" t="s">
        <v>1522</v>
      </c>
      <c r="B2012" t="s">
        <v>517</v>
      </c>
      <c r="C2012" t="s">
        <v>409</v>
      </c>
      <c r="D2012" t="str">
        <f>HYPERLINK("http://service.sap.com/sap/support/notes/1630382","1630382")</f>
        <v>1630382</v>
      </c>
      <c r="E2012">
        <v>5</v>
      </c>
      <c r="F2012" t="s">
        <v>2860</v>
      </c>
    </row>
    <row r="2013" spans="1:6" x14ac:dyDescent="0.25">
      <c r="A2013" t="s">
        <v>1522</v>
      </c>
      <c r="B2013" t="s">
        <v>517</v>
      </c>
      <c r="C2013" t="s">
        <v>409</v>
      </c>
      <c r="D2013" t="str">
        <f>HYPERLINK("http://service.sap.com/sap/support/notes/1644677","1644677")</f>
        <v>1644677</v>
      </c>
      <c r="E2013">
        <v>1</v>
      </c>
      <c r="F2013" t="s">
        <v>2861</v>
      </c>
    </row>
    <row r="2014" spans="1:6" x14ac:dyDescent="0.25">
      <c r="A2014" t="s">
        <v>1522</v>
      </c>
      <c r="B2014" t="s">
        <v>517</v>
      </c>
      <c r="C2014" t="s">
        <v>409</v>
      </c>
      <c r="D2014" t="str">
        <f>HYPERLINK("http://service.sap.com/sap/support/notes/1655674","1655674")</f>
        <v>1655674</v>
      </c>
      <c r="E2014">
        <v>1</v>
      </c>
      <c r="F2014" t="s">
        <v>2862</v>
      </c>
    </row>
    <row r="2015" spans="1:6" x14ac:dyDescent="0.25">
      <c r="A2015" t="s">
        <v>1522</v>
      </c>
      <c r="B2015" t="s">
        <v>2863</v>
      </c>
      <c r="C2015" t="s">
        <v>2864</v>
      </c>
      <c r="D2015" t="str">
        <f>HYPERLINK("http://service.sap.com/sap/support/notes/1603673","1603673")</f>
        <v>1603673</v>
      </c>
      <c r="E2015">
        <v>2</v>
      </c>
      <c r="F2015" t="s">
        <v>2865</v>
      </c>
    </row>
    <row r="2016" spans="1:6" x14ac:dyDescent="0.25">
      <c r="A2016" t="s">
        <v>1522</v>
      </c>
      <c r="B2016" t="s">
        <v>2863</v>
      </c>
      <c r="C2016" t="s">
        <v>2864</v>
      </c>
      <c r="D2016" t="str">
        <f>HYPERLINK("http://service.sap.com/sap/support/notes/1650452","1650452")</f>
        <v>1650452</v>
      </c>
      <c r="E2016">
        <v>1</v>
      </c>
      <c r="F2016" t="s">
        <v>2866</v>
      </c>
    </row>
    <row r="2017" spans="1:6" x14ac:dyDescent="0.25">
      <c r="A2017" t="s">
        <v>1522</v>
      </c>
      <c r="B2017" t="s">
        <v>2863</v>
      </c>
      <c r="C2017" t="s">
        <v>2864</v>
      </c>
      <c r="D2017" t="str">
        <f>HYPERLINK("http://service.sap.com/sap/support/notes/1652254","1652254")</f>
        <v>1652254</v>
      </c>
      <c r="E2017">
        <v>1</v>
      </c>
      <c r="F2017" t="s">
        <v>2867</v>
      </c>
    </row>
    <row r="2018" spans="1:6" x14ac:dyDescent="0.25">
      <c r="A2018" t="s">
        <v>1522</v>
      </c>
      <c r="B2018" t="s">
        <v>2863</v>
      </c>
      <c r="C2018" t="s">
        <v>2864</v>
      </c>
      <c r="D2018" t="str">
        <f>HYPERLINK("http://service.sap.com/sap/support/notes/1665862","1665862")</f>
        <v>1665862</v>
      </c>
      <c r="E2018">
        <v>1</v>
      </c>
      <c r="F2018" t="s">
        <v>2868</v>
      </c>
    </row>
    <row r="2019" spans="1:6" x14ac:dyDescent="0.25">
      <c r="A2019" t="s">
        <v>1522</v>
      </c>
      <c r="B2019" t="s">
        <v>2869</v>
      </c>
      <c r="C2019" t="s">
        <v>350</v>
      </c>
      <c r="D2019" t="str">
        <f>HYPERLINK("http://service.sap.com/sap/support/notes/1596131","1596131")</f>
        <v>1596131</v>
      </c>
      <c r="E2019">
        <v>2</v>
      </c>
      <c r="F2019" t="s">
        <v>2870</v>
      </c>
    </row>
    <row r="2020" spans="1:6" x14ac:dyDescent="0.25">
      <c r="A2020" t="s">
        <v>1522</v>
      </c>
      <c r="B2020" t="s">
        <v>2869</v>
      </c>
      <c r="C2020" t="s">
        <v>350</v>
      </c>
      <c r="D2020" t="str">
        <f>HYPERLINK("http://service.sap.com/sap/support/notes/1617718","1617718")</f>
        <v>1617718</v>
      </c>
      <c r="E2020">
        <v>1</v>
      </c>
      <c r="F2020" t="s">
        <v>2871</v>
      </c>
    </row>
    <row r="2021" spans="1:6" x14ac:dyDescent="0.25">
      <c r="A2021" t="s">
        <v>1522</v>
      </c>
      <c r="B2021" t="s">
        <v>2869</v>
      </c>
      <c r="C2021" t="s">
        <v>350</v>
      </c>
      <c r="D2021" t="str">
        <f>HYPERLINK("http://service.sap.com/sap/support/notes/1624306","1624306")</f>
        <v>1624306</v>
      </c>
      <c r="E2021">
        <v>1</v>
      </c>
      <c r="F2021" t="s">
        <v>2872</v>
      </c>
    </row>
    <row r="2022" spans="1:6" x14ac:dyDescent="0.25">
      <c r="A2022" t="s">
        <v>1522</v>
      </c>
      <c r="B2022" t="s">
        <v>2869</v>
      </c>
      <c r="C2022" t="s">
        <v>350</v>
      </c>
      <c r="D2022" t="str">
        <f>HYPERLINK("http://service.sap.com/sap/support/notes/1629158","1629158")</f>
        <v>1629158</v>
      </c>
      <c r="E2022">
        <v>1</v>
      </c>
      <c r="F2022" t="s">
        <v>2873</v>
      </c>
    </row>
    <row r="2023" spans="1:6" x14ac:dyDescent="0.25">
      <c r="A2023" t="s">
        <v>1522</v>
      </c>
      <c r="B2023" t="s">
        <v>2869</v>
      </c>
      <c r="C2023" t="s">
        <v>350</v>
      </c>
      <c r="D2023" t="str">
        <f>HYPERLINK("http://service.sap.com/sap/support/notes/1629653","1629653")</f>
        <v>1629653</v>
      </c>
      <c r="E2023">
        <v>1</v>
      </c>
      <c r="F2023" t="s">
        <v>2874</v>
      </c>
    </row>
    <row r="2024" spans="1:6" x14ac:dyDescent="0.25">
      <c r="A2024" t="s">
        <v>1522</v>
      </c>
      <c r="B2024" t="s">
        <v>2869</v>
      </c>
      <c r="C2024" t="s">
        <v>350</v>
      </c>
      <c r="D2024" t="str">
        <f>HYPERLINK("http://service.sap.com/sap/support/notes/1643588","1643588")</f>
        <v>1643588</v>
      </c>
      <c r="E2024">
        <v>2</v>
      </c>
      <c r="F2024" t="s">
        <v>2875</v>
      </c>
    </row>
    <row r="2025" spans="1:6" x14ac:dyDescent="0.25">
      <c r="A2025" t="s">
        <v>1522</v>
      </c>
      <c r="B2025" t="s">
        <v>2869</v>
      </c>
      <c r="C2025" t="s">
        <v>350</v>
      </c>
      <c r="D2025" t="str">
        <f>HYPERLINK("http://service.sap.com/sap/support/notes/1646976","1646976")</f>
        <v>1646976</v>
      </c>
      <c r="E2025">
        <v>1</v>
      </c>
      <c r="F2025" t="s">
        <v>2876</v>
      </c>
    </row>
    <row r="2026" spans="1:6" x14ac:dyDescent="0.25">
      <c r="A2026" t="s">
        <v>1522</v>
      </c>
      <c r="B2026" t="s">
        <v>2877</v>
      </c>
      <c r="C2026" t="s">
        <v>2878</v>
      </c>
    </row>
    <row r="2027" spans="1:6" x14ac:dyDescent="0.25">
      <c r="A2027" t="s">
        <v>1522</v>
      </c>
      <c r="B2027" t="s">
        <v>2879</v>
      </c>
      <c r="C2027" t="s">
        <v>2880</v>
      </c>
      <c r="D2027" t="str">
        <f>HYPERLINK("http://service.sap.com/sap/support/notes/1575752","1575752")</f>
        <v>1575752</v>
      </c>
      <c r="E2027">
        <v>5</v>
      </c>
      <c r="F2027" t="s">
        <v>2881</v>
      </c>
    </row>
    <row r="2028" spans="1:6" x14ac:dyDescent="0.25">
      <c r="A2028" t="s">
        <v>1522</v>
      </c>
      <c r="B2028" t="s">
        <v>2879</v>
      </c>
      <c r="C2028" t="s">
        <v>2880</v>
      </c>
      <c r="D2028" t="str">
        <f>HYPERLINK("http://service.sap.com/sap/support/notes/1590988","1590988")</f>
        <v>1590988</v>
      </c>
      <c r="E2028">
        <v>2</v>
      </c>
      <c r="F2028" t="s">
        <v>2882</v>
      </c>
    </row>
    <row r="2029" spans="1:6" x14ac:dyDescent="0.25">
      <c r="A2029" t="s">
        <v>1522</v>
      </c>
      <c r="B2029" t="s">
        <v>2879</v>
      </c>
      <c r="C2029" t="s">
        <v>2880</v>
      </c>
      <c r="D2029" t="str">
        <f>HYPERLINK("http://service.sap.com/sap/support/notes/1604642","1604642")</f>
        <v>1604642</v>
      </c>
      <c r="E2029">
        <v>1</v>
      </c>
      <c r="F2029" t="s">
        <v>2883</v>
      </c>
    </row>
    <row r="2030" spans="1:6" x14ac:dyDescent="0.25">
      <c r="A2030" t="s">
        <v>1522</v>
      </c>
      <c r="B2030" t="s">
        <v>2879</v>
      </c>
      <c r="C2030" t="s">
        <v>2880</v>
      </c>
      <c r="D2030" t="str">
        <f>HYPERLINK("http://service.sap.com/sap/support/notes/1630623","1630623")</f>
        <v>1630623</v>
      </c>
      <c r="E2030">
        <v>2</v>
      </c>
      <c r="F2030" t="s">
        <v>2884</v>
      </c>
    </row>
    <row r="2031" spans="1:6" x14ac:dyDescent="0.25">
      <c r="A2031" t="s">
        <v>1522</v>
      </c>
      <c r="B2031" t="s">
        <v>2879</v>
      </c>
      <c r="C2031" t="s">
        <v>2880</v>
      </c>
      <c r="D2031" t="str">
        <f>HYPERLINK("http://service.sap.com/sap/support/notes/1647814","1647814")</f>
        <v>1647814</v>
      </c>
      <c r="E2031">
        <v>2</v>
      </c>
      <c r="F2031" t="s">
        <v>2885</v>
      </c>
    </row>
    <row r="2032" spans="1:6" x14ac:dyDescent="0.25">
      <c r="A2032" t="s">
        <v>1522</v>
      </c>
      <c r="B2032" t="s">
        <v>2886</v>
      </c>
      <c r="C2032" t="s">
        <v>2887</v>
      </c>
      <c r="D2032" t="str">
        <f>HYPERLINK("http://service.sap.com/sap/support/notes/1619269","1619269")</f>
        <v>1619269</v>
      </c>
      <c r="E2032">
        <v>1</v>
      </c>
      <c r="F2032" t="s">
        <v>2888</v>
      </c>
    </row>
    <row r="2033" spans="1:6" x14ac:dyDescent="0.25">
      <c r="A2033" t="s">
        <v>1522</v>
      </c>
      <c r="B2033" t="s">
        <v>2886</v>
      </c>
      <c r="C2033" t="s">
        <v>2887</v>
      </c>
      <c r="D2033" t="str">
        <f>HYPERLINK("http://service.sap.com/sap/support/notes/1628255","1628255")</f>
        <v>1628255</v>
      </c>
      <c r="E2033">
        <v>1</v>
      </c>
      <c r="F2033" t="s">
        <v>2889</v>
      </c>
    </row>
    <row r="2034" spans="1:6" x14ac:dyDescent="0.25">
      <c r="A2034" t="s">
        <v>1522</v>
      </c>
      <c r="B2034" t="s">
        <v>2886</v>
      </c>
      <c r="C2034" t="s">
        <v>2887</v>
      </c>
      <c r="D2034" t="str">
        <f>HYPERLINK("http://service.sap.com/sap/support/notes/1629318","1629318")</f>
        <v>1629318</v>
      </c>
      <c r="E2034">
        <v>2</v>
      </c>
      <c r="F2034" t="s">
        <v>2890</v>
      </c>
    </row>
    <row r="2035" spans="1:6" x14ac:dyDescent="0.25">
      <c r="A2035" t="s">
        <v>1522</v>
      </c>
      <c r="B2035" t="s">
        <v>2886</v>
      </c>
      <c r="C2035" t="s">
        <v>2887</v>
      </c>
      <c r="D2035" t="str">
        <f>HYPERLINK("http://service.sap.com/sap/support/notes/1641528","1641528")</f>
        <v>1641528</v>
      </c>
      <c r="E2035">
        <v>1</v>
      </c>
      <c r="F2035" t="s">
        <v>2891</v>
      </c>
    </row>
    <row r="2036" spans="1:6" x14ac:dyDescent="0.25">
      <c r="A2036" t="s">
        <v>1522</v>
      </c>
      <c r="B2036" t="s">
        <v>2886</v>
      </c>
      <c r="C2036" t="s">
        <v>2887</v>
      </c>
      <c r="D2036" t="str">
        <f>HYPERLINK("http://service.sap.com/sap/support/notes/1649426","1649426")</f>
        <v>1649426</v>
      </c>
      <c r="E2036">
        <v>1</v>
      </c>
      <c r="F2036" t="s">
        <v>2892</v>
      </c>
    </row>
    <row r="2037" spans="1:6" x14ac:dyDescent="0.25">
      <c r="A2037" t="s">
        <v>1522</v>
      </c>
      <c r="B2037" t="s">
        <v>2886</v>
      </c>
      <c r="C2037" t="s">
        <v>2887</v>
      </c>
      <c r="D2037" t="str">
        <f>HYPERLINK("http://service.sap.com/sap/support/notes/1655348","1655348")</f>
        <v>1655348</v>
      </c>
      <c r="E2037">
        <v>1</v>
      </c>
      <c r="F2037" t="s">
        <v>2893</v>
      </c>
    </row>
    <row r="2038" spans="1:6" x14ac:dyDescent="0.25">
      <c r="A2038" t="s">
        <v>1522</v>
      </c>
      <c r="B2038" t="s">
        <v>2886</v>
      </c>
      <c r="C2038" t="s">
        <v>2887</v>
      </c>
      <c r="D2038" t="str">
        <f>HYPERLINK("http://service.sap.com/sap/support/notes/1660943","1660943")</f>
        <v>1660943</v>
      </c>
      <c r="E2038">
        <v>2</v>
      </c>
      <c r="F2038" t="s">
        <v>2894</v>
      </c>
    </row>
    <row r="2039" spans="1:6" x14ac:dyDescent="0.25">
      <c r="A2039" t="s">
        <v>1522</v>
      </c>
      <c r="B2039" t="s">
        <v>2886</v>
      </c>
      <c r="C2039" t="s">
        <v>2887</v>
      </c>
      <c r="D2039" t="str">
        <f>HYPERLINK("http://service.sap.com/sap/support/notes/1667206","1667206")</f>
        <v>1667206</v>
      </c>
      <c r="E2039">
        <v>1</v>
      </c>
      <c r="F2039" t="s">
        <v>2895</v>
      </c>
    </row>
    <row r="2040" spans="1:6" x14ac:dyDescent="0.25">
      <c r="A2040" t="s">
        <v>1522</v>
      </c>
      <c r="B2040" t="s">
        <v>2886</v>
      </c>
      <c r="C2040" t="s">
        <v>2887</v>
      </c>
      <c r="D2040" t="str">
        <f>HYPERLINK("http://service.sap.com/sap/support/notes/1672235","1672235")</f>
        <v>1672235</v>
      </c>
      <c r="E2040">
        <v>1</v>
      </c>
      <c r="F2040" t="s">
        <v>2896</v>
      </c>
    </row>
    <row r="2041" spans="1:6" x14ac:dyDescent="0.25">
      <c r="A2041" t="s">
        <v>1522</v>
      </c>
      <c r="B2041" t="s">
        <v>2897</v>
      </c>
      <c r="C2041" t="s">
        <v>2898</v>
      </c>
      <c r="D2041" t="str">
        <f>HYPERLINK("http://service.sap.com/sap/support/notes/1655212","1655212")</f>
        <v>1655212</v>
      </c>
      <c r="E2041">
        <v>1</v>
      </c>
      <c r="F2041" t="s">
        <v>2899</v>
      </c>
    </row>
    <row r="2042" spans="1:6" x14ac:dyDescent="0.25">
      <c r="A2042" t="s">
        <v>1522</v>
      </c>
      <c r="B2042" t="s">
        <v>2900</v>
      </c>
      <c r="C2042" t="s">
        <v>2887</v>
      </c>
      <c r="D2042" t="str">
        <f>HYPERLINK("http://service.sap.com/sap/support/notes/1609861","1609861")</f>
        <v>1609861</v>
      </c>
      <c r="E2042">
        <v>2</v>
      </c>
      <c r="F2042" t="s">
        <v>2901</v>
      </c>
    </row>
    <row r="2043" spans="1:6" x14ac:dyDescent="0.25">
      <c r="A2043" t="s">
        <v>1522</v>
      </c>
      <c r="B2043" t="s">
        <v>2900</v>
      </c>
      <c r="C2043" t="s">
        <v>2887</v>
      </c>
      <c r="D2043" t="str">
        <f>HYPERLINK("http://service.sap.com/sap/support/notes/1647747","1647747")</f>
        <v>1647747</v>
      </c>
      <c r="E2043">
        <v>1</v>
      </c>
      <c r="F2043" t="s">
        <v>2902</v>
      </c>
    </row>
    <row r="2044" spans="1:6" x14ac:dyDescent="0.25">
      <c r="A2044" t="s">
        <v>1522</v>
      </c>
      <c r="B2044" t="s">
        <v>2900</v>
      </c>
      <c r="C2044" t="s">
        <v>2887</v>
      </c>
      <c r="D2044" t="str">
        <f>HYPERLINK("http://service.sap.com/sap/support/notes/1651132","1651132")</f>
        <v>1651132</v>
      </c>
      <c r="E2044">
        <v>1</v>
      </c>
      <c r="F2044" t="s">
        <v>2903</v>
      </c>
    </row>
    <row r="2045" spans="1:6" x14ac:dyDescent="0.25">
      <c r="A2045" t="s">
        <v>1522</v>
      </c>
      <c r="B2045" t="s">
        <v>2900</v>
      </c>
      <c r="C2045" t="s">
        <v>2887</v>
      </c>
      <c r="D2045" t="str">
        <f>HYPERLINK("http://service.sap.com/sap/support/notes/1655685","1655685")</f>
        <v>1655685</v>
      </c>
      <c r="E2045">
        <v>2</v>
      </c>
      <c r="F2045" t="s">
        <v>2904</v>
      </c>
    </row>
    <row r="2046" spans="1:6" x14ac:dyDescent="0.25">
      <c r="A2046" t="s">
        <v>1522</v>
      </c>
      <c r="B2046" t="s">
        <v>2900</v>
      </c>
      <c r="C2046" t="s">
        <v>2887</v>
      </c>
      <c r="D2046" t="str">
        <f>HYPERLINK("http://service.sap.com/sap/support/notes/1656973","1656973")</f>
        <v>1656973</v>
      </c>
      <c r="E2046">
        <v>1</v>
      </c>
      <c r="F2046" t="s">
        <v>2905</v>
      </c>
    </row>
    <row r="2047" spans="1:6" x14ac:dyDescent="0.25">
      <c r="A2047" t="s">
        <v>1522</v>
      </c>
      <c r="B2047" t="s">
        <v>2900</v>
      </c>
      <c r="C2047" t="s">
        <v>2887</v>
      </c>
      <c r="D2047" t="str">
        <f>HYPERLINK("http://service.sap.com/sap/support/notes/1660067","1660067")</f>
        <v>1660067</v>
      </c>
      <c r="E2047">
        <v>2</v>
      </c>
      <c r="F2047" t="s">
        <v>2906</v>
      </c>
    </row>
    <row r="2048" spans="1:6" x14ac:dyDescent="0.25">
      <c r="A2048" t="s">
        <v>1522</v>
      </c>
      <c r="B2048" t="s">
        <v>2900</v>
      </c>
      <c r="C2048" t="s">
        <v>2887</v>
      </c>
      <c r="D2048" t="str">
        <f>HYPERLINK("http://service.sap.com/sap/support/notes/1665678","1665678")</f>
        <v>1665678</v>
      </c>
      <c r="E2048">
        <v>2</v>
      </c>
      <c r="F2048" t="s">
        <v>2907</v>
      </c>
    </row>
    <row r="2049" spans="1:6" x14ac:dyDescent="0.25">
      <c r="A2049" t="s">
        <v>1522</v>
      </c>
      <c r="B2049" t="s">
        <v>2900</v>
      </c>
      <c r="C2049" t="s">
        <v>2887</v>
      </c>
      <c r="D2049" t="str">
        <f>HYPERLINK("http://service.sap.com/sap/support/notes/1671509","1671509")</f>
        <v>1671509</v>
      </c>
      <c r="E2049">
        <v>1</v>
      </c>
      <c r="F2049" t="s">
        <v>2908</v>
      </c>
    </row>
    <row r="2050" spans="1:6" x14ac:dyDescent="0.25">
      <c r="A2050" t="s">
        <v>1522</v>
      </c>
      <c r="B2050" t="s">
        <v>2909</v>
      </c>
      <c r="C2050" t="s">
        <v>2887</v>
      </c>
      <c r="D2050" t="str">
        <f>HYPERLINK("http://service.sap.com/sap/support/notes/1597693","1597693")</f>
        <v>1597693</v>
      </c>
      <c r="E2050">
        <v>1</v>
      </c>
      <c r="F2050" t="s">
        <v>2910</v>
      </c>
    </row>
    <row r="2051" spans="1:6" x14ac:dyDescent="0.25">
      <c r="A2051" t="s">
        <v>1522</v>
      </c>
      <c r="B2051" t="s">
        <v>2909</v>
      </c>
      <c r="C2051" t="s">
        <v>2887</v>
      </c>
      <c r="D2051" t="str">
        <f>HYPERLINK("http://service.sap.com/sap/support/notes/1599168","1599168")</f>
        <v>1599168</v>
      </c>
      <c r="E2051">
        <v>1</v>
      </c>
      <c r="F2051" t="s">
        <v>2911</v>
      </c>
    </row>
    <row r="2052" spans="1:6" x14ac:dyDescent="0.25">
      <c r="A2052" t="s">
        <v>1522</v>
      </c>
      <c r="B2052" t="s">
        <v>2909</v>
      </c>
      <c r="C2052" t="s">
        <v>2887</v>
      </c>
      <c r="D2052" t="str">
        <f>HYPERLINK("http://service.sap.com/sap/support/notes/1600154","1600154")</f>
        <v>1600154</v>
      </c>
      <c r="E2052">
        <v>3</v>
      </c>
      <c r="F2052" t="s">
        <v>2912</v>
      </c>
    </row>
    <row r="2053" spans="1:6" x14ac:dyDescent="0.25">
      <c r="A2053" t="s">
        <v>1522</v>
      </c>
      <c r="B2053" t="s">
        <v>2909</v>
      </c>
      <c r="C2053" t="s">
        <v>2887</v>
      </c>
      <c r="D2053" t="str">
        <f>HYPERLINK("http://service.sap.com/sap/support/notes/1626389","1626389")</f>
        <v>1626389</v>
      </c>
      <c r="E2053">
        <v>2</v>
      </c>
      <c r="F2053" t="s">
        <v>2913</v>
      </c>
    </row>
    <row r="2054" spans="1:6" x14ac:dyDescent="0.25">
      <c r="A2054" t="s">
        <v>1522</v>
      </c>
      <c r="B2054" t="s">
        <v>2909</v>
      </c>
      <c r="C2054" t="s">
        <v>2887</v>
      </c>
      <c r="D2054" t="str">
        <f>HYPERLINK("http://service.sap.com/sap/support/notes/1626583","1626583")</f>
        <v>1626583</v>
      </c>
      <c r="E2054">
        <v>1</v>
      </c>
      <c r="F2054" t="s">
        <v>2914</v>
      </c>
    </row>
    <row r="2055" spans="1:6" x14ac:dyDescent="0.25">
      <c r="A2055" t="s">
        <v>1522</v>
      </c>
      <c r="B2055" t="s">
        <v>2909</v>
      </c>
      <c r="C2055" t="s">
        <v>2887</v>
      </c>
      <c r="D2055" t="str">
        <f>HYPERLINK("http://service.sap.com/sap/support/notes/1628687","1628687")</f>
        <v>1628687</v>
      </c>
      <c r="E2055">
        <v>3</v>
      </c>
      <c r="F2055" t="s">
        <v>2915</v>
      </c>
    </row>
    <row r="2056" spans="1:6" x14ac:dyDescent="0.25">
      <c r="A2056" t="s">
        <v>1522</v>
      </c>
      <c r="B2056" t="s">
        <v>2909</v>
      </c>
      <c r="C2056" t="s">
        <v>2887</v>
      </c>
      <c r="D2056" t="str">
        <f>HYPERLINK("http://service.sap.com/sap/support/notes/1639690","1639690")</f>
        <v>1639690</v>
      </c>
      <c r="E2056">
        <v>2</v>
      </c>
      <c r="F2056" t="s">
        <v>2916</v>
      </c>
    </row>
    <row r="2057" spans="1:6" x14ac:dyDescent="0.25">
      <c r="A2057" t="s">
        <v>1522</v>
      </c>
      <c r="B2057" t="s">
        <v>2909</v>
      </c>
      <c r="C2057" t="s">
        <v>2887</v>
      </c>
      <c r="D2057" t="str">
        <f>HYPERLINK("http://service.sap.com/sap/support/notes/1640228","1640228")</f>
        <v>1640228</v>
      </c>
      <c r="E2057">
        <v>1</v>
      </c>
      <c r="F2057" t="s">
        <v>2917</v>
      </c>
    </row>
    <row r="2058" spans="1:6" x14ac:dyDescent="0.25">
      <c r="A2058" t="s">
        <v>1522</v>
      </c>
      <c r="B2058" t="s">
        <v>2909</v>
      </c>
      <c r="C2058" t="s">
        <v>2887</v>
      </c>
      <c r="D2058" t="str">
        <f>HYPERLINK("http://service.sap.com/sap/support/notes/1643715","1643715")</f>
        <v>1643715</v>
      </c>
      <c r="E2058">
        <v>1</v>
      </c>
      <c r="F2058" t="s">
        <v>2918</v>
      </c>
    </row>
    <row r="2059" spans="1:6" x14ac:dyDescent="0.25">
      <c r="A2059" t="s">
        <v>1522</v>
      </c>
      <c r="B2059" t="s">
        <v>2909</v>
      </c>
      <c r="C2059" t="s">
        <v>2887</v>
      </c>
      <c r="D2059" t="str">
        <f>HYPERLINK("http://service.sap.com/sap/support/notes/1648850","1648850")</f>
        <v>1648850</v>
      </c>
      <c r="E2059">
        <v>1</v>
      </c>
      <c r="F2059" t="s">
        <v>2919</v>
      </c>
    </row>
    <row r="2060" spans="1:6" x14ac:dyDescent="0.25">
      <c r="A2060" t="s">
        <v>1522</v>
      </c>
      <c r="B2060" t="s">
        <v>2909</v>
      </c>
      <c r="C2060" t="s">
        <v>2887</v>
      </c>
      <c r="D2060" t="str">
        <f>HYPERLINK("http://service.sap.com/sap/support/notes/1650324","1650324")</f>
        <v>1650324</v>
      </c>
      <c r="E2060">
        <v>2</v>
      </c>
      <c r="F2060" t="s">
        <v>2920</v>
      </c>
    </row>
    <row r="2061" spans="1:6" x14ac:dyDescent="0.25">
      <c r="A2061" t="s">
        <v>1522</v>
      </c>
      <c r="B2061" t="s">
        <v>2909</v>
      </c>
      <c r="C2061" t="s">
        <v>2887</v>
      </c>
      <c r="D2061" t="str">
        <f>HYPERLINK("http://service.sap.com/sap/support/notes/1652700","1652700")</f>
        <v>1652700</v>
      </c>
      <c r="E2061">
        <v>1</v>
      </c>
      <c r="F2061" t="s">
        <v>2921</v>
      </c>
    </row>
    <row r="2062" spans="1:6" x14ac:dyDescent="0.25">
      <c r="A2062" t="s">
        <v>1522</v>
      </c>
      <c r="B2062" t="s">
        <v>2909</v>
      </c>
      <c r="C2062" t="s">
        <v>2887</v>
      </c>
      <c r="D2062" t="str">
        <f>HYPERLINK("http://service.sap.com/sap/support/notes/1654065","1654065")</f>
        <v>1654065</v>
      </c>
      <c r="E2062">
        <v>3</v>
      </c>
      <c r="F2062" t="s">
        <v>2922</v>
      </c>
    </row>
    <row r="2063" spans="1:6" x14ac:dyDescent="0.25">
      <c r="A2063" t="s">
        <v>1522</v>
      </c>
      <c r="B2063" t="s">
        <v>2909</v>
      </c>
      <c r="C2063" t="s">
        <v>2887</v>
      </c>
      <c r="D2063" t="str">
        <f>HYPERLINK("http://service.sap.com/sap/support/notes/1654444","1654444")</f>
        <v>1654444</v>
      </c>
      <c r="E2063">
        <v>3</v>
      </c>
      <c r="F2063" t="s">
        <v>2923</v>
      </c>
    </row>
    <row r="2064" spans="1:6" x14ac:dyDescent="0.25">
      <c r="A2064" t="s">
        <v>1522</v>
      </c>
      <c r="B2064" t="s">
        <v>2909</v>
      </c>
      <c r="C2064" t="s">
        <v>2887</v>
      </c>
      <c r="D2064" t="str">
        <f>HYPERLINK("http://service.sap.com/sap/support/notes/1658386","1658386")</f>
        <v>1658386</v>
      </c>
      <c r="E2064">
        <v>2</v>
      </c>
      <c r="F2064" t="s">
        <v>2917</v>
      </c>
    </row>
    <row r="2065" spans="1:6" x14ac:dyDescent="0.25">
      <c r="A2065" t="s">
        <v>1522</v>
      </c>
      <c r="B2065" t="s">
        <v>2909</v>
      </c>
      <c r="C2065" t="s">
        <v>2887</v>
      </c>
      <c r="D2065" t="str">
        <f>HYPERLINK("http://service.sap.com/sap/support/notes/1659613","1659613")</f>
        <v>1659613</v>
      </c>
      <c r="E2065">
        <v>1</v>
      </c>
      <c r="F2065" t="s">
        <v>2924</v>
      </c>
    </row>
    <row r="2066" spans="1:6" x14ac:dyDescent="0.25">
      <c r="A2066" t="s">
        <v>1522</v>
      </c>
      <c r="B2066" t="s">
        <v>2909</v>
      </c>
      <c r="C2066" t="s">
        <v>2887</v>
      </c>
      <c r="D2066" t="str">
        <f>HYPERLINK("http://service.sap.com/sap/support/notes/1663555","1663555")</f>
        <v>1663555</v>
      </c>
      <c r="E2066">
        <v>1</v>
      </c>
      <c r="F2066" t="s">
        <v>2925</v>
      </c>
    </row>
    <row r="2067" spans="1:6" x14ac:dyDescent="0.25">
      <c r="A2067" t="s">
        <v>1522</v>
      </c>
      <c r="B2067" t="s">
        <v>2909</v>
      </c>
      <c r="C2067" t="s">
        <v>2887</v>
      </c>
      <c r="D2067" t="str">
        <f>HYPERLINK("http://service.sap.com/sap/support/notes/1663603","1663603")</f>
        <v>1663603</v>
      </c>
      <c r="E2067">
        <v>2</v>
      </c>
      <c r="F2067" t="s">
        <v>2926</v>
      </c>
    </row>
    <row r="2068" spans="1:6" x14ac:dyDescent="0.25">
      <c r="A2068" t="s">
        <v>1522</v>
      </c>
      <c r="B2068" t="s">
        <v>2909</v>
      </c>
      <c r="C2068" t="s">
        <v>2887</v>
      </c>
      <c r="D2068" t="str">
        <f>HYPERLINK("http://service.sap.com/sap/support/notes/1664060","1664060")</f>
        <v>1664060</v>
      </c>
      <c r="E2068">
        <v>1</v>
      </c>
      <c r="F2068" t="s">
        <v>2927</v>
      </c>
    </row>
    <row r="2069" spans="1:6" x14ac:dyDescent="0.25">
      <c r="A2069" t="s">
        <v>1522</v>
      </c>
      <c r="B2069" t="s">
        <v>2909</v>
      </c>
      <c r="C2069" t="s">
        <v>2887</v>
      </c>
      <c r="D2069" t="str">
        <f>HYPERLINK("http://service.sap.com/sap/support/notes/1664739","1664739")</f>
        <v>1664739</v>
      </c>
      <c r="E2069">
        <v>1</v>
      </c>
      <c r="F2069" t="s">
        <v>2928</v>
      </c>
    </row>
    <row r="2070" spans="1:6" x14ac:dyDescent="0.25">
      <c r="A2070" t="s">
        <v>1522</v>
      </c>
      <c r="B2070" t="s">
        <v>2929</v>
      </c>
      <c r="C2070" t="s">
        <v>2887</v>
      </c>
      <c r="D2070" t="str">
        <f>HYPERLINK("http://service.sap.com/sap/support/notes/1627187","1627187")</f>
        <v>1627187</v>
      </c>
      <c r="E2070">
        <v>1</v>
      </c>
      <c r="F2070" t="s">
        <v>2930</v>
      </c>
    </row>
    <row r="2071" spans="1:6" x14ac:dyDescent="0.25">
      <c r="A2071" t="s">
        <v>1522</v>
      </c>
      <c r="B2071" t="s">
        <v>2929</v>
      </c>
      <c r="C2071" t="s">
        <v>2887</v>
      </c>
      <c r="D2071" t="str">
        <f>HYPERLINK("http://service.sap.com/sap/support/notes/1649508","1649508")</f>
        <v>1649508</v>
      </c>
      <c r="E2071">
        <v>3</v>
      </c>
      <c r="F2071" t="s">
        <v>2931</v>
      </c>
    </row>
    <row r="2072" spans="1:6" x14ac:dyDescent="0.25">
      <c r="A2072" t="s">
        <v>1522</v>
      </c>
      <c r="B2072" t="s">
        <v>2929</v>
      </c>
      <c r="C2072" t="s">
        <v>2887</v>
      </c>
      <c r="D2072" t="str">
        <f>HYPERLINK("http://service.sap.com/sap/support/notes/1654363","1654363")</f>
        <v>1654363</v>
      </c>
      <c r="E2072">
        <v>1</v>
      </c>
      <c r="F2072" t="s">
        <v>2932</v>
      </c>
    </row>
    <row r="2073" spans="1:6" x14ac:dyDescent="0.25">
      <c r="A2073" t="s">
        <v>1522</v>
      </c>
      <c r="B2073" t="s">
        <v>2929</v>
      </c>
      <c r="C2073" t="s">
        <v>2887</v>
      </c>
      <c r="D2073" t="str">
        <f>HYPERLINK("http://service.sap.com/sap/support/notes/1657156","1657156")</f>
        <v>1657156</v>
      </c>
      <c r="E2073">
        <v>1</v>
      </c>
      <c r="F2073" t="s">
        <v>2933</v>
      </c>
    </row>
    <row r="2074" spans="1:6" x14ac:dyDescent="0.25">
      <c r="A2074" t="s">
        <v>1522</v>
      </c>
      <c r="B2074" t="s">
        <v>2929</v>
      </c>
      <c r="C2074" t="s">
        <v>2887</v>
      </c>
      <c r="D2074" t="str">
        <f>HYPERLINK("http://service.sap.com/sap/support/notes/1660365","1660365")</f>
        <v>1660365</v>
      </c>
      <c r="E2074">
        <v>4</v>
      </c>
      <c r="F2074" t="s">
        <v>2934</v>
      </c>
    </row>
    <row r="2075" spans="1:6" x14ac:dyDescent="0.25">
      <c r="A2075" t="s">
        <v>1522</v>
      </c>
      <c r="B2075" t="s">
        <v>2929</v>
      </c>
      <c r="C2075" t="s">
        <v>2887</v>
      </c>
      <c r="D2075" t="str">
        <f>HYPERLINK("http://service.sap.com/sap/support/notes/1666478","1666478")</f>
        <v>1666478</v>
      </c>
      <c r="E2075">
        <v>2</v>
      </c>
      <c r="F2075" t="s">
        <v>2935</v>
      </c>
    </row>
    <row r="2076" spans="1:6" x14ac:dyDescent="0.25">
      <c r="A2076" t="s">
        <v>1522</v>
      </c>
      <c r="B2076" t="s">
        <v>2929</v>
      </c>
      <c r="C2076" t="s">
        <v>2887</v>
      </c>
      <c r="D2076" t="str">
        <f>HYPERLINK("http://service.sap.com/sap/support/notes/1667694","1667694")</f>
        <v>1667694</v>
      </c>
      <c r="E2076">
        <v>2</v>
      </c>
      <c r="F2076" t="s">
        <v>2936</v>
      </c>
    </row>
    <row r="2077" spans="1:6" x14ac:dyDescent="0.25">
      <c r="A2077" t="s">
        <v>1522</v>
      </c>
      <c r="B2077" t="s">
        <v>2929</v>
      </c>
      <c r="C2077" t="s">
        <v>2887</v>
      </c>
      <c r="D2077" t="str">
        <f>HYPERLINK("http://service.sap.com/sap/support/notes/1669474","1669474")</f>
        <v>1669474</v>
      </c>
      <c r="E2077">
        <v>2</v>
      </c>
      <c r="F2077" t="s">
        <v>2937</v>
      </c>
    </row>
    <row r="2078" spans="1:6" x14ac:dyDescent="0.25">
      <c r="A2078" t="s">
        <v>1522</v>
      </c>
      <c r="B2078" t="s">
        <v>2938</v>
      </c>
      <c r="C2078" t="s">
        <v>2939</v>
      </c>
    </row>
    <row r="2079" spans="1:6" x14ac:dyDescent="0.25">
      <c r="A2079" t="s">
        <v>1522</v>
      </c>
      <c r="B2079" t="s">
        <v>2940</v>
      </c>
      <c r="C2079" t="s">
        <v>350</v>
      </c>
    </row>
    <row r="2080" spans="1:6" x14ac:dyDescent="0.25">
      <c r="A2080" t="s">
        <v>1522</v>
      </c>
      <c r="B2080" t="s">
        <v>2941</v>
      </c>
      <c r="C2080" t="s">
        <v>2942</v>
      </c>
      <c r="D2080" t="str">
        <f>HYPERLINK("http://service.sap.com/sap/support/notes/745583","745583")</f>
        <v>745583</v>
      </c>
      <c r="E2080">
        <v>4</v>
      </c>
      <c r="F2080" t="s">
        <v>2943</v>
      </c>
    </row>
    <row r="2081" spans="1:6" x14ac:dyDescent="0.25">
      <c r="A2081" t="s">
        <v>1522</v>
      </c>
      <c r="B2081" t="s">
        <v>2941</v>
      </c>
      <c r="C2081" t="s">
        <v>2942</v>
      </c>
      <c r="D2081" t="str">
        <f>HYPERLINK("http://service.sap.com/sap/support/notes/1467598","1467598")</f>
        <v>1467598</v>
      </c>
      <c r="E2081">
        <v>11</v>
      </c>
      <c r="F2081" t="s">
        <v>2944</v>
      </c>
    </row>
    <row r="2082" spans="1:6" x14ac:dyDescent="0.25">
      <c r="A2082" t="s">
        <v>1522</v>
      </c>
      <c r="B2082" t="s">
        <v>2941</v>
      </c>
      <c r="C2082" t="s">
        <v>2942</v>
      </c>
      <c r="D2082" t="str">
        <f>HYPERLINK("http://service.sap.com/sap/support/notes/1505282","1505282")</f>
        <v>1505282</v>
      </c>
      <c r="E2082">
        <v>2</v>
      </c>
      <c r="F2082" t="s">
        <v>2945</v>
      </c>
    </row>
    <row r="2083" spans="1:6" x14ac:dyDescent="0.25">
      <c r="A2083" t="s">
        <v>1522</v>
      </c>
      <c r="B2083" t="s">
        <v>2941</v>
      </c>
      <c r="C2083" t="s">
        <v>2942</v>
      </c>
      <c r="D2083" t="str">
        <f>HYPERLINK("http://service.sap.com/sap/support/notes/1509537","1509537")</f>
        <v>1509537</v>
      </c>
      <c r="E2083">
        <v>4</v>
      </c>
      <c r="F2083" t="s">
        <v>2946</v>
      </c>
    </row>
    <row r="2084" spans="1:6" x14ac:dyDescent="0.25">
      <c r="A2084" t="s">
        <v>1522</v>
      </c>
      <c r="B2084" t="s">
        <v>2941</v>
      </c>
      <c r="C2084" t="s">
        <v>2942</v>
      </c>
      <c r="D2084" t="str">
        <f>HYPERLINK("http://service.sap.com/sap/support/notes/1626610","1626610")</f>
        <v>1626610</v>
      </c>
      <c r="E2084">
        <v>2</v>
      </c>
      <c r="F2084" t="s">
        <v>2947</v>
      </c>
    </row>
    <row r="2085" spans="1:6" x14ac:dyDescent="0.25">
      <c r="A2085" t="s">
        <v>1522</v>
      </c>
      <c r="B2085" t="s">
        <v>2941</v>
      </c>
      <c r="C2085" t="s">
        <v>2942</v>
      </c>
      <c r="D2085" t="str">
        <f>HYPERLINK("http://service.sap.com/sap/support/notes/1673589","1673589")</f>
        <v>1673589</v>
      </c>
      <c r="E2085">
        <v>1</v>
      </c>
      <c r="F2085" t="s">
        <v>2948</v>
      </c>
    </row>
    <row r="2086" spans="1:6" x14ac:dyDescent="0.25">
      <c r="A2086" t="s">
        <v>1522</v>
      </c>
      <c r="B2086" t="s">
        <v>2949</v>
      </c>
      <c r="C2086" t="s">
        <v>337</v>
      </c>
      <c r="D2086" t="str">
        <f>HYPERLINK("http://service.sap.com/sap/support/notes/1554810","1554810")</f>
        <v>1554810</v>
      </c>
      <c r="E2086">
        <v>3</v>
      </c>
      <c r="F2086" t="s">
        <v>2950</v>
      </c>
    </row>
    <row r="2087" spans="1:6" x14ac:dyDescent="0.25">
      <c r="A2087" t="s">
        <v>1522</v>
      </c>
      <c r="B2087" t="s">
        <v>2949</v>
      </c>
      <c r="C2087" t="s">
        <v>337</v>
      </c>
      <c r="D2087" t="str">
        <f>HYPERLINK("http://service.sap.com/sap/support/notes/1626232","1626232")</f>
        <v>1626232</v>
      </c>
      <c r="E2087">
        <v>2</v>
      </c>
      <c r="F2087" t="s">
        <v>2951</v>
      </c>
    </row>
    <row r="2088" spans="1:6" x14ac:dyDescent="0.25">
      <c r="A2088" t="s">
        <v>1522</v>
      </c>
      <c r="B2088" t="s">
        <v>2952</v>
      </c>
      <c r="C2088" t="s">
        <v>469</v>
      </c>
      <c r="D2088" t="str">
        <f>HYPERLINK("http://service.sap.com/sap/support/notes/1621364","1621364")</f>
        <v>1621364</v>
      </c>
      <c r="E2088">
        <v>4</v>
      </c>
      <c r="F2088" t="s">
        <v>2953</v>
      </c>
    </row>
    <row r="2089" spans="1:6" x14ac:dyDescent="0.25">
      <c r="A2089" t="s">
        <v>1522</v>
      </c>
      <c r="B2089" t="s">
        <v>2952</v>
      </c>
      <c r="C2089" t="s">
        <v>469</v>
      </c>
      <c r="D2089" t="str">
        <f>HYPERLINK("http://service.sap.com/sap/support/notes/1662621","1662621")</f>
        <v>1662621</v>
      </c>
      <c r="E2089">
        <v>4</v>
      </c>
      <c r="F2089" t="s">
        <v>2954</v>
      </c>
    </row>
    <row r="2090" spans="1:6" x14ac:dyDescent="0.25">
      <c r="A2090" t="s">
        <v>1522</v>
      </c>
      <c r="B2090" t="s">
        <v>2955</v>
      </c>
      <c r="C2090" t="s">
        <v>2956</v>
      </c>
      <c r="D2090" t="str">
        <f>HYPERLINK("http://service.sap.com/sap/support/notes/1629472","1629472")</f>
        <v>1629472</v>
      </c>
      <c r="E2090">
        <v>1</v>
      </c>
      <c r="F2090" t="s">
        <v>2957</v>
      </c>
    </row>
    <row r="2091" spans="1:6" x14ac:dyDescent="0.25">
      <c r="A2091" t="s">
        <v>1522</v>
      </c>
      <c r="B2091" t="s">
        <v>2955</v>
      </c>
      <c r="C2091" t="s">
        <v>2956</v>
      </c>
      <c r="D2091" t="str">
        <f>HYPERLINK("http://service.sap.com/sap/support/notes/1629667","1629667")</f>
        <v>1629667</v>
      </c>
      <c r="E2091">
        <v>1</v>
      </c>
      <c r="F2091" t="s">
        <v>2958</v>
      </c>
    </row>
    <row r="2092" spans="1:6" x14ac:dyDescent="0.25">
      <c r="A2092" t="s">
        <v>1522</v>
      </c>
      <c r="B2092" t="s">
        <v>2955</v>
      </c>
      <c r="C2092" t="s">
        <v>2956</v>
      </c>
      <c r="D2092" t="str">
        <f>HYPERLINK("http://service.sap.com/sap/support/notes/1643732","1643732")</f>
        <v>1643732</v>
      </c>
      <c r="E2092">
        <v>2</v>
      </c>
      <c r="F2092" t="s">
        <v>2959</v>
      </c>
    </row>
    <row r="2093" spans="1:6" x14ac:dyDescent="0.25">
      <c r="A2093" t="s">
        <v>1522</v>
      </c>
      <c r="B2093" t="s">
        <v>2955</v>
      </c>
      <c r="C2093" t="s">
        <v>2956</v>
      </c>
      <c r="D2093" t="str">
        <f>HYPERLINK("http://service.sap.com/sap/support/notes/1645478","1645478")</f>
        <v>1645478</v>
      </c>
      <c r="E2093">
        <v>1</v>
      </c>
      <c r="F2093" t="s">
        <v>2960</v>
      </c>
    </row>
    <row r="2094" spans="1:6" x14ac:dyDescent="0.25">
      <c r="A2094" t="s">
        <v>1522</v>
      </c>
      <c r="B2094" t="s">
        <v>2961</v>
      </c>
      <c r="C2094" t="s">
        <v>2452</v>
      </c>
      <c r="D2094" t="str">
        <f>HYPERLINK("http://service.sap.com/sap/support/notes/1615340","1615340")</f>
        <v>1615340</v>
      </c>
      <c r="E2094">
        <v>2</v>
      </c>
      <c r="F2094" t="s">
        <v>2962</v>
      </c>
    </row>
    <row r="2095" spans="1:6" x14ac:dyDescent="0.25">
      <c r="A2095" t="s">
        <v>1522</v>
      </c>
      <c r="B2095" t="s">
        <v>2961</v>
      </c>
      <c r="C2095" t="s">
        <v>2452</v>
      </c>
      <c r="D2095" t="str">
        <f>HYPERLINK("http://service.sap.com/sap/support/notes/1646786","1646786")</f>
        <v>1646786</v>
      </c>
      <c r="E2095">
        <v>2</v>
      </c>
      <c r="F2095" t="s">
        <v>2963</v>
      </c>
    </row>
    <row r="2096" spans="1:6" x14ac:dyDescent="0.25">
      <c r="A2096" t="s">
        <v>1522</v>
      </c>
      <c r="B2096" t="s">
        <v>2964</v>
      </c>
      <c r="C2096" t="s">
        <v>2965</v>
      </c>
      <c r="D2096" t="str">
        <f>HYPERLINK("http://service.sap.com/sap/support/notes/1616614","1616614")</f>
        <v>1616614</v>
      </c>
      <c r="E2096">
        <v>1</v>
      </c>
      <c r="F2096" t="s">
        <v>2966</v>
      </c>
    </row>
    <row r="2097" spans="1:6" x14ac:dyDescent="0.25">
      <c r="A2097" t="s">
        <v>1522</v>
      </c>
      <c r="B2097" t="s">
        <v>2967</v>
      </c>
      <c r="C2097" t="s">
        <v>1845</v>
      </c>
      <c r="D2097" t="str">
        <f>HYPERLINK("http://service.sap.com/sap/support/notes/1605381","1605381")</f>
        <v>1605381</v>
      </c>
      <c r="E2097">
        <v>1</v>
      </c>
      <c r="F2097" t="s">
        <v>2968</v>
      </c>
    </row>
    <row r="2098" spans="1:6" x14ac:dyDescent="0.25">
      <c r="A2098" t="s">
        <v>1522</v>
      </c>
      <c r="B2098" t="s">
        <v>2967</v>
      </c>
      <c r="C2098" t="s">
        <v>1845</v>
      </c>
      <c r="D2098" t="str">
        <f>HYPERLINK("http://service.sap.com/sap/support/notes/1605706","1605706")</f>
        <v>1605706</v>
      </c>
      <c r="E2098">
        <v>1</v>
      </c>
      <c r="F2098" t="s">
        <v>2969</v>
      </c>
    </row>
    <row r="2099" spans="1:6" x14ac:dyDescent="0.25">
      <c r="A2099" t="s">
        <v>1522</v>
      </c>
      <c r="B2099" t="s">
        <v>2967</v>
      </c>
      <c r="C2099" t="s">
        <v>1845</v>
      </c>
      <c r="D2099" t="str">
        <f>HYPERLINK("http://service.sap.com/sap/support/notes/1639740","1639740")</f>
        <v>1639740</v>
      </c>
      <c r="E2099">
        <v>1</v>
      </c>
      <c r="F2099" t="s">
        <v>2970</v>
      </c>
    </row>
    <row r="2100" spans="1:6" x14ac:dyDescent="0.25">
      <c r="A2100" t="s">
        <v>1522</v>
      </c>
      <c r="B2100" t="s">
        <v>2967</v>
      </c>
      <c r="C2100" t="s">
        <v>1845</v>
      </c>
      <c r="D2100" t="str">
        <f>HYPERLINK("http://service.sap.com/sap/support/notes/1665393","1665393")</f>
        <v>1665393</v>
      </c>
      <c r="E2100">
        <v>1</v>
      </c>
      <c r="F2100" t="s">
        <v>2971</v>
      </c>
    </row>
    <row r="2101" spans="1:6" x14ac:dyDescent="0.25">
      <c r="A2101" t="s">
        <v>1522</v>
      </c>
      <c r="B2101" t="s">
        <v>2972</v>
      </c>
      <c r="C2101" t="s">
        <v>2973</v>
      </c>
      <c r="D2101" t="str">
        <f>HYPERLINK("http://service.sap.com/sap/support/notes/1658047","1658047")</f>
        <v>1658047</v>
      </c>
      <c r="E2101">
        <v>1</v>
      </c>
      <c r="F2101" t="s">
        <v>2974</v>
      </c>
    </row>
    <row r="2102" spans="1:6" x14ac:dyDescent="0.25">
      <c r="A2102" t="s">
        <v>1522</v>
      </c>
      <c r="B2102" t="s">
        <v>2972</v>
      </c>
      <c r="C2102" t="s">
        <v>2973</v>
      </c>
      <c r="D2102" t="str">
        <f>HYPERLINK("http://service.sap.com/sap/support/notes/1658939","1658939")</f>
        <v>1658939</v>
      </c>
      <c r="E2102">
        <v>1</v>
      </c>
      <c r="F2102" t="s">
        <v>2975</v>
      </c>
    </row>
    <row r="2103" spans="1:6" x14ac:dyDescent="0.25">
      <c r="A2103" t="s">
        <v>1522</v>
      </c>
      <c r="B2103" t="s">
        <v>2972</v>
      </c>
      <c r="C2103" t="s">
        <v>2973</v>
      </c>
      <c r="D2103" t="str">
        <f>HYPERLINK("http://service.sap.com/sap/support/notes/1660507","1660507")</f>
        <v>1660507</v>
      </c>
      <c r="E2103">
        <v>2</v>
      </c>
      <c r="F2103" t="s">
        <v>2976</v>
      </c>
    </row>
    <row r="2104" spans="1:6" x14ac:dyDescent="0.25">
      <c r="A2104" t="s">
        <v>1522</v>
      </c>
      <c r="B2104" t="s">
        <v>2972</v>
      </c>
      <c r="C2104" t="s">
        <v>2973</v>
      </c>
      <c r="D2104" t="str">
        <f>HYPERLINK("http://service.sap.com/sap/support/notes/1669308","1669308")</f>
        <v>1669308</v>
      </c>
      <c r="E2104">
        <v>2</v>
      </c>
      <c r="F2104" t="s">
        <v>2977</v>
      </c>
    </row>
    <row r="2105" spans="1:6" x14ac:dyDescent="0.25">
      <c r="A2105" t="s">
        <v>1522</v>
      </c>
      <c r="B2105" t="s">
        <v>2978</v>
      </c>
      <c r="C2105" t="s">
        <v>2979</v>
      </c>
    </row>
    <row r="2106" spans="1:6" x14ac:dyDescent="0.25">
      <c r="A2106" t="s">
        <v>1522</v>
      </c>
      <c r="B2106" t="s">
        <v>2980</v>
      </c>
      <c r="C2106" t="s">
        <v>2981</v>
      </c>
      <c r="D2106" t="str">
        <f>HYPERLINK("http://service.sap.com/sap/support/notes/1628758","1628758")</f>
        <v>1628758</v>
      </c>
      <c r="E2106">
        <v>4</v>
      </c>
      <c r="F2106" t="s">
        <v>2982</v>
      </c>
    </row>
    <row r="2107" spans="1:6" x14ac:dyDescent="0.25">
      <c r="A2107" t="s">
        <v>1522</v>
      </c>
      <c r="B2107" t="s">
        <v>2980</v>
      </c>
      <c r="C2107" t="s">
        <v>2981</v>
      </c>
      <c r="D2107" t="str">
        <f>HYPERLINK("http://service.sap.com/sap/support/notes/1629656","1629656")</f>
        <v>1629656</v>
      </c>
      <c r="E2107">
        <v>2</v>
      </c>
      <c r="F2107" t="s">
        <v>2983</v>
      </c>
    </row>
    <row r="2108" spans="1:6" x14ac:dyDescent="0.25">
      <c r="A2108" t="s">
        <v>1522</v>
      </c>
      <c r="B2108" t="s">
        <v>2980</v>
      </c>
      <c r="C2108" t="s">
        <v>2981</v>
      </c>
      <c r="D2108" t="str">
        <f>HYPERLINK("http://service.sap.com/sap/support/notes/1635738","1635738")</f>
        <v>1635738</v>
      </c>
      <c r="E2108">
        <v>3</v>
      </c>
      <c r="F2108" t="s">
        <v>2984</v>
      </c>
    </row>
    <row r="2109" spans="1:6" x14ac:dyDescent="0.25">
      <c r="A2109" t="s">
        <v>1522</v>
      </c>
      <c r="B2109" t="s">
        <v>2980</v>
      </c>
      <c r="C2109" t="s">
        <v>2981</v>
      </c>
      <c r="D2109" t="str">
        <f>HYPERLINK("http://service.sap.com/sap/support/notes/1636246","1636246")</f>
        <v>1636246</v>
      </c>
      <c r="E2109">
        <v>2</v>
      </c>
      <c r="F2109" t="s">
        <v>2985</v>
      </c>
    </row>
    <row r="2110" spans="1:6" x14ac:dyDescent="0.25">
      <c r="A2110" t="s">
        <v>1522</v>
      </c>
      <c r="B2110" t="s">
        <v>2980</v>
      </c>
      <c r="C2110" t="s">
        <v>2981</v>
      </c>
      <c r="D2110" t="str">
        <f>HYPERLINK("http://service.sap.com/sap/support/notes/1654375","1654375")</f>
        <v>1654375</v>
      </c>
      <c r="E2110">
        <v>3</v>
      </c>
      <c r="F2110" t="s">
        <v>2986</v>
      </c>
    </row>
    <row r="2111" spans="1:6" x14ac:dyDescent="0.25">
      <c r="A2111" t="s">
        <v>1522</v>
      </c>
      <c r="B2111" t="s">
        <v>2980</v>
      </c>
      <c r="C2111" t="s">
        <v>2981</v>
      </c>
      <c r="D2111" t="str">
        <f>HYPERLINK("http://service.sap.com/sap/support/notes/1661897","1661897")</f>
        <v>1661897</v>
      </c>
      <c r="E2111">
        <v>2</v>
      </c>
      <c r="F2111" t="s">
        <v>2987</v>
      </c>
    </row>
    <row r="2112" spans="1:6" x14ac:dyDescent="0.25">
      <c r="A2112" t="s">
        <v>1522</v>
      </c>
      <c r="B2112" t="s">
        <v>522</v>
      </c>
      <c r="C2112" t="s">
        <v>523</v>
      </c>
    </row>
    <row r="2113" spans="1:6" x14ac:dyDescent="0.25">
      <c r="A2113" t="s">
        <v>1522</v>
      </c>
      <c r="B2113" t="s">
        <v>524</v>
      </c>
      <c r="C2113" t="s">
        <v>525</v>
      </c>
      <c r="D2113" t="str">
        <f>HYPERLINK("http://service.sap.com/sap/support/notes/1610148","1610148")</f>
        <v>1610148</v>
      </c>
      <c r="E2113">
        <v>1</v>
      </c>
      <c r="F2113" t="s">
        <v>526</v>
      </c>
    </row>
    <row r="2114" spans="1:6" x14ac:dyDescent="0.25">
      <c r="A2114" t="s">
        <v>1522</v>
      </c>
      <c r="B2114" t="s">
        <v>527</v>
      </c>
      <c r="C2114" t="s">
        <v>528</v>
      </c>
    </row>
    <row r="2115" spans="1:6" x14ac:dyDescent="0.25">
      <c r="A2115" t="s">
        <v>1522</v>
      </c>
      <c r="B2115" t="s">
        <v>529</v>
      </c>
      <c r="C2115" t="s">
        <v>530</v>
      </c>
    </row>
    <row r="2116" spans="1:6" x14ac:dyDescent="0.25">
      <c r="A2116" t="s">
        <v>1522</v>
      </c>
      <c r="B2116" t="s">
        <v>531</v>
      </c>
      <c r="C2116" t="s">
        <v>532</v>
      </c>
      <c r="D2116" t="str">
        <f>HYPERLINK("http://service.sap.com/sap/support/notes/1622868","1622868")</f>
        <v>1622868</v>
      </c>
      <c r="E2116">
        <v>1</v>
      </c>
      <c r="F2116" t="s">
        <v>2988</v>
      </c>
    </row>
    <row r="2117" spans="1:6" x14ac:dyDescent="0.25">
      <c r="A2117" t="s">
        <v>1522</v>
      </c>
      <c r="B2117" t="s">
        <v>531</v>
      </c>
      <c r="C2117" t="s">
        <v>532</v>
      </c>
      <c r="D2117" t="str">
        <f>HYPERLINK("http://service.sap.com/sap/support/notes/1623197","1623197")</f>
        <v>1623197</v>
      </c>
      <c r="E2117">
        <v>1</v>
      </c>
      <c r="F2117" t="s">
        <v>2989</v>
      </c>
    </row>
    <row r="2118" spans="1:6" x14ac:dyDescent="0.25">
      <c r="A2118" t="s">
        <v>1522</v>
      </c>
      <c r="B2118" t="s">
        <v>531</v>
      </c>
      <c r="C2118" t="s">
        <v>532</v>
      </c>
      <c r="D2118" t="str">
        <f>HYPERLINK("http://service.sap.com/sap/support/notes/1626631","1626631")</f>
        <v>1626631</v>
      </c>
      <c r="E2118">
        <v>1</v>
      </c>
      <c r="F2118" t="s">
        <v>2990</v>
      </c>
    </row>
    <row r="2119" spans="1:6" x14ac:dyDescent="0.25">
      <c r="A2119" t="s">
        <v>1522</v>
      </c>
      <c r="B2119" t="s">
        <v>531</v>
      </c>
      <c r="C2119" t="s">
        <v>532</v>
      </c>
      <c r="D2119" t="str">
        <f>HYPERLINK("http://service.sap.com/sap/support/notes/1626705","1626705")</f>
        <v>1626705</v>
      </c>
      <c r="E2119">
        <v>1</v>
      </c>
      <c r="F2119" t="s">
        <v>2991</v>
      </c>
    </row>
    <row r="2120" spans="1:6" x14ac:dyDescent="0.25">
      <c r="A2120" t="s">
        <v>1522</v>
      </c>
      <c r="B2120" t="s">
        <v>531</v>
      </c>
      <c r="C2120" t="s">
        <v>532</v>
      </c>
      <c r="D2120" t="str">
        <f>HYPERLINK("http://service.sap.com/sap/support/notes/1629965","1629965")</f>
        <v>1629965</v>
      </c>
      <c r="E2120">
        <v>1</v>
      </c>
      <c r="F2120" t="s">
        <v>2992</v>
      </c>
    </row>
    <row r="2121" spans="1:6" x14ac:dyDescent="0.25">
      <c r="A2121" t="s">
        <v>1522</v>
      </c>
      <c r="B2121" t="s">
        <v>531</v>
      </c>
      <c r="C2121" t="s">
        <v>532</v>
      </c>
      <c r="D2121" t="str">
        <f>HYPERLINK("http://service.sap.com/sap/support/notes/1631924","1631924")</f>
        <v>1631924</v>
      </c>
      <c r="E2121">
        <v>1</v>
      </c>
      <c r="F2121" t="s">
        <v>2990</v>
      </c>
    </row>
    <row r="2122" spans="1:6" x14ac:dyDescent="0.25">
      <c r="A2122" t="s">
        <v>1522</v>
      </c>
      <c r="B2122" t="s">
        <v>531</v>
      </c>
      <c r="C2122" t="s">
        <v>532</v>
      </c>
      <c r="D2122" t="str">
        <f>HYPERLINK("http://service.sap.com/sap/support/notes/1635224","1635224")</f>
        <v>1635224</v>
      </c>
      <c r="E2122">
        <v>1</v>
      </c>
      <c r="F2122" t="s">
        <v>2993</v>
      </c>
    </row>
    <row r="2123" spans="1:6" x14ac:dyDescent="0.25">
      <c r="A2123" t="s">
        <v>1522</v>
      </c>
      <c r="B2123" t="s">
        <v>531</v>
      </c>
      <c r="C2123" t="s">
        <v>532</v>
      </c>
      <c r="D2123" t="str">
        <f>HYPERLINK("http://service.sap.com/sap/support/notes/1637345","1637345")</f>
        <v>1637345</v>
      </c>
      <c r="E2123">
        <v>1</v>
      </c>
      <c r="F2123" t="s">
        <v>2994</v>
      </c>
    </row>
    <row r="2124" spans="1:6" x14ac:dyDescent="0.25">
      <c r="A2124" t="s">
        <v>1522</v>
      </c>
      <c r="B2124" t="s">
        <v>531</v>
      </c>
      <c r="C2124" t="s">
        <v>532</v>
      </c>
      <c r="D2124" t="str">
        <f>HYPERLINK("http://service.sap.com/sap/support/notes/1637525","1637525")</f>
        <v>1637525</v>
      </c>
      <c r="E2124">
        <v>1</v>
      </c>
      <c r="F2124" t="s">
        <v>2995</v>
      </c>
    </row>
    <row r="2125" spans="1:6" x14ac:dyDescent="0.25">
      <c r="A2125" t="s">
        <v>1522</v>
      </c>
      <c r="B2125" t="s">
        <v>531</v>
      </c>
      <c r="C2125" t="s">
        <v>532</v>
      </c>
      <c r="D2125" t="str">
        <f>HYPERLINK("http://service.sap.com/sap/support/notes/1638709","1638709")</f>
        <v>1638709</v>
      </c>
      <c r="E2125">
        <v>1</v>
      </c>
      <c r="F2125" t="s">
        <v>2996</v>
      </c>
    </row>
    <row r="2126" spans="1:6" x14ac:dyDescent="0.25">
      <c r="A2126" t="s">
        <v>1522</v>
      </c>
      <c r="B2126" t="s">
        <v>531</v>
      </c>
      <c r="C2126" t="s">
        <v>532</v>
      </c>
      <c r="D2126" t="str">
        <f>HYPERLINK("http://service.sap.com/sap/support/notes/1646242","1646242")</f>
        <v>1646242</v>
      </c>
      <c r="E2126">
        <v>1</v>
      </c>
      <c r="F2126" t="s">
        <v>2997</v>
      </c>
    </row>
    <row r="2127" spans="1:6" x14ac:dyDescent="0.25">
      <c r="A2127" t="s">
        <v>1522</v>
      </c>
      <c r="B2127" t="s">
        <v>531</v>
      </c>
      <c r="C2127" t="s">
        <v>532</v>
      </c>
      <c r="D2127" t="str">
        <f>HYPERLINK("http://service.sap.com/sap/support/notes/1646823","1646823")</f>
        <v>1646823</v>
      </c>
      <c r="E2127">
        <v>1</v>
      </c>
      <c r="F2127" t="s">
        <v>2998</v>
      </c>
    </row>
    <row r="2128" spans="1:6" x14ac:dyDescent="0.25">
      <c r="A2128" t="s">
        <v>1522</v>
      </c>
      <c r="B2128" t="s">
        <v>531</v>
      </c>
      <c r="C2128" t="s">
        <v>532</v>
      </c>
      <c r="D2128" t="str">
        <f>HYPERLINK("http://service.sap.com/sap/support/notes/1646880","1646880")</f>
        <v>1646880</v>
      </c>
      <c r="E2128">
        <v>1</v>
      </c>
      <c r="F2128" t="s">
        <v>2999</v>
      </c>
    </row>
    <row r="2129" spans="1:6" x14ac:dyDescent="0.25">
      <c r="A2129" t="s">
        <v>1522</v>
      </c>
      <c r="B2129" t="s">
        <v>531</v>
      </c>
      <c r="C2129" t="s">
        <v>532</v>
      </c>
      <c r="D2129" t="str">
        <f>HYPERLINK("http://service.sap.com/sap/support/notes/1648853","1648853")</f>
        <v>1648853</v>
      </c>
      <c r="E2129">
        <v>1</v>
      </c>
      <c r="F2129" t="s">
        <v>3000</v>
      </c>
    </row>
    <row r="2130" spans="1:6" x14ac:dyDescent="0.25">
      <c r="A2130" t="s">
        <v>1522</v>
      </c>
      <c r="B2130" t="s">
        <v>531</v>
      </c>
      <c r="C2130" t="s">
        <v>532</v>
      </c>
      <c r="D2130" t="str">
        <f>HYPERLINK("http://service.sap.com/sap/support/notes/1649210","1649210")</f>
        <v>1649210</v>
      </c>
      <c r="E2130">
        <v>2</v>
      </c>
      <c r="F2130" t="s">
        <v>3001</v>
      </c>
    </row>
    <row r="2131" spans="1:6" x14ac:dyDescent="0.25">
      <c r="A2131" t="s">
        <v>1522</v>
      </c>
      <c r="B2131" t="s">
        <v>531</v>
      </c>
      <c r="C2131" t="s">
        <v>532</v>
      </c>
      <c r="D2131" t="str">
        <f>HYPERLINK("http://service.sap.com/sap/support/notes/1651788","1651788")</f>
        <v>1651788</v>
      </c>
      <c r="E2131">
        <v>2</v>
      </c>
      <c r="F2131" t="s">
        <v>3002</v>
      </c>
    </row>
    <row r="2132" spans="1:6" x14ac:dyDescent="0.25">
      <c r="A2132" t="s">
        <v>1522</v>
      </c>
      <c r="B2132" t="s">
        <v>531</v>
      </c>
      <c r="C2132" t="s">
        <v>532</v>
      </c>
      <c r="D2132" t="str">
        <f>HYPERLINK("http://service.sap.com/sap/support/notes/1652432","1652432")</f>
        <v>1652432</v>
      </c>
      <c r="E2132">
        <v>1</v>
      </c>
      <c r="F2132" t="s">
        <v>3003</v>
      </c>
    </row>
    <row r="2133" spans="1:6" x14ac:dyDescent="0.25">
      <c r="A2133" t="s">
        <v>1522</v>
      </c>
      <c r="B2133" t="s">
        <v>531</v>
      </c>
      <c r="C2133" t="s">
        <v>532</v>
      </c>
      <c r="D2133" t="str">
        <f>HYPERLINK("http://service.sap.com/sap/support/notes/1652881","1652881")</f>
        <v>1652881</v>
      </c>
      <c r="E2133">
        <v>1</v>
      </c>
      <c r="F2133" t="s">
        <v>3004</v>
      </c>
    </row>
    <row r="2134" spans="1:6" x14ac:dyDescent="0.25">
      <c r="A2134" t="s">
        <v>1522</v>
      </c>
      <c r="B2134" t="s">
        <v>531</v>
      </c>
      <c r="C2134" t="s">
        <v>532</v>
      </c>
      <c r="D2134" t="str">
        <f>HYPERLINK("http://service.sap.com/sap/support/notes/1653554","1653554")</f>
        <v>1653554</v>
      </c>
      <c r="E2134">
        <v>1</v>
      </c>
      <c r="F2134" t="s">
        <v>3005</v>
      </c>
    </row>
    <row r="2135" spans="1:6" x14ac:dyDescent="0.25">
      <c r="A2135" t="s">
        <v>1522</v>
      </c>
      <c r="B2135" t="s">
        <v>531</v>
      </c>
      <c r="C2135" t="s">
        <v>532</v>
      </c>
      <c r="D2135" t="str">
        <f>HYPERLINK("http://service.sap.com/sap/support/notes/1657242","1657242")</f>
        <v>1657242</v>
      </c>
      <c r="E2135">
        <v>2</v>
      </c>
      <c r="F2135" t="s">
        <v>3006</v>
      </c>
    </row>
    <row r="2136" spans="1:6" x14ac:dyDescent="0.25">
      <c r="A2136" t="s">
        <v>1522</v>
      </c>
      <c r="B2136" t="s">
        <v>531</v>
      </c>
      <c r="C2136" t="s">
        <v>532</v>
      </c>
      <c r="D2136" t="str">
        <f>HYPERLINK("http://service.sap.com/sap/support/notes/1665261","1665261")</f>
        <v>1665261</v>
      </c>
      <c r="E2136">
        <v>1</v>
      </c>
      <c r="F2136" t="s">
        <v>3007</v>
      </c>
    </row>
    <row r="2137" spans="1:6" x14ac:dyDescent="0.25">
      <c r="A2137" t="s">
        <v>1522</v>
      </c>
      <c r="B2137" t="s">
        <v>3008</v>
      </c>
      <c r="C2137" t="s">
        <v>3009</v>
      </c>
    </row>
    <row r="2138" spans="1:6" x14ac:dyDescent="0.25">
      <c r="A2138" t="s">
        <v>1522</v>
      </c>
      <c r="B2138" t="s">
        <v>3010</v>
      </c>
      <c r="C2138" t="s">
        <v>3011</v>
      </c>
      <c r="D2138" t="str">
        <f>HYPERLINK("http://service.sap.com/sap/support/notes/1614644","1614644")</f>
        <v>1614644</v>
      </c>
      <c r="E2138">
        <v>2</v>
      </c>
      <c r="F2138" t="s">
        <v>3012</v>
      </c>
    </row>
    <row r="2139" spans="1:6" x14ac:dyDescent="0.25">
      <c r="A2139" t="s">
        <v>1522</v>
      </c>
      <c r="B2139" t="s">
        <v>539</v>
      </c>
      <c r="C2139" t="s">
        <v>540</v>
      </c>
      <c r="D2139" t="str">
        <f>HYPERLINK("http://service.sap.com/sap/support/notes/1509232","1509232")</f>
        <v>1509232</v>
      </c>
      <c r="E2139">
        <v>3</v>
      </c>
      <c r="F2139" t="s">
        <v>3013</v>
      </c>
    </row>
    <row r="2140" spans="1:6" x14ac:dyDescent="0.25">
      <c r="A2140" t="s">
        <v>1522</v>
      </c>
      <c r="B2140" t="s">
        <v>539</v>
      </c>
      <c r="C2140" t="s">
        <v>540</v>
      </c>
      <c r="D2140" t="str">
        <f>HYPERLINK("http://service.sap.com/sap/support/notes/1578661","1578661")</f>
        <v>1578661</v>
      </c>
      <c r="E2140">
        <v>2</v>
      </c>
      <c r="F2140" t="s">
        <v>3014</v>
      </c>
    </row>
    <row r="2141" spans="1:6" x14ac:dyDescent="0.25">
      <c r="A2141" t="s">
        <v>1522</v>
      </c>
      <c r="B2141" t="s">
        <v>539</v>
      </c>
      <c r="C2141" t="s">
        <v>540</v>
      </c>
      <c r="D2141" t="str">
        <f>HYPERLINK("http://service.sap.com/sap/support/notes/1604671","1604671")</f>
        <v>1604671</v>
      </c>
      <c r="E2141">
        <v>4</v>
      </c>
      <c r="F2141" t="s">
        <v>3015</v>
      </c>
    </row>
    <row r="2142" spans="1:6" x14ac:dyDescent="0.25">
      <c r="A2142" t="s">
        <v>1522</v>
      </c>
      <c r="B2142" t="s">
        <v>539</v>
      </c>
      <c r="C2142" t="s">
        <v>540</v>
      </c>
      <c r="D2142" t="str">
        <f>HYPERLINK("http://service.sap.com/sap/support/notes/1609417","1609417")</f>
        <v>1609417</v>
      </c>
      <c r="E2142">
        <v>2</v>
      </c>
      <c r="F2142" t="s">
        <v>3016</v>
      </c>
    </row>
    <row r="2143" spans="1:6" x14ac:dyDescent="0.25">
      <c r="A2143" t="s">
        <v>1522</v>
      </c>
      <c r="B2143" t="s">
        <v>539</v>
      </c>
      <c r="C2143" t="s">
        <v>540</v>
      </c>
      <c r="D2143" t="str">
        <f>HYPERLINK("http://service.sap.com/sap/support/notes/1618610","1618610")</f>
        <v>1618610</v>
      </c>
      <c r="E2143">
        <v>1</v>
      </c>
      <c r="F2143" t="s">
        <v>3017</v>
      </c>
    </row>
    <row r="2144" spans="1:6" x14ac:dyDescent="0.25">
      <c r="A2144" t="s">
        <v>1522</v>
      </c>
      <c r="B2144" t="s">
        <v>539</v>
      </c>
      <c r="C2144" t="s">
        <v>540</v>
      </c>
      <c r="D2144" t="str">
        <f>HYPERLINK("http://service.sap.com/sap/support/notes/1620019","1620019")</f>
        <v>1620019</v>
      </c>
      <c r="E2144">
        <v>3</v>
      </c>
      <c r="F2144" t="s">
        <v>3018</v>
      </c>
    </row>
    <row r="2145" spans="1:6" x14ac:dyDescent="0.25">
      <c r="A2145" t="s">
        <v>1522</v>
      </c>
      <c r="B2145" t="s">
        <v>539</v>
      </c>
      <c r="C2145" t="s">
        <v>540</v>
      </c>
      <c r="D2145" t="str">
        <f>HYPERLINK("http://service.sap.com/sap/support/notes/1623108","1623108")</f>
        <v>1623108</v>
      </c>
      <c r="E2145">
        <v>3</v>
      </c>
      <c r="F2145" t="s">
        <v>3019</v>
      </c>
    </row>
    <row r="2146" spans="1:6" x14ac:dyDescent="0.25">
      <c r="A2146" t="s">
        <v>1522</v>
      </c>
      <c r="B2146" t="s">
        <v>539</v>
      </c>
      <c r="C2146" t="s">
        <v>540</v>
      </c>
      <c r="D2146" t="str">
        <f>HYPERLINK("http://service.sap.com/sap/support/notes/1628019","1628019")</f>
        <v>1628019</v>
      </c>
      <c r="E2146">
        <v>4</v>
      </c>
      <c r="F2146" t="s">
        <v>3020</v>
      </c>
    </row>
    <row r="2147" spans="1:6" x14ac:dyDescent="0.25">
      <c r="A2147" t="s">
        <v>1522</v>
      </c>
      <c r="B2147" t="s">
        <v>539</v>
      </c>
      <c r="C2147" t="s">
        <v>540</v>
      </c>
      <c r="D2147" t="str">
        <f>HYPERLINK("http://service.sap.com/sap/support/notes/1628907","1628907")</f>
        <v>1628907</v>
      </c>
      <c r="E2147">
        <v>1</v>
      </c>
      <c r="F2147" t="s">
        <v>3021</v>
      </c>
    </row>
    <row r="2148" spans="1:6" x14ac:dyDescent="0.25">
      <c r="A2148" t="s">
        <v>1522</v>
      </c>
      <c r="B2148" t="s">
        <v>539</v>
      </c>
      <c r="C2148" t="s">
        <v>540</v>
      </c>
      <c r="D2148" t="str">
        <f>HYPERLINK("http://service.sap.com/sap/support/notes/1635499","1635499")</f>
        <v>1635499</v>
      </c>
      <c r="E2148">
        <v>1</v>
      </c>
      <c r="F2148" t="s">
        <v>3022</v>
      </c>
    </row>
    <row r="2149" spans="1:6" x14ac:dyDescent="0.25">
      <c r="A2149" t="s">
        <v>1522</v>
      </c>
      <c r="B2149" t="s">
        <v>539</v>
      </c>
      <c r="C2149" t="s">
        <v>540</v>
      </c>
      <c r="D2149" t="str">
        <f>HYPERLINK("http://service.sap.com/sap/support/notes/1638435","1638435")</f>
        <v>1638435</v>
      </c>
      <c r="E2149">
        <v>1</v>
      </c>
      <c r="F2149" t="s">
        <v>3023</v>
      </c>
    </row>
    <row r="2150" spans="1:6" x14ac:dyDescent="0.25">
      <c r="A2150" t="s">
        <v>1522</v>
      </c>
      <c r="B2150" t="s">
        <v>539</v>
      </c>
      <c r="C2150" t="s">
        <v>540</v>
      </c>
      <c r="D2150" t="str">
        <f>HYPERLINK("http://service.sap.com/sap/support/notes/1640130","1640130")</f>
        <v>1640130</v>
      </c>
      <c r="E2150">
        <v>5</v>
      </c>
      <c r="F2150" t="s">
        <v>3024</v>
      </c>
    </row>
    <row r="2151" spans="1:6" x14ac:dyDescent="0.25">
      <c r="A2151" t="s">
        <v>1522</v>
      </c>
      <c r="B2151" t="s">
        <v>539</v>
      </c>
      <c r="C2151" t="s">
        <v>540</v>
      </c>
      <c r="D2151" t="str">
        <f>HYPERLINK("http://service.sap.com/sap/support/notes/1640519","1640519")</f>
        <v>1640519</v>
      </c>
      <c r="E2151">
        <v>2</v>
      </c>
      <c r="F2151" t="s">
        <v>3025</v>
      </c>
    </row>
    <row r="2152" spans="1:6" x14ac:dyDescent="0.25">
      <c r="A2152" t="s">
        <v>1522</v>
      </c>
      <c r="B2152" t="s">
        <v>539</v>
      </c>
      <c r="C2152" t="s">
        <v>540</v>
      </c>
      <c r="D2152" t="str">
        <f>HYPERLINK("http://service.sap.com/sap/support/notes/1643113","1643113")</f>
        <v>1643113</v>
      </c>
      <c r="E2152">
        <v>1</v>
      </c>
      <c r="F2152" t="s">
        <v>3026</v>
      </c>
    </row>
    <row r="2153" spans="1:6" x14ac:dyDescent="0.25">
      <c r="A2153" t="s">
        <v>1522</v>
      </c>
      <c r="B2153" t="s">
        <v>539</v>
      </c>
      <c r="C2153" t="s">
        <v>540</v>
      </c>
      <c r="D2153" t="str">
        <f>HYPERLINK("http://service.sap.com/sap/support/notes/1643599","1643599")</f>
        <v>1643599</v>
      </c>
      <c r="E2153">
        <v>4</v>
      </c>
      <c r="F2153" t="s">
        <v>3027</v>
      </c>
    </row>
    <row r="2154" spans="1:6" x14ac:dyDescent="0.25">
      <c r="A2154" t="s">
        <v>1522</v>
      </c>
      <c r="B2154" t="s">
        <v>539</v>
      </c>
      <c r="C2154" t="s">
        <v>540</v>
      </c>
      <c r="D2154" t="str">
        <f>HYPERLINK("http://service.sap.com/sap/support/notes/1648311","1648311")</f>
        <v>1648311</v>
      </c>
      <c r="E2154">
        <v>1</v>
      </c>
      <c r="F2154" t="s">
        <v>3028</v>
      </c>
    </row>
    <row r="2155" spans="1:6" x14ac:dyDescent="0.25">
      <c r="A2155" t="s">
        <v>1522</v>
      </c>
      <c r="B2155" t="s">
        <v>539</v>
      </c>
      <c r="C2155" t="s">
        <v>540</v>
      </c>
      <c r="D2155" t="str">
        <f>HYPERLINK("http://service.sap.com/sap/support/notes/1648800","1648800")</f>
        <v>1648800</v>
      </c>
      <c r="E2155">
        <v>1</v>
      </c>
      <c r="F2155" t="s">
        <v>3029</v>
      </c>
    </row>
    <row r="2156" spans="1:6" x14ac:dyDescent="0.25">
      <c r="A2156" t="s">
        <v>1522</v>
      </c>
      <c r="B2156" t="s">
        <v>539</v>
      </c>
      <c r="C2156" t="s">
        <v>540</v>
      </c>
      <c r="D2156" t="str">
        <f>HYPERLINK("http://service.sap.com/sap/support/notes/1654923","1654923")</f>
        <v>1654923</v>
      </c>
      <c r="E2156">
        <v>1</v>
      </c>
      <c r="F2156" t="s">
        <v>3030</v>
      </c>
    </row>
    <row r="2157" spans="1:6" x14ac:dyDescent="0.25">
      <c r="A2157" t="s">
        <v>1522</v>
      </c>
      <c r="B2157" t="s">
        <v>553</v>
      </c>
      <c r="C2157" t="s">
        <v>554</v>
      </c>
      <c r="D2157" t="str">
        <f>HYPERLINK("http://service.sap.com/sap/support/notes/1547148","1547148")</f>
        <v>1547148</v>
      </c>
      <c r="E2157">
        <v>2</v>
      </c>
      <c r="F2157" t="s">
        <v>3031</v>
      </c>
    </row>
    <row r="2158" spans="1:6" x14ac:dyDescent="0.25">
      <c r="A2158" t="s">
        <v>1522</v>
      </c>
      <c r="B2158" t="s">
        <v>553</v>
      </c>
      <c r="C2158" t="s">
        <v>554</v>
      </c>
      <c r="D2158" t="str">
        <f>HYPERLINK("http://service.sap.com/sap/support/notes/1579674","1579674")</f>
        <v>1579674</v>
      </c>
      <c r="E2158">
        <v>2</v>
      </c>
      <c r="F2158" t="s">
        <v>3032</v>
      </c>
    </row>
    <row r="2159" spans="1:6" x14ac:dyDescent="0.25">
      <c r="A2159" t="s">
        <v>1522</v>
      </c>
      <c r="B2159" t="s">
        <v>3033</v>
      </c>
      <c r="C2159" t="s">
        <v>337</v>
      </c>
      <c r="D2159" t="str">
        <f>HYPERLINK("http://service.sap.com/sap/support/notes/1641636","1641636")</f>
        <v>1641636</v>
      </c>
      <c r="E2159">
        <v>1</v>
      </c>
      <c r="F2159" t="s">
        <v>3034</v>
      </c>
    </row>
    <row r="2160" spans="1:6" x14ac:dyDescent="0.25">
      <c r="A2160" t="s">
        <v>1522</v>
      </c>
      <c r="B2160" t="s">
        <v>3033</v>
      </c>
      <c r="C2160" t="s">
        <v>337</v>
      </c>
      <c r="D2160" t="str">
        <f>HYPERLINK("http://service.sap.com/sap/support/notes/1644722","1644722")</f>
        <v>1644722</v>
      </c>
      <c r="E2160">
        <v>1</v>
      </c>
      <c r="F2160" t="s">
        <v>3035</v>
      </c>
    </row>
    <row r="2161" spans="1:6" x14ac:dyDescent="0.25">
      <c r="A2161" t="s">
        <v>1522</v>
      </c>
      <c r="B2161" t="s">
        <v>3033</v>
      </c>
      <c r="C2161" t="s">
        <v>337</v>
      </c>
      <c r="D2161" t="str">
        <f>HYPERLINK("http://service.sap.com/sap/support/notes/1651362","1651362")</f>
        <v>1651362</v>
      </c>
      <c r="E2161">
        <v>1</v>
      </c>
      <c r="F2161" t="s">
        <v>3036</v>
      </c>
    </row>
    <row r="2162" spans="1:6" x14ac:dyDescent="0.25">
      <c r="A2162" t="s">
        <v>1522</v>
      </c>
      <c r="B2162" t="s">
        <v>3033</v>
      </c>
      <c r="C2162" t="s">
        <v>337</v>
      </c>
      <c r="D2162" t="str">
        <f>HYPERLINK("http://service.sap.com/sap/support/notes/1655508","1655508")</f>
        <v>1655508</v>
      </c>
      <c r="E2162">
        <v>1</v>
      </c>
      <c r="F2162" t="s">
        <v>3037</v>
      </c>
    </row>
    <row r="2163" spans="1:6" x14ac:dyDescent="0.25">
      <c r="A2163" t="s">
        <v>1522</v>
      </c>
      <c r="B2163" t="s">
        <v>3033</v>
      </c>
      <c r="C2163" t="s">
        <v>337</v>
      </c>
      <c r="D2163" t="str">
        <f>HYPERLINK("http://service.sap.com/sap/support/notes/1667847","1667847")</f>
        <v>1667847</v>
      </c>
      <c r="E2163">
        <v>1</v>
      </c>
      <c r="F2163" t="s">
        <v>3038</v>
      </c>
    </row>
    <row r="2164" spans="1:6" x14ac:dyDescent="0.25">
      <c r="A2164" t="s">
        <v>1522</v>
      </c>
      <c r="B2164" t="s">
        <v>557</v>
      </c>
      <c r="C2164" t="s">
        <v>558</v>
      </c>
      <c r="D2164" t="str">
        <f>HYPERLINK("http://service.sap.com/sap/support/notes/1612393","1612393")</f>
        <v>1612393</v>
      </c>
      <c r="E2164">
        <v>4</v>
      </c>
      <c r="F2164" t="s">
        <v>3039</v>
      </c>
    </row>
    <row r="2165" spans="1:6" x14ac:dyDescent="0.25">
      <c r="A2165" t="s">
        <v>1522</v>
      </c>
      <c r="B2165" t="s">
        <v>557</v>
      </c>
      <c r="C2165" t="s">
        <v>558</v>
      </c>
      <c r="D2165" t="str">
        <f>HYPERLINK("http://service.sap.com/sap/support/notes/1612984","1612984")</f>
        <v>1612984</v>
      </c>
      <c r="E2165">
        <v>1</v>
      </c>
      <c r="F2165" t="s">
        <v>3040</v>
      </c>
    </row>
    <row r="2166" spans="1:6" x14ac:dyDescent="0.25">
      <c r="A2166" t="s">
        <v>1522</v>
      </c>
      <c r="B2166" t="s">
        <v>557</v>
      </c>
      <c r="C2166" t="s">
        <v>558</v>
      </c>
      <c r="D2166" t="str">
        <f>HYPERLINK("http://service.sap.com/sap/support/notes/1628162","1628162")</f>
        <v>1628162</v>
      </c>
      <c r="E2166">
        <v>2</v>
      </c>
      <c r="F2166" t="s">
        <v>3041</v>
      </c>
    </row>
    <row r="2167" spans="1:6" x14ac:dyDescent="0.25">
      <c r="A2167" t="s">
        <v>1522</v>
      </c>
      <c r="B2167" t="s">
        <v>557</v>
      </c>
      <c r="C2167" t="s">
        <v>558</v>
      </c>
      <c r="D2167" t="str">
        <f>HYPERLINK("http://service.sap.com/sap/support/notes/1631650","1631650")</f>
        <v>1631650</v>
      </c>
      <c r="E2167">
        <v>3</v>
      </c>
      <c r="F2167" t="s">
        <v>3042</v>
      </c>
    </row>
    <row r="2168" spans="1:6" x14ac:dyDescent="0.25">
      <c r="A2168" t="s">
        <v>1522</v>
      </c>
      <c r="B2168" t="s">
        <v>557</v>
      </c>
      <c r="C2168" t="s">
        <v>558</v>
      </c>
      <c r="D2168" t="str">
        <f>HYPERLINK("http://service.sap.com/sap/support/notes/1632243","1632243")</f>
        <v>1632243</v>
      </c>
      <c r="E2168">
        <v>2</v>
      </c>
      <c r="F2168" t="s">
        <v>3043</v>
      </c>
    </row>
    <row r="2169" spans="1:6" x14ac:dyDescent="0.25">
      <c r="A2169" t="s">
        <v>1522</v>
      </c>
      <c r="B2169" t="s">
        <v>557</v>
      </c>
      <c r="C2169" t="s">
        <v>558</v>
      </c>
      <c r="D2169" t="str">
        <f>HYPERLINK("http://service.sap.com/sap/support/notes/1632986","1632986")</f>
        <v>1632986</v>
      </c>
      <c r="E2169">
        <v>6</v>
      </c>
      <c r="F2169" t="s">
        <v>3044</v>
      </c>
    </row>
    <row r="2170" spans="1:6" x14ac:dyDescent="0.25">
      <c r="A2170" t="s">
        <v>1522</v>
      </c>
      <c r="B2170" t="s">
        <v>557</v>
      </c>
      <c r="C2170" t="s">
        <v>558</v>
      </c>
      <c r="D2170" t="str">
        <f>HYPERLINK("http://service.sap.com/sap/support/notes/1636792","1636792")</f>
        <v>1636792</v>
      </c>
      <c r="E2170">
        <v>2</v>
      </c>
      <c r="F2170" t="s">
        <v>3045</v>
      </c>
    </row>
    <row r="2171" spans="1:6" x14ac:dyDescent="0.25">
      <c r="A2171" t="s">
        <v>1522</v>
      </c>
      <c r="B2171" t="s">
        <v>557</v>
      </c>
      <c r="C2171" t="s">
        <v>558</v>
      </c>
      <c r="D2171" t="str">
        <f>HYPERLINK("http://service.sap.com/sap/support/notes/1640266","1640266")</f>
        <v>1640266</v>
      </c>
      <c r="E2171">
        <v>1</v>
      </c>
      <c r="F2171" t="s">
        <v>3046</v>
      </c>
    </row>
    <row r="2172" spans="1:6" x14ac:dyDescent="0.25">
      <c r="A2172" t="s">
        <v>1522</v>
      </c>
      <c r="B2172" t="s">
        <v>557</v>
      </c>
      <c r="C2172" t="s">
        <v>558</v>
      </c>
      <c r="D2172" t="str">
        <f>HYPERLINK("http://service.sap.com/sap/support/notes/1642033","1642033")</f>
        <v>1642033</v>
      </c>
      <c r="E2172">
        <v>1</v>
      </c>
      <c r="F2172" t="s">
        <v>3047</v>
      </c>
    </row>
    <row r="2173" spans="1:6" x14ac:dyDescent="0.25">
      <c r="A2173" t="s">
        <v>1522</v>
      </c>
      <c r="B2173" t="s">
        <v>557</v>
      </c>
      <c r="C2173" t="s">
        <v>558</v>
      </c>
      <c r="D2173" t="str">
        <f>HYPERLINK("http://service.sap.com/sap/support/notes/1642644","1642644")</f>
        <v>1642644</v>
      </c>
      <c r="E2173">
        <v>1</v>
      </c>
      <c r="F2173" t="s">
        <v>3048</v>
      </c>
    </row>
    <row r="2174" spans="1:6" x14ac:dyDescent="0.25">
      <c r="A2174" t="s">
        <v>1522</v>
      </c>
      <c r="B2174" t="s">
        <v>557</v>
      </c>
      <c r="C2174" t="s">
        <v>558</v>
      </c>
      <c r="D2174" t="str">
        <f>HYPERLINK("http://service.sap.com/sap/support/notes/1649015","1649015")</f>
        <v>1649015</v>
      </c>
      <c r="E2174">
        <v>1</v>
      </c>
      <c r="F2174" t="s">
        <v>3049</v>
      </c>
    </row>
    <row r="2175" spans="1:6" x14ac:dyDescent="0.25">
      <c r="A2175" t="s">
        <v>1522</v>
      </c>
      <c r="B2175" t="s">
        <v>557</v>
      </c>
      <c r="C2175" t="s">
        <v>558</v>
      </c>
      <c r="D2175" t="str">
        <f>HYPERLINK("http://service.sap.com/sap/support/notes/1660480","1660480")</f>
        <v>1660480</v>
      </c>
      <c r="E2175">
        <v>3</v>
      </c>
      <c r="F2175" t="s">
        <v>3050</v>
      </c>
    </row>
    <row r="2176" spans="1:6" x14ac:dyDescent="0.25">
      <c r="A2176" t="s">
        <v>1522</v>
      </c>
      <c r="B2176" t="s">
        <v>557</v>
      </c>
      <c r="C2176" t="s">
        <v>558</v>
      </c>
      <c r="D2176" t="str">
        <f>HYPERLINK("http://service.sap.com/sap/support/notes/1665256","1665256")</f>
        <v>1665256</v>
      </c>
      <c r="E2176">
        <v>1</v>
      </c>
      <c r="F2176" t="s">
        <v>3051</v>
      </c>
    </row>
    <row r="2177" spans="1:6" x14ac:dyDescent="0.25">
      <c r="A2177" t="s">
        <v>1522</v>
      </c>
      <c r="B2177" t="s">
        <v>557</v>
      </c>
      <c r="C2177" t="s">
        <v>558</v>
      </c>
      <c r="D2177" t="str">
        <f>HYPERLINK("http://service.sap.com/sap/support/notes/1666952","1666952")</f>
        <v>1666952</v>
      </c>
      <c r="E2177">
        <v>1</v>
      </c>
      <c r="F2177" t="s">
        <v>3052</v>
      </c>
    </row>
    <row r="2178" spans="1:6" x14ac:dyDescent="0.25">
      <c r="A2178" t="s">
        <v>1522</v>
      </c>
      <c r="B2178" t="s">
        <v>562</v>
      </c>
      <c r="C2178" t="s">
        <v>563</v>
      </c>
      <c r="D2178" t="str">
        <f>HYPERLINK("http://service.sap.com/sap/support/notes/1597816","1597816")</f>
        <v>1597816</v>
      </c>
      <c r="E2178">
        <v>4</v>
      </c>
      <c r="F2178" t="s">
        <v>3053</v>
      </c>
    </row>
    <row r="2179" spans="1:6" x14ac:dyDescent="0.25">
      <c r="A2179" t="s">
        <v>1522</v>
      </c>
      <c r="B2179" t="s">
        <v>562</v>
      </c>
      <c r="C2179" t="s">
        <v>563</v>
      </c>
      <c r="D2179" t="str">
        <f>HYPERLINK("http://service.sap.com/sap/support/notes/1613784","1613784")</f>
        <v>1613784</v>
      </c>
      <c r="E2179">
        <v>3</v>
      </c>
      <c r="F2179" t="s">
        <v>3054</v>
      </c>
    </row>
    <row r="2180" spans="1:6" x14ac:dyDescent="0.25">
      <c r="A2180" t="s">
        <v>1522</v>
      </c>
      <c r="B2180" t="s">
        <v>562</v>
      </c>
      <c r="C2180" t="s">
        <v>563</v>
      </c>
      <c r="D2180" t="str">
        <f>HYPERLINK("http://service.sap.com/sap/support/notes/1614367","1614367")</f>
        <v>1614367</v>
      </c>
      <c r="E2180">
        <v>2</v>
      </c>
      <c r="F2180" t="s">
        <v>3055</v>
      </c>
    </row>
    <row r="2181" spans="1:6" x14ac:dyDescent="0.25">
      <c r="A2181" t="s">
        <v>1522</v>
      </c>
      <c r="B2181" t="s">
        <v>562</v>
      </c>
      <c r="C2181" t="s">
        <v>563</v>
      </c>
      <c r="D2181" t="str">
        <f>HYPERLINK("http://service.sap.com/sap/support/notes/1633528","1633528")</f>
        <v>1633528</v>
      </c>
      <c r="E2181">
        <v>2</v>
      </c>
      <c r="F2181" t="s">
        <v>3056</v>
      </c>
    </row>
    <row r="2182" spans="1:6" x14ac:dyDescent="0.25">
      <c r="A2182" t="s">
        <v>1522</v>
      </c>
      <c r="B2182" t="s">
        <v>566</v>
      </c>
      <c r="C2182" t="s">
        <v>567</v>
      </c>
      <c r="D2182" t="str">
        <f>HYPERLINK("http://service.sap.com/sap/support/notes/1599916","1599916")</f>
        <v>1599916</v>
      </c>
      <c r="E2182">
        <v>2</v>
      </c>
      <c r="F2182" t="s">
        <v>3057</v>
      </c>
    </row>
    <row r="2183" spans="1:6" x14ac:dyDescent="0.25">
      <c r="A2183" t="s">
        <v>1522</v>
      </c>
      <c r="B2183" t="s">
        <v>566</v>
      </c>
      <c r="C2183" t="s">
        <v>567</v>
      </c>
      <c r="D2183" t="str">
        <f>HYPERLINK("http://service.sap.com/sap/support/notes/1621659","1621659")</f>
        <v>1621659</v>
      </c>
      <c r="E2183">
        <v>2</v>
      </c>
      <c r="F2183" t="s">
        <v>3058</v>
      </c>
    </row>
    <row r="2184" spans="1:6" x14ac:dyDescent="0.25">
      <c r="A2184" t="s">
        <v>1522</v>
      </c>
      <c r="B2184" t="s">
        <v>566</v>
      </c>
      <c r="C2184" t="s">
        <v>567</v>
      </c>
      <c r="D2184" t="str">
        <f>HYPERLINK("http://service.sap.com/sap/support/notes/1624870","1624870")</f>
        <v>1624870</v>
      </c>
      <c r="E2184">
        <v>3</v>
      </c>
      <c r="F2184" t="s">
        <v>3059</v>
      </c>
    </row>
    <row r="2185" spans="1:6" x14ac:dyDescent="0.25">
      <c r="A2185" t="s">
        <v>1522</v>
      </c>
      <c r="B2185" t="s">
        <v>566</v>
      </c>
      <c r="C2185" t="s">
        <v>567</v>
      </c>
      <c r="D2185" t="str">
        <f>HYPERLINK("http://service.sap.com/sap/support/notes/1632027","1632027")</f>
        <v>1632027</v>
      </c>
      <c r="E2185">
        <v>1</v>
      </c>
      <c r="F2185" t="s">
        <v>3060</v>
      </c>
    </row>
    <row r="2186" spans="1:6" x14ac:dyDescent="0.25">
      <c r="A2186" t="s">
        <v>1522</v>
      </c>
      <c r="B2186" t="s">
        <v>566</v>
      </c>
      <c r="C2186" t="s">
        <v>567</v>
      </c>
      <c r="D2186" t="str">
        <f>HYPERLINK("http://service.sap.com/sap/support/notes/1636247","1636247")</f>
        <v>1636247</v>
      </c>
      <c r="E2186">
        <v>1</v>
      </c>
      <c r="F2186" t="s">
        <v>3061</v>
      </c>
    </row>
    <row r="2187" spans="1:6" x14ac:dyDescent="0.25">
      <c r="A2187" t="s">
        <v>1522</v>
      </c>
      <c r="B2187" t="s">
        <v>566</v>
      </c>
      <c r="C2187" t="s">
        <v>567</v>
      </c>
      <c r="D2187" t="str">
        <f>HYPERLINK("http://service.sap.com/sap/support/notes/1655173","1655173")</f>
        <v>1655173</v>
      </c>
      <c r="E2187">
        <v>2</v>
      </c>
      <c r="F2187" t="s">
        <v>3062</v>
      </c>
    </row>
    <row r="2188" spans="1:6" x14ac:dyDescent="0.25">
      <c r="A2188" t="s">
        <v>1522</v>
      </c>
      <c r="B2188" t="s">
        <v>566</v>
      </c>
      <c r="C2188" t="s">
        <v>567</v>
      </c>
      <c r="D2188" t="str">
        <f>HYPERLINK("http://service.sap.com/sap/support/notes/1656246","1656246")</f>
        <v>1656246</v>
      </c>
      <c r="E2188">
        <v>6</v>
      </c>
      <c r="F2188" t="s">
        <v>3063</v>
      </c>
    </row>
    <row r="2189" spans="1:6" x14ac:dyDescent="0.25">
      <c r="A2189" t="s">
        <v>1522</v>
      </c>
      <c r="B2189" t="s">
        <v>566</v>
      </c>
      <c r="C2189" t="s">
        <v>567</v>
      </c>
      <c r="D2189" t="str">
        <f>HYPERLINK("http://service.sap.com/sap/support/notes/1659428","1659428")</f>
        <v>1659428</v>
      </c>
      <c r="E2189">
        <v>1</v>
      </c>
      <c r="F2189" t="s">
        <v>3064</v>
      </c>
    </row>
    <row r="2190" spans="1:6" x14ac:dyDescent="0.25">
      <c r="A2190" t="s">
        <v>1522</v>
      </c>
      <c r="B2190" t="s">
        <v>569</v>
      </c>
      <c r="C2190" t="s">
        <v>3065</v>
      </c>
      <c r="D2190" t="str">
        <f>HYPERLINK("http://service.sap.com/sap/support/notes/1624779","1624779")</f>
        <v>1624779</v>
      </c>
      <c r="E2190">
        <v>1</v>
      </c>
      <c r="F2190" t="s">
        <v>3066</v>
      </c>
    </row>
    <row r="2191" spans="1:6" x14ac:dyDescent="0.25">
      <c r="A2191" t="s">
        <v>1522</v>
      </c>
      <c r="B2191" t="s">
        <v>3067</v>
      </c>
      <c r="C2191" t="s">
        <v>3068</v>
      </c>
    </row>
    <row r="2192" spans="1:6" x14ac:dyDescent="0.25">
      <c r="A2192" t="s">
        <v>1522</v>
      </c>
      <c r="B2192" t="s">
        <v>3069</v>
      </c>
      <c r="C2192" t="s">
        <v>14</v>
      </c>
      <c r="D2192" t="str">
        <f>HYPERLINK("http://service.sap.com/sap/support/notes/1630709","1630709")</f>
        <v>1630709</v>
      </c>
      <c r="E2192">
        <v>3</v>
      </c>
      <c r="F2192" t="s">
        <v>3070</v>
      </c>
    </row>
    <row r="2193" spans="1:6" x14ac:dyDescent="0.25">
      <c r="A2193" t="s">
        <v>1522</v>
      </c>
      <c r="B2193" t="s">
        <v>3071</v>
      </c>
      <c r="C2193" t="s">
        <v>3072</v>
      </c>
      <c r="D2193" t="str">
        <f>HYPERLINK("http://service.sap.com/sap/support/notes/1630292","1630292")</f>
        <v>1630292</v>
      </c>
      <c r="E2193">
        <v>1</v>
      </c>
      <c r="F2193" t="s">
        <v>3073</v>
      </c>
    </row>
    <row r="2194" spans="1:6" x14ac:dyDescent="0.25">
      <c r="A2194" t="s">
        <v>1522</v>
      </c>
      <c r="B2194" t="s">
        <v>3074</v>
      </c>
      <c r="C2194" t="s">
        <v>3075</v>
      </c>
      <c r="D2194" t="str">
        <f>HYPERLINK("http://service.sap.com/sap/support/notes/1637346","1637346")</f>
        <v>1637346</v>
      </c>
      <c r="E2194">
        <v>1</v>
      </c>
      <c r="F2194" t="s">
        <v>3076</v>
      </c>
    </row>
    <row r="2195" spans="1:6" x14ac:dyDescent="0.25">
      <c r="A2195" t="s">
        <v>1522</v>
      </c>
      <c r="B2195" t="s">
        <v>3077</v>
      </c>
      <c r="C2195" t="s">
        <v>2128</v>
      </c>
      <c r="D2195" t="str">
        <f>HYPERLINK("http://service.sap.com/sap/support/notes/1631560","1631560")</f>
        <v>1631560</v>
      </c>
      <c r="E2195">
        <v>1</v>
      </c>
      <c r="F2195" t="s">
        <v>3078</v>
      </c>
    </row>
    <row r="2196" spans="1:6" x14ac:dyDescent="0.25">
      <c r="A2196" t="s">
        <v>1522</v>
      </c>
      <c r="B2196" t="s">
        <v>3079</v>
      </c>
      <c r="C2196" t="s">
        <v>3080</v>
      </c>
      <c r="D2196" t="str">
        <f>HYPERLINK("http://service.sap.com/sap/support/notes/1648859","1648859")</f>
        <v>1648859</v>
      </c>
      <c r="E2196">
        <v>1</v>
      </c>
      <c r="F2196" t="s">
        <v>3081</v>
      </c>
    </row>
    <row r="2197" spans="1:6" x14ac:dyDescent="0.25">
      <c r="A2197" t="s">
        <v>1522</v>
      </c>
      <c r="B2197" t="s">
        <v>3082</v>
      </c>
      <c r="C2197" t="s">
        <v>3083</v>
      </c>
      <c r="D2197" t="str">
        <f>HYPERLINK("http://service.sap.com/sap/support/notes/1607499","1607499")</f>
        <v>1607499</v>
      </c>
      <c r="E2197">
        <v>6</v>
      </c>
      <c r="F2197" t="s">
        <v>3084</v>
      </c>
    </row>
    <row r="2198" spans="1:6" x14ac:dyDescent="0.25">
      <c r="A2198" t="s">
        <v>1522</v>
      </c>
      <c r="B2198" t="s">
        <v>583</v>
      </c>
      <c r="C2198" t="s">
        <v>584</v>
      </c>
    </row>
    <row r="2199" spans="1:6" x14ac:dyDescent="0.25">
      <c r="A2199" t="s">
        <v>1522</v>
      </c>
      <c r="B2199" t="s">
        <v>3085</v>
      </c>
      <c r="C2199" t="s">
        <v>100</v>
      </c>
      <c r="D2199" t="str">
        <f>HYPERLINK("http://service.sap.com/sap/support/notes/1623677","1623677")</f>
        <v>1623677</v>
      </c>
      <c r="E2199">
        <v>2</v>
      </c>
      <c r="F2199" t="s">
        <v>3086</v>
      </c>
    </row>
    <row r="2200" spans="1:6" x14ac:dyDescent="0.25">
      <c r="A2200" t="s">
        <v>1522</v>
      </c>
      <c r="B2200" t="s">
        <v>3085</v>
      </c>
      <c r="C2200" t="s">
        <v>100</v>
      </c>
      <c r="D2200" t="str">
        <f>HYPERLINK("http://service.sap.com/sap/support/notes/1626203","1626203")</f>
        <v>1626203</v>
      </c>
      <c r="E2200">
        <v>1</v>
      </c>
      <c r="F2200" t="s">
        <v>3087</v>
      </c>
    </row>
    <row r="2201" spans="1:6" x14ac:dyDescent="0.25">
      <c r="A2201" t="s">
        <v>1522</v>
      </c>
      <c r="B2201" t="s">
        <v>3085</v>
      </c>
      <c r="C2201" t="s">
        <v>100</v>
      </c>
      <c r="D2201" t="str">
        <f>HYPERLINK("http://service.sap.com/sap/support/notes/1633733","1633733")</f>
        <v>1633733</v>
      </c>
      <c r="E2201">
        <v>2</v>
      </c>
      <c r="F2201" t="s">
        <v>3088</v>
      </c>
    </row>
    <row r="2202" spans="1:6" x14ac:dyDescent="0.25">
      <c r="A2202" t="s">
        <v>1522</v>
      </c>
      <c r="B2202" t="s">
        <v>3085</v>
      </c>
      <c r="C2202" t="s">
        <v>100</v>
      </c>
      <c r="D2202" t="str">
        <f>HYPERLINK("http://service.sap.com/sap/support/notes/1645447","1645447")</f>
        <v>1645447</v>
      </c>
      <c r="E2202">
        <v>2</v>
      </c>
      <c r="F2202" t="s">
        <v>3089</v>
      </c>
    </row>
    <row r="2203" spans="1:6" x14ac:dyDescent="0.25">
      <c r="A2203" t="s">
        <v>1522</v>
      </c>
      <c r="B2203" t="s">
        <v>3085</v>
      </c>
      <c r="C2203" t="s">
        <v>100</v>
      </c>
      <c r="D2203" t="str">
        <f>HYPERLINK("http://service.sap.com/sap/support/notes/1663036","1663036")</f>
        <v>1663036</v>
      </c>
      <c r="E2203">
        <v>2</v>
      </c>
      <c r="F2203" t="s">
        <v>3090</v>
      </c>
    </row>
    <row r="2204" spans="1:6" x14ac:dyDescent="0.25">
      <c r="A2204" t="s">
        <v>1522</v>
      </c>
      <c r="B2204" t="s">
        <v>3085</v>
      </c>
      <c r="C2204" t="s">
        <v>100</v>
      </c>
      <c r="D2204" t="str">
        <f>HYPERLINK("http://service.sap.com/sap/support/notes/1673001","1673001")</f>
        <v>1673001</v>
      </c>
      <c r="E2204">
        <v>1</v>
      </c>
      <c r="F2204" t="s">
        <v>3091</v>
      </c>
    </row>
    <row r="2205" spans="1:6" x14ac:dyDescent="0.25">
      <c r="A2205" t="s">
        <v>1522</v>
      </c>
      <c r="B2205" t="s">
        <v>591</v>
      </c>
      <c r="C2205" t="s">
        <v>592</v>
      </c>
    </row>
    <row r="2206" spans="1:6" x14ac:dyDescent="0.25">
      <c r="A2206" t="s">
        <v>1522</v>
      </c>
      <c r="B2206" t="s">
        <v>593</v>
      </c>
      <c r="C2206" t="s">
        <v>594</v>
      </c>
      <c r="D2206" t="str">
        <f>HYPERLINK("http://service.sap.com/sap/support/notes/1636214","1636214")</f>
        <v>1636214</v>
      </c>
      <c r="E2206">
        <v>1</v>
      </c>
      <c r="F2206" t="s">
        <v>3092</v>
      </c>
    </row>
    <row r="2207" spans="1:6" x14ac:dyDescent="0.25">
      <c r="A2207" t="s">
        <v>1522</v>
      </c>
      <c r="B2207" t="s">
        <v>3093</v>
      </c>
      <c r="C2207" t="s">
        <v>3094</v>
      </c>
      <c r="D2207" t="str">
        <f>HYPERLINK("http://service.sap.com/sap/support/notes/1582274","1582274")</f>
        <v>1582274</v>
      </c>
      <c r="E2207">
        <v>3</v>
      </c>
      <c r="F2207" t="s">
        <v>3095</v>
      </c>
    </row>
    <row r="2208" spans="1:6" x14ac:dyDescent="0.25">
      <c r="A2208" t="s">
        <v>1522</v>
      </c>
      <c r="B2208" t="s">
        <v>3093</v>
      </c>
      <c r="C2208" t="s">
        <v>3094</v>
      </c>
      <c r="D2208" t="str">
        <f>HYPERLINK("http://service.sap.com/sap/support/notes/1597123","1597123")</f>
        <v>1597123</v>
      </c>
      <c r="E2208">
        <v>3</v>
      </c>
      <c r="F2208" t="s">
        <v>3096</v>
      </c>
    </row>
    <row r="2209" spans="1:6" x14ac:dyDescent="0.25">
      <c r="A2209" t="s">
        <v>1522</v>
      </c>
      <c r="B2209" t="s">
        <v>3093</v>
      </c>
      <c r="C2209" t="s">
        <v>3094</v>
      </c>
      <c r="D2209" t="str">
        <f>HYPERLINK("http://service.sap.com/sap/support/notes/1618102","1618102")</f>
        <v>1618102</v>
      </c>
      <c r="E2209">
        <v>1</v>
      </c>
      <c r="F2209" t="s">
        <v>3097</v>
      </c>
    </row>
    <row r="2210" spans="1:6" x14ac:dyDescent="0.25">
      <c r="A2210" t="s">
        <v>1522</v>
      </c>
      <c r="B2210" t="s">
        <v>3093</v>
      </c>
      <c r="C2210" t="s">
        <v>3094</v>
      </c>
      <c r="D2210" t="str">
        <f>HYPERLINK("http://service.sap.com/sap/support/notes/1652980","1652980")</f>
        <v>1652980</v>
      </c>
      <c r="E2210">
        <v>1</v>
      </c>
      <c r="F2210" t="s">
        <v>3098</v>
      </c>
    </row>
    <row r="2211" spans="1:6" x14ac:dyDescent="0.25">
      <c r="A2211" t="s">
        <v>1522</v>
      </c>
      <c r="B2211" t="s">
        <v>3093</v>
      </c>
      <c r="C2211" t="s">
        <v>3094</v>
      </c>
      <c r="D2211" t="str">
        <f>HYPERLINK("http://service.sap.com/sap/support/notes/1656299","1656299")</f>
        <v>1656299</v>
      </c>
      <c r="E2211">
        <v>1</v>
      </c>
      <c r="F2211" t="s">
        <v>3099</v>
      </c>
    </row>
    <row r="2212" spans="1:6" x14ac:dyDescent="0.25">
      <c r="A2212" t="s">
        <v>1522</v>
      </c>
      <c r="B2212" t="s">
        <v>3093</v>
      </c>
      <c r="C2212" t="s">
        <v>3094</v>
      </c>
      <c r="D2212" t="str">
        <f>HYPERLINK("http://service.sap.com/sap/support/notes/1659500","1659500")</f>
        <v>1659500</v>
      </c>
      <c r="E2212">
        <v>1</v>
      </c>
      <c r="F2212" t="s">
        <v>3100</v>
      </c>
    </row>
    <row r="2213" spans="1:6" x14ac:dyDescent="0.25">
      <c r="A2213" t="s">
        <v>1522</v>
      </c>
      <c r="B2213" t="s">
        <v>3101</v>
      </c>
      <c r="C2213" t="s">
        <v>3102</v>
      </c>
      <c r="D2213" t="str">
        <f>HYPERLINK("http://service.sap.com/sap/support/notes/1614682","1614682")</f>
        <v>1614682</v>
      </c>
      <c r="E2213">
        <v>1</v>
      </c>
      <c r="F2213" t="s">
        <v>3103</v>
      </c>
    </row>
    <row r="2214" spans="1:6" x14ac:dyDescent="0.25">
      <c r="A2214" t="s">
        <v>1522</v>
      </c>
      <c r="B2214" t="s">
        <v>3104</v>
      </c>
      <c r="C2214" t="s">
        <v>3105</v>
      </c>
      <c r="D2214" t="str">
        <f>HYPERLINK("http://service.sap.com/sap/support/notes/1642746","1642746")</f>
        <v>1642746</v>
      </c>
      <c r="E2214">
        <v>1</v>
      </c>
      <c r="F2214" t="s">
        <v>3106</v>
      </c>
    </row>
    <row r="2215" spans="1:6" x14ac:dyDescent="0.25">
      <c r="A2215" t="s">
        <v>1522</v>
      </c>
      <c r="B2215" t="s">
        <v>3104</v>
      </c>
      <c r="C2215" t="s">
        <v>3105</v>
      </c>
      <c r="D2215" t="str">
        <f>HYPERLINK("http://service.sap.com/sap/support/notes/1646177","1646177")</f>
        <v>1646177</v>
      </c>
      <c r="E2215">
        <v>1</v>
      </c>
      <c r="F2215" t="s">
        <v>3107</v>
      </c>
    </row>
    <row r="2216" spans="1:6" x14ac:dyDescent="0.25">
      <c r="A2216" t="s">
        <v>1522</v>
      </c>
      <c r="B2216" t="s">
        <v>3104</v>
      </c>
      <c r="C2216" t="s">
        <v>3105</v>
      </c>
      <c r="D2216" t="str">
        <f>HYPERLINK("http://service.sap.com/sap/support/notes/1652020","1652020")</f>
        <v>1652020</v>
      </c>
      <c r="E2216">
        <v>1</v>
      </c>
      <c r="F2216" t="s">
        <v>3108</v>
      </c>
    </row>
    <row r="2217" spans="1:6" x14ac:dyDescent="0.25">
      <c r="A2217" t="s">
        <v>1522</v>
      </c>
      <c r="B2217" t="s">
        <v>3104</v>
      </c>
      <c r="C2217" t="s">
        <v>3105</v>
      </c>
      <c r="D2217" t="str">
        <f>HYPERLINK("http://service.sap.com/sap/support/notes/1653690","1653690")</f>
        <v>1653690</v>
      </c>
      <c r="E2217">
        <v>1</v>
      </c>
      <c r="F2217" t="s">
        <v>3109</v>
      </c>
    </row>
    <row r="2218" spans="1:6" x14ac:dyDescent="0.25">
      <c r="A2218" t="s">
        <v>1522</v>
      </c>
      <c r="B2218" t="s">
        <v>595</v>
      </c>
      <c r="C2218" t="s">
        <v>350</v>
      </c>
      <c r="D2218" t="str">
        <f>HYPERLINK("http://service.sap.com/sap/support/notes/1607305","1607305")</f>
        <v>1607305</v>
      </c>
      <c r="E2218">
        <v>3</v>
      </c>
      <c r="F2218" t="s">
        <v>3110</v>
      </c>
    </row>
    <row r="2219" spans="1:6" x14ac:dyDescent="0.25">
      <c r="A2219" t="s">
        <v>1522</v>
      </c>
      <c r="B2219" t="s">
        <v>595</v>
      </c>
      <c r="C2219" t="s">
        <v>350</v>
      </c>
      <c r="D2219" t="str">
        <f>HYPERLINK("http://service.sap.com/sap/support/notes/1628717","1628717")</f>
        <v>1628717</v>
      </c>
      <c r="E2219">
        <v>2</v>
      </c>
      <c r="F2219" t="s">
        <v>3111</v>
      </c>
    </row>
    <row r="2220" spans="1:6" x14ac:dyDescent="0.25">
      <c r="A2220" t="s">
        <v>1522</v>
      </c>
      <c r="B2220" t="s">
        <v>597</v>
      </c>
      <c r="C2220" t="s">
        <v>598</v>
      </c>
    </row>
    <row r="2221" spans="1:6" x14ac:dyDescent="0.25">
      <c r="A2221" t="s">
        <v>1522</v>
      </c>
      <c r="B2221" t="s">
        <v>599</v>
      </c>
      <c r="C2221" t="s">
        <v>600</v>
      </c>
    </row>
    <row r="2222" spans="1:6" x14ac:dyDescent="0.25">
      <c r="A2222" t="s">
        <v>1522</v>
      </c>
      <c r="B2222" t="s">
        <v>601</v>
      </c>
      <c r="C2222" t="s">
        <v>602</v>
      </c>
      <c r="D2222" t="str">
        <f>HYPERLINK("http://service.sap.com/sap/support/notes/1625815","1625815")</f>
        <v>1625815</v>
      </c>
      <c r="E2222">
        <v>2</v>
      </c>
      <c r="F2222" t="s">
        <v>3112</v>
      </c>
    </row>
    <row r="2223" spans="1:6" x14ac:dyDescent="0.25">
      <c r="A2223" t="s">
        <v>1522</v>
      </c>
      <c r="B2223" t="s">
        <v>601</v>
      </c>
      <c r="C2223" t="s">
        <v>602</v>
      </c>
      <c r="D2223" t="str">
        <f>HYPERLINK("http://service.sap.com/sap/support/notes/1646283","1646283")</f>
        <v>1646283</v>
      </c>
      <c r="E2223">
        <v>1</v>
      </c>
      <c r="F2223" t="s">
        <v>3113</v>
      </c>
    </row>
    <row r="2224" spans="1:6" x14ac:dyDescent="0.25">
      <c r="A2224" t="s">
        <v>1522</v>
      </c>
      <c r="B2224" t="s">
        <v>601</v>
      </c>
      <c r="C2224" t="s">
        <v>602</v>
      </c>
      <c r="D2224" t="str">
        <f>HYPERLINK("http://service.sap.com/sap/support/notes/1650801","1650801")</f>
        <v>1650801</v>
      </c>
      <c r="E2224">
        <v>1</v>
      </c>
      <c r="F2224" t="s">
        <v>3114</v>
      </c>
    </row>
    <row r="2225" spans="1:6" x14ac:dyDescent="0.25">
      <c r="A2225" t="s">
        <v>1522</v>
      </c>
      <c r="B2225" t="s">
        <v>601</v>
      </c>
      <c r="C2225" t="s">
        <v>602</v>
      </c>
      <c r="D2225" t="str">
        <f>HYPERLINK("http://service.sap.com/sap/support/notes/1654650","1654650")</f>
        <v>1654650</v>
      </c>
      <c r="E2225">
        <v>1</v>
      </c>
      <c r="F2225" t="s">
        <v>3115</v>
      </c>
    </row>
    <row r="2226" spans="1:6" x14ac:dyDescent="0.25">
      <c r="A2226" t="s">
        <v>1522</v>
      </c>
      <c r="B2226" t="s">
        <v>601</v>
      </c>
      <c r="C2226" t="s">
        <v>602</v>
      </c>
      <c r="D2226" t="str">
        <f>HYPERLINK("http://service.sap.com/sap/support/notes/1663024","1663024")</f>
        <v>1663024</v>
      </c>
      <c r="E2226">
        <v>1</v>
      </c>
      <c r="F2226" t="s">
        <v>3116</v>
      </c>
    </row>
    <row r="2227" spans="1:6" x14ac:dyDescent="0.25">
      <c r="A2227" t="s">
        <v>1522</v>
      </c>
      <c r="B2227" t="s">
        <v>601</v>
      </c>
      <c r="C2227" t="s">
        <v>602</v>
      </c>
      <c r="D2227" t="str">
        <f>HYPERLINK("http://service.sap.com/sap/support/notes/1664702","1664702")</f>
        <v>1664702</v>
      </c>
      <c r="E2227">
        <v>2</v>
      </c>
      <c r="F2227" t="s">
        <v>3117</v>
      </c>
    </row>
    <row r="2228" spans="1:6" x14ac:dyDescent="0.25">
      <c r="A2228" t="s">
        <v>1522</v>
      </c>
      <c r="B2228" t="s">
        <v>601</v>
      </c>
      <c r="C2228" t="s">
        <v>602</v>
      </c>
      <c r="D2228" t="str">
        <f>HYPERLINK("http://service.sap.com/sap/support/notes/1667280","1667280")</f>
        <v>1667280</v>
      </c>
      <c r="E2228">
        <v>2</v>
      </c>
      <c r="F2228" t="s">
        <v>3118</v>
      </c>
    </row>
    <row r="2229" spans="1:6" x14ac:dyDescent="0.25">
      <c r="A2229" t="s">
        <v>1522</v>
      </c>
      <c r="B2229" t="s">
        <v>3119</v>
      </c>
      <c r="C2229" t="s">
        <v>3120</v>
      </c>
    </row>
    <row r="2230" spans="1:6" x14ac:dyDescent="0.25">
      <c r="A2230" t="s">
        <v>1522</v>
      </c>
      <c r="B2230" t="s">
        <v>3121</v>
      </c>
      <c r="C2230" t="s">
        <v>3122</v>
      </c>
      <c r="D2230" t="str">
        <f>HYPERLINK("http://service.sap.com/sap/support/notes/1626010","1626010")</f>
        <v>1626010</v>
      </c>
      <c r="E2230">
        <v>2</v>
      </c>
      <c r="F2230" t="s">
        <v>608</v>
      </c>
    </row>
    <row r="2231" spans="1:6" x14ac:dyDescent="0.25">
      <c r="A2231" t="s">
        <v>1522</v>
      </c>
      <c r="B2231" t="s">
        <v>3123</v>
      </c>
      <c r="C2231" t="s">
        <v>3124</v>
      </c>
      <c r="D2231" t="str">
        <f>HYPERLINK("http://service.sap.com/sap/support/notes/1614853","1614853")</f>
        <v>1614853</v>
      </c>
      <c r="E2231">
        <v>1</v>
      </c>
      <c r="F2231" t="s">
        <v>3125</v>
      </c>
    </row>
    <row r="2232" spans="1:6" x14ac:dyDescent="0.25">
      <c r="A2232" t="s">
        <v>1522</v>
      </c>
      <c r="B2232" t="s">
        <v>3123</v>
      </c>
      <c r="C2232" t="s">
        <v>3124</v>
      </c>
      <c r="D2232" t="str">
        <f>HYPERLINK("http://service.sap.com/sap/support/notes/1629213","1629213")</f>
        <v>1629213</v>
      </c>
      <c r="E2232">
        <v>1</v>
      </c>
      <c r="F2232" t="s">
        <v>3126</v>
      </c>
    </row>
    <row r="2233" spans="1:6" x14ac:dyDescent="0.25">
      <c r="A2233" t="s">
        <v>1522</v>
      </c>
      <c r="B2233" t="s">
        <v>3123</v>
      </c>
      <c r="C2233" t="s">
        <v>3124</v>
      </c>
      <c r="D2233" t="str">
        <f>HYPERLINK("http://service.sap.com/sap/support/notes/1632673","1632673")</f>
        <v>1632673</v>
      </c>
      <c r="E2233">
        <v>1</v>
      </c>
      <c r="F2233" t="s">
        <v>3127</v>
      </c>
    </row>
    <row r="2234" spans="1:6" x14ac:dyDescent="0.25">
      <c r="A2234" t="s">
        <v>1522</v>
      </c>
      <c r="B2234" t="s">
        <v>3123</v>
      </c>
      <c r="C2234" t="s">
        <v>3124</v>
      </c>
      <c r="D2234" t="str">
        <f>HYPERLINK("http://service.sap.com/sap/support/notes/1639356","1639356")</f>
        <v>1639356</v>
      </c>
      <c r="E2234">
        <v>1</v>
      </c>
      <c r="F2234" t="s">
        <v>3128</v>
      </c>
    </row>
    <row r="2235" spans="1:6" x14ac:dyDescent="0.25">
      <c r="A2235" t="s">
        <v>1522</v>
      </c>
      <c r="B2235" t="s">
        <v>3123</v>
      </c>
      <c r="C2235" t="s">
        <v>3124</v>
      </c>
      <c r="D2235" t="str">
        <f>HYPERLINK("http://service.sap.com/sap/support/notes/1644162","1644162")</f>
        <v>1644162</v>
      </c>
      <c r="E2235">
        <v>1</v>
      </c>
      <c r="F2235" t="s">
        <v>3129</v>
      </c>
    </row>
    <row r="2236" spans="1:6" x14ac:dyDescent="0.25">
      <c r="A2236" t="s">
        <v>1522</v>
      </c>
      <c r="B2236" t="s">
        <v>604</v>
      </c>
      <c r="C2236" t="s">
        <v>3130</v>
      </c>
      <c r="D2236" t="str">
        <f>HYPERLINK("http://service.sap.com/sap/support/notes/1317079","1317079")</f>
        <v>1317079</v>
      </c>
      <c r="E2236">
        <v>1</v>
      </c>
      <c r="F2236" t="s">
        <v>3131</v>
      </c>
    </row>
    <row r="2237" spans="1:6" x14ac:dyDescent="0.25">
      <c r="A2237" t="s">
        <v>1522</v>
      </c>
      <c r="B2237" t="s">
        <v>3132</v>
      </c>
      <c r="C2237" t="s">
        <v>3133</v>
      </c>
      <c r="D2237" t="str">
        <f>HYPERLINK("http://service.sap.com/sap/support/notes/1659799","1659799")</f>
        <v>1659799</v>
      </c>
      <c r="E2237">
        <v>1</v>
      </c>
      <c r="F2237" t="s">
        <v>608</v>
      </c>
    </row>
    <row r="2238" spans="1:6" x14ac:dyDescent="0.25">
      <c r="A2238" t="s">
        <v>1522</v>
      </c>
      <c r="B2238" t="s">
        <v>3134</v>
      </c>
      <c r="C2238" t="s">
        <v>3135</v>
      </c>
      <c r="D2238" t="str">
        <f>HYPERLINK("http://service.sap.com/sap/support/notes/1417388","1417388")</f>
        <v>1417388</v>
      </c>
      <c r="E2238">
        <v>1</v>
      </c>
      <c r="F2238" t="s">
        <v>3136</v>
      </c>
    </row>
    <row r="2239" spans="1:6" x14ac:dyDescent="0.25">
      <c r="A2239" t="s">
        <v>1522</v>
      </c>
      <c r="B2239" t="s">
        <v>3137</v>
      </c>
      <c r="C2239" t="s">
        <v>3138</v>
      </c>
      <c r="D2239" t="str">
        <f>HYPERLINK("http://service.sap.com/sap/support/notes/1023207","1023207")</f>
        <v>1023207</v>
      </c>
      <c r="E2239">
        <v>3</v>
      </c>
      <c r="F2239" t="s">
        <v>3139</v>
      </c>
    </row>
    <row r="2240" spans="1:6" x14ac:dyDescent="0.25">
      <c r="A2240" t="s">
        <v>1522</v>
      </c>
      <c r="B2240" t="s">
        <v>3137</v>
      </c>
      <c r="C2240" t="s">
        <v>3138</v>
      </c>
      <c r="D2240" t="str">
        <f>HYPERLINK("http://service.sap.com/sap/support/notes/1625001","1625001")</f>
        <v>1625001</v>
      </c>
      <c r="E2240">
        <v>1</v>
      </c>
      <c r="F2240" t="s">
        <v>3140</v>
      </c>
    </row>
    <row r="2241" spans="1:6" x14ac:dyDescent="0.25">
      <c r="A2241" t="s">
        <v>1522</v>
      </c>
      <c r="B2241" t="s">
        <v>3137</v>
      </c>
      <c r="C2241" t="s">
        <v>3138</v>
      </c>
      <c r="D2241" t="str">
        <f>HYPERLINK("http://service.sap.com/sap/support/notes/1638387","1638387")</f>
        <v>1638387</v>
      </c>
      <c r="E2241">
        <v>4</v>
      </c>
      <c r="F2241" t="s">
        <v>3141</v>
      </c>
    </row>
    <row r="2242" spans="1:6" x14ac:dyDescent="0.25">
      <c r="A2242" t="s">
        <v>1522</v>
      </c>
      <c r="B2242" t="s">
        <v>3142</v>
      </c>
      <c r="C2242" t="s">
        <v>3143</v>
      </c>
      <c r="D2242" t="str">
        <f>HYPERLINK("http://service.sap.com/sap/support/notes/1623467","1623467")</f>
        <v>1623467</v>
      </c>
      <c r="E2242">
        <v>1</v>
      </c>
      <c r="F2242" t="s">
        <v>3144</v>
      </c>
    </row>
    <row r="2243" spans="1:6" x14ac:dyDescent="0.25">
      <c r="A2243" t="s">
        <v>1522</v>
      </c>
      <c r="B2243" t="s">
        <v>606</v>
      </c>
      <c r="C2243" t="s">
        <v>607</v>
      </c>
      <c r="D2243" t="str">
        <f>HYPERLINK("http://service.sap.com/sap/support/notes/1634061","1634061")</f>
        <v>1634061</v>
      </c>
      <c r="E2243">
        <v>1</v>
      </c>
      <c r="F2243" t="s">
        <v>608</v>
      </c>
    </row>
    <row r="2244" spans="1:6" x14ac:dyDescent="0.25">
      <c r="A2244" t="s">
        <v>1522</v>
      </c>
      <c r="B2244" t="s">
        <v>3145</v>
      </c>
      <c r="C2244" t="s">
        <v>3146</v>
      </c>
    </row>
    <row r="2245" spans="1:6" x14ac:dyDescent="0.25">
      <c r="A2245" t="s">
        <v>1522</v>
      </c>
      <c r="B2245" t="s">
        <v>3147</v>
      </c>
      <c r="C2245" t="s">
        <v>3148</v>
      </c>
      <c r="D2245" t="str">
        <f>HYPERLINK("http://service.sap.com/sap/support/notes/1625597","1625597")</f>
        <v>1625597</v>
      </c>
      <c r="E2245">
        <v>1</v>
      </c>
      <c r="F2245" t="s">
        <v>3149</v>
      </c>
    </row>
    <row r="2246" spans="1:6" x14ac:dyDescent="0.25">
      <c r="A2246" t="s">
        <v>1522</v>
      </c>
      <c r="B2246" t="s">
        <v>609</v>
      </c>
      <c r="C2246" t="s">
        <v>610</v>
      </c>
      <c r="D2246" t="str">
        <f>HYPERLINK("http://service.sap.com/sap/support/notes/1639302","1639302")</f>
        <v>1639302</v>
      </c>
      <c r="E2246">
        <v>1</v>
      </c>
      <c r="F2246" t="s">
        <v>3150</v>
      </c>
    </row>
    <row r="2247" spans="1:6" x14ac:dyDescent="0.25">
      <c r="A2247" t="s">
        <v>1522</v>
      </c>
      <c r="B2247" t="s">
        <v>613</v>
      </c>
      <c r="C2247" t="s">
        <v>614</v>
      </c>
      <c r="D2247" t="str">
        <f>HYPERLINK("http://service.sap.com/sap/support/notes/1667053","1667053")</f>
        <v>1667053</v>
      </c>
      <c r="E2247">
        <v>3</v>
      </c>
      <c r="F2247" t="s">
        <v>3151</v>
      </c>
    </row>
    <row r="2248" spans="1:6" x14ac:dyDescent="0.25">
      <c r="A2248" t="s">
        <v>1522</v>
      </c>
      <c r="B2248" t="s">
        <v>3152</v>
      </c>
      <c r="C2248" t="s">
        <v>3153</v>
      </c>
      <c r="D2248" t="str">
        <f>HYPERLINK("http://service.sap.com/sap/support/notes/1628275","1628275")</f>
        <v>1628275</v>
      </c>
      <c r="E2248">
        <v>1</v>
      </c>
      <c r="F2248" t="s">
        <v>751</v>
      </c>
    </row>
    <row r="2249" spans="1:6" x14ac:dyDescent="0.25">
      <c r="A2249" t="s">
        <v>1522</v>
      </c>
      <c r="B2249" t="s">
        <v>3152</v>
      </c>
      <c r="C2249" t="s">
        <v>3153</v>
      </c>
      <c r="D2249" t="str">
        <f>HYPERLINK("http://service.sap.com/sap/support/notes/1630380","1630380")</f>
        <v>1630380</v>
      </c>
      <c r="E2249">
        <v>2</v>
      </c>
      <c r="F2249" t="s">
        <v>751</v>
      </c>
    </row>
    <row r="2250" spans="1:6" x14ac:dyDescent="0.25">
      <c r="A2250" t="s">
        <v>1522</v>
      </c>
      <c r="B2250" t="s">
        <v>3152</v>
      </c>
      <c r="C2250" t="s">
        <v>3153</v>
      </c>
      <c r="D2250" t="str">
        <f>HYPERLINK("http://service.sap.com/sap/support/notes/1633042","1633042")</f>
        <v>1633042</v>
      </c>
      <c r="E2250">
        <v>1</v>
      </c>
      <c r="F2250" t="s">
        <v>751</v>
      </c>
    </row>
    <row r="2251" spans="1:6" x14ac:dyDescent="0.25">
      <c r="A2251" t="s">
        <v>1522</v>
      </c>
      <c r="B2251" t="s">
        <v>3152</v>
      </c>
      <c r="C2251" t="s">
        <v>3153</v>
      </c>
      <c r="D2251" t="str">
        <f>HYPERLINK("http://service.sap.com/sap/support/notes/1637564","1637564")</f>
        <v>1637564</v>
      </c>
      <c r="E2251">
        <v>2</v>
      </c>
      <c r="F2251" t="s">
        <v>751</v>
      </c>
    </row>
    <row r="2252" spans="1:6" x14ac:dyDescent="0.25">
      <c r="A2252" t="s">
        <v>1522</v>
      </c>
      <c r="B2252" t="s">
        <v>3152</v>
      </c>
      <c r="C2252" t="s">
        <v>3153</v>
      </c>
      <c r="D2252" t="str">
        <f>HYPERLINK("http://service.sap.com/sap/support/notes/1639898","1639898")</f>
        <v>1639898</v>
      </c>
      <c r="E2252">
        <v>1</v>
      </c>
      <c r="F2252" t="s">
        <v>751</v>
      </c>
    </row>
    <row r="2253" spans="1:6" x14ac:dyDescent="0.25">
      <c r="A2253" t="s">
        <v>1522</v>
      </c>
      <c r="B2253" t="s">
        <v>3152</v>
      </c>
      <c r="C2253" t="s">
        <v>3153</v>
      </c>
      <c r="D2253" t="str">
        <f>HYPERLINK("http://service.sap.com/sap/support/notes/1654414","1654414")</f>
        <v>1654414</v>
      </c>
      <c r="E2253">
        <v>1</v>
      </c>
      <c r="F2253" t="s">
        <v>751</v>
      </c>
    </row>
    <row r="2254" spans="1:6" x14ac:dyDescent="0.25">
      <c r="A2254" t="s">
        <v>1522</v>
      </c>
      <c r="B2254" t="s">
        <v>3152</v>
      </c>
      <c r="C2254" t="s">
        <v>3153</v>
      </c>
      <c r="D2254" t="str">
        <f>HYPERLINK("http://service.sap.com/sap/support/notes/1666372","1666372")</f>
        <v>1666372</v>
      </c>
      <c r="E2254">
        <v>1</v>
      </c>
      <c r="F2254" t="s">
        <v>751</v>
      </c>
    </row>
    <row r="2255" spans="1:6" x14ac:dyDescent="0.25">
      <c r="A2255" t="s">
        <v>1522</v>
      </c>
      <c r="B2255" t="s">
        <v>3154</v>
      </c>
      <c r="C2255" t="s">
        <v>3155</v>
      </c>
    </row>
    <row r="2256" spans="1:6" x14ac:dyDescent="0.25">
      <c r="A2256" t="s">
        <v>1522</v>
      </c>
      <c r="B2256" t="s">
        <v>3156</v>
      </c>
      <c r="C2256" t="s">
        <v>990</v>
      </c>
    </row>
    <row r="2257" spans="1:6" x14ac:dyDescent="0.25">
      <c r="A2257" t="s">
        <v>1522</v>
      </c>
      <c r="B2257" t="s">
        <v>3157</v>
      </c>
      <c r="C2257" t="s">
        <v>3158</v>
      </c>
      <c r="D2257" t="str">
        <f>HYPERLINK("http://service.sap.com/sap/support/notes/1648812","1648812")</f>
        <v>1648812</v>
      </c>
      <c r="E2257">
        <v>1</v>
      </c>
      <c r="F2257" t="s">
        <v>3159</v>
      </c>
    </row>
    <row r="2258" spans="1:6" x14ac:dyDescent="0.25">
      <c r="A2258" t="s">
        <v>1522</v>
      </c>
      <c r="B2258" t="s">
        <v>3160</v>
      </c>
      <c r="C2258" t="s">
        <v>3161</v>
      </c>
    </row>
    <row r="2259" spans="1:6" x14ac:dyDescent="0.25">
      <c r="A2259" t="s">
        <v>1522</v>
      </c>
      <c r="B2259" t="s">
        <v>3162</v>
      </c>
      <c r="C2259" t="s">
        <v>3163</v>
      </c>
      <c r="D2259" t="str">
        <f>HYPERLINK("http://service.sap.com/sap/support/notes/1671988","1671988")</f>
        <v>1671988</v>
      </c>
      <c r="E2259">
        <v>1</v>
      </c>
      <c r="F2259" t="s">
        <v>3164</v>
      </c>
    </row>
    <row r="2260" spans="1:6" x14ac:dyDescent="0.25">
      <c r="A2260" t="s">
        <v>1522</v>
      </c>
      <c r="B2260" t="s">
        <v>616</v>
      </c>
      <c r="C2260" t="s">
        <v>3165</v>
      </c>
    </row>
    <row r="2261" spans="1:6" x14ac:dyDescent="0.25">
      <c r="A2261" t="s">
        <v>1522</v>
      </c>
      <c r="B2261" t="s">
        <v>619</v>
      </c>
      <c r="C2261" t="s">
        <v>141</v>
      </c>
      <c r="D2261" t="str">
        <f>HYPERLINK("http://service.sap.com/sap/support/notes/1626194","1626194")</f>
        <v>1626194</v>
      </c>
      <c r="E2261">
        <v>1</v>
      </c>
      <c r="F2261" t="s">
        <v>3166</v>
      </c>
    </row>
    <row r="2262" spans="1:6" x14ac:dyDescent="0.25">
      <c r="A2262" t="s">
        <v>1522</v>
      </c>
      <c r="B2262" t="s">
        <v>3167</v>
      </c>
      <c r="C2262" t="s">
        <v>3168</v>
      </c>
      <c r="D2262" t="str">
        <f>HYPERLINK("http://service.sap.com/sap/support/notes/1669514","1669514")</f>
        <v>1669514</v>
      </c>
      <c r="E2262">
        <v>1</v>
      </c>
      <c r="F2262" t="s">
        <v>608</v>
      </c>
    </row>
    <row r="2263" spans="1:6" x14ac:dyDescent="0.25">
      <c r="A2263" t="s">
        <v>1522</v>
      </c>
      <c r="B2263" t="s">
        <v>3169</v>
      </c>
      <c r="C2263" t="s">
        <v>3170</v>
      </c>
      <c r="D2263" t="str">
        <f>HYPERLINK("http://service.sap.com/sap/support/notes/1668899","1668899")</f>
        <v>1668899</v>
      </c>
      <c r="E2263">
        <v>1</v>
      </c>
      <c r="F2263" t="s">
        <v>3171</v>
      </c>
    </row>
    <row r="2264" spans="1:6" x14ac:dyDescent="0.25">
      <c r="A2264" t="s">
        <v>1522</v>
      </c>
      <c r="B2264" t="s">
        <v>622</v>
      </c>
      <c r="C2264" t="s">
        <v>623</v>
      </c>
    </row>
    <row r="2265" spans="1:6" x14ac:dyDescent="0.25">
      <c r="A2265" t="s">
        <v>1522</v>
      </c>
      <c r="B2265" t="s">
        <v>624</v>
      </c>
      <c r="C2265" t="s">
        <v>625</v>
      </c>
      <c r="D2265" t="str">
        <f>HYPERLINK("http://service.sap.com/sap/support/notes/1631122","1631122")</f>
        <v>1631122</v>
      </c>
      <c r="E2265">
        <v>1</v>
      </c>
      <c r="F2265" t="s">
        <v>751</v>
      </c>
    </row>
    <row r="2266" spans="1:6" x14ac:dyDescent="0.25">
      <c r="A2266" t="s">
        <v>1522</v>
      </c>
      <c r="B2266" t="s">
        <v>624</v>
      </c>
      <c r="C2266" t="s">
        <v>625</v>
      </c>
      <c r="D2266" t="str">
        <f>HYPERLINK("http://service.sap.com/sap/support/notes/1633916","1633916")</f>
        <v>1633916</v>
      </c>
      <c r="E2266">
        <v>4</v>
      </c>
      <c r="F2266" t="s">
        <v>608</v>
      </c>
    </row>
    <row r="2267" spans="1:6" x14ac:dyDescent="0.25">
      <c r="A2267" t="s">
        <v>1522</v>
      </c>
      <c r="B2267" t="s">
        <v>624</v>
      </c>
      <c r="C2267" t="s">
        <v>625</v>
      </c>
      <c r="D2267" t="str">
        <f>HYPERLINK("http://service.sap.com/sap/support/notes/1634539","1634539")</f>
        <v>1634539</v>
      </c>
      <c r="E2267">
        <v>1</v>
      </c>
      <c r="F2267" t="s">
        <v>608</v>
      </c>
    </row>
    <row r="2268" spans="1:6" x14ac:dyDescent="0.25">
      <c r="A2268" t="s">
        <v>1522</v>
      </c>
      <c r="B2268" t="s">
        <v>624</v>
      </c>
      <c r="C2268" t="s">
        <v>625</v>
      </c>
      <c r="D2268" t="str">
        <f>HYPERLINK("http://service.sap.com/sap/support/notes/1636100","1636100")</f>
        <v>1636100</v>
      </c>
      <c r="E2268">
        <v>1</v>
      </c>
      <c r="F2268" t="s">
        <v>608</v>
      </c>
    </row>
    <row r="2269" spans="1:6" x14ac:dyDescent="0.25">
      <c r="A2269" t="s">
        <v>1522</v>
      </c>
      <c r="B2269" t="s">
        <v>624</v>
      </c>
      <c r="C2269" t="s">
        <v>625</v>
      </c>
      <c r="D2269" t="str">
        <f>HYPERLINK("http://service.sap.com/sap/support/notes/1652479","1652479")</f>
        <v>1652479</v>
      </c>
      <c r="E2269">
        <v>1</v>
      </c>
      <c r="F2269" t="s">
        <v>751</v>
      </c>
    </row>
    <row r="2270" spans="1:6" x14ac:dyDescent="0.25">
      <c r="A2270" t="s">
        <v>1522</v>
      </c>
      <c r="B2270" t="s">
        <v>624</v>
      </c>
      <c r="C2270" t="s">
        <v>625</v>
      </c>
      <c r="D2270" t="str">
        <f>HYPERLINK("http://service.sap.com/sap/support/notes/1654404","1654404")</f>
        <v>1654404</v>
      </c>
      <c r="E2270">
        <v>1</v>
      </c>
      <c r="F2270" t="s">
        <v>608</v>
      </c>
    </row>
    <row r="2271" spans="1:6" x14ac:dyDescent="0.25">
      <c r="A2271" t="s">
        <v>1522</v>
      </c>
      <c r="B2271" t="s">
        <v>624</v>
      </c>
      <c r="C2271" t="s">
        <v>625</v>
      </c>
      <c r="D2271" t="str">
        <f>HYPERLINK("http://service.sap.com/sap/support/notes/1668234","1668234")</f>
        <v>1668234</v>
      </c>
      <c r="E2271">
        <v>4</v>
      </c>
      <c r="F2271" t="s">
        <v>3172</v>
      </c>
    </row>
    <row r="2272" spans="1:6" x14ac:dyDescent="0.25">
      <c r="A2272" t="s">
        <v>1522</v>
      </c>
      <c r="B2272" t="s">
        <v>3173</v>
      </c>
      <c r="C2272" t="s">
        <v>3174</v>
      </c>
      <c r="D2272" t="str">
        <f>HYPERLINK("http://service.sap.com/sap/support/notes/1661262","1661262")</f>
        <v>1661262</v>
      </c>
      <c r="E2272">
        <v>2</v>
      </c>
      <c r="F2272" t="s">
        <v>3175</v>
      </c>
    </row>
    <row r="2273" spans="1:6" x14ac:dyDescent="0.25">
      <c r="A2273" t="s">
        <v>1522</v>
      </c>
      <c r="B2273" t="s">
        <v>3176</v>
      </c>
      <c r="C2273" t="s">
        <v>3177</v>
      </c>
      <c r="D2273" t="str">
        <f>HYPERLINK("http://service.sap.com/sap/support/notes/1632979","1632979")</f>
        <v>1632979</v>
      </c>
      <c r="E2273">
        <v>1</v>
      </c>
      <c r="F2273" t="s">
        <v>3178</v>
      </c>
    </row>
    <row r="2274" spans="1:6" x14ac:dyDescent="0.25">
      <c r="A2274" t="s">
        <v>1522</v>
      </c>
      <c r="B2274" t="s">
        <v>3179</v>
      </c>
      <c r="C2274" t="s">
        <v>3180</v>
      </c>
    </row>
    <row r="2275" spans="1:6" x14ac:dyDescent="0.25">
      <c r="A2275" t="s">
        <v>1522</v>
      </c>
      <c r="B2275" t="s">
        <v>3181</v>
      </c>
      <c r="C2275" t="s">
        <v>3182</v>
      </c>
      <c r="D2275" t="str">
        <f>HYPERLINK("http://service.sap.com/sap/support/notes/1640609","1640609")</f>
        <v>1640609</v>
      </c>
      <c r="E2275">
        <v>1</v>
      </c>
      <c r="F2275" t="s">
        <v>3183</v>
      </c>
    </row>
    <row r="2276" spans="1:6" x14ac:dyDescent="0.25">
      <c r="A2276" t="s">
        <v>1522</v>
      </c>
      <c r="B2276" t="s">
        <v>629</v>
      </c>
      <c r="C2276" t="s">
        <v>630</v>
      </c>
    </row>
    <row r="2277" spans="1:6" x14ac:dyDescent="0.25">
      <c r="A2277" t="s">
        <v>1522</v>
      </c>
      <c r="B2277" t="s">
        <v>631</v>
      </c>
      <c r="C2277" t="s">
        <v>632</v>
      </c>
    </row>
    <row r="2278" spans="1:6" x14ac:dyDescent="0.25">
      <c r="A2278" t="s">
        <v>1522</v>
      </c>
      <c r="B2278" t="s">
        <v>633</v>
      </c>
      <c r="C2278" t="s">
        <v>634</v>
      </c>
      <c r="D2278" t="str">
        <f>HYPERLINK("http://service.sap.com/sap/support/notes/1608178","1608178")</f>
        <v>1608178</v>
      </c>
      <c r="E2278">
        <v>2</v>
      </c>
      <c r="F2278" t="s">
        <v>3184</v>
      </c>
    </row>
    <row r="2279" spans="1:6" x14ac:dyDescent="0.25">
      <c r="A2279" t="s">
        <v>1522</v>
      </c>
      <c r="B2279" t="s">
        <v>633</v>
      </c>
      <c r="C2279" t="s">
        <v>634</v>
      </c>
      <c r="D2279" t="str">
        <f>HYPERLINK("http://service.sap.com/sap/support/notes/1611246","1611246")</f>
        <v>1611246</v>
      </c>
      <c r="E2279">
        <v>2</v>
      </c>
      <c r="F2279" t="s">
        <v>3185</v>
      </c>
    </row>
    <row r="2280" spans="1:6" x14ac:dyDescent="0.25">
      <c r="A2280" t="s">
        <v>1522</v>
      </c>
      <c r="B2280" t="s">
        <v>633</v>
      </c>
      <c r="C2280" t="s">
        <v>634</v>
      </c>
      <c r="D2280" t="str">
        <f>HYPERLINK("http://service.sap.com/sap/support/notes/1623187","1623187")</f>
        <v>1623187</v>
      </c>
      <c r="E2280">
        <v>2</v>
      </c>
      <c r="F2280" t="s">
        <v>3186</v>
      </c>
    </row>
    <row r="2281" spans="1:6" x14ac:dyDescent="0.25">
      <c r="A2281" t="s">
        <v>1522</v>
      </c>
      <c r="B2281" t="s">
        <v>633</v>
      </c>
      <c r="C2281" t="s">
        <v>634</v>
      </c>
      <c r="D2281" t="str">
        <f>HYPERLINK("http://service.sap.com/sap/support/notes/1632965","1632965")</f>
        <v>1632965</v>
      </c>
      <c r="E2281">
        <v>2</v>
      </c>
      <c r="F2281" t="s">
        <v>3187</v>
      </c>
    </row>
    <row r="2282" spans="1:6" x14ac:dyDescent="0.25">
      <c r="A2282" t="s">
        <v>1522</v>
      </c>
      <c r="B2282" t="s">
        <v>633</v>
      </c>
      <c r="C2282" t="s">
        <v>634</v>
      </c>
      <c r="D2282" t="str">
        <f>HYPERLINK("http://service.sap.com/sap/support/notes/1639080","1639080")</f>
        <v>1639080</v>
      </c>
      <c r="E2282">
        <v>2</v>
      </c>
      <c r="F2282" t="s">
        <v>3188</v>
      </c>
    </row>
    <row r="2283" spans="1:6" x14ac:dyDescent="0.25">
      <c r="A2283" t="s">
        <v>1522</v>
      </c>
      <c r="B2283" t="s">
        <v>633</v>
      </c>
      <c r="C2283" t="s">
        <v>634</v>
      </c>
      <c r="D2283" t="str">
        <f>HYPERLINK("http://service.sap.com/sap/support/notes/1643291","1643291")</f>
        <v>1643291</v>
      </c>
      <c r="E2283">
        <v>2</v>
      </c>
      <c r="F2283" t="s">
        <v>3189</v>
      </c>
    </row>
    <row r="2284" spans="1:6" x14ac:dyDescent="0.25">
      <c r="A2284" t="s">
        <v>1522</v>
      </c>
      <c r="B2284" t="s">
        <v>633</v>
      </c>
      <c r="C2284" t="s">
        <v>634</v>
      </c>
      <c r="D2284" t="str">
        <f>HYPERLINK("http://service.sap.com/sap/support/notes/1644174","1644174")</f>
        <v>1644174</v>
      </c>
      <c r="E2284">
        <v>4</v>
      </c>
      <c r="F2284" t="s">
        <v>3190</v>
      </c>
    </row>
    <row r="2285" spans="1:6" x14ac:dyDescent="0.25">
      <c r="A2285" t="s">
        <v>1522</v>
      </c>
      <c r="B2285" t="s">
        <v>633</v>
      </c>
      <c r="C2285" t="s">
        <v>634</v>
      </c>
      <c r="D2285" t="str">
        <f>HYPERLINK("http://service.sap.com/sap/support/notes/1656402","1656402")</f>
        <v>1656402</v>
      </c>
      <c r="E2285">
        <v>3</v>
      </c>
      <c r="F2285" t="s">
        <v>3191</v>
      </c>
    </row>
    <row r="2286" spans="1:6" x14ac:dyDescent="0.25">
      <c r="A2286" t="s">
        <v>1522</v>
      </c>
      <c r="B2286" t="s">
        <v>633</v>
      </c>
      <c r="C2286" t="s">
        <v>634</v>
      </c>
      <c r="D2286" t="str">
        <f>HYPERLINK("http://service.sap.com/sap/support/notes/1659042","1659042")</f>
        <v>1659042</v>
      </c>
      <c r="E2286">
        <v>2</v>
      </c>
      <c r="F2286" t="s">
        <v>3192</v>
      </c>
    </row>
    <row r="2287" spans="1:6" x14ac:dyDescent="0.25">
      <c r="A2287" t="s">
        <v>1522</v>
      </c>
      <c r="B2287" t="s">
        <v>633</v>
      </c>
      <c r="C2287" t="s">
        <v>634</v>
      </c>
      <c r="D2287" t="str">
        <f>HYPERLINK("http://service.sap.com/sap/support/notes/1666055","1666055")</f>
        <v>1666055</v>
      </c>
      <c r="E2287">
        <v>2</v>
      </c>
      <c r="F2287" t="s">
        <v>3193</v>
      </c>
    </row>
    <row r="2288" spans="1:6" x14ac:dyDescent="0.25">
      <c r="A2288" t="s">
        <v>1522</v>
      </c>
      <c r="B2288" t="s">
        <v>633</v>
      </c>
      <c r="C2288" t="s">
        <v>634</v>
      </c>
      <c r="D2288" t="str">
        <f>HYPERLINK("http://service.sap.com/sap/support/notes/1667885","1667885")</f>
        <v>1667885</v>
      </c>
      <c r="E2288">
        <v>2</v>
      </c>
      <c r="F2288" t="s">
        <v>3194</v>
      </c>
    </row>
    <row r="2289" spans="1:6" x14ac:dyDescent="0.25">
      <c r="A2289" t="s">
        <v>1522</v>
      </c>
      <c r="B2289" t="s">
        <v>633</v>
      </c>
      <c r="C2289" t="s">
        <v>634</v>
      </c>
      <c r="D2289" t="str">
        <f>HYPERLINK("http://service.sap.com/sap/support/notes/1667974","1667974")</f>
        <v>1667974</v>
      </c>
      <c r="E2289">
        <v>2</v>
      </c>
      <c r="F2289" t="s">
        <v>3195</v>
      </c>
    </row>
    <row r="2290" spans="1:6" x14ac:dyDescent="0.25">
      <c r="A2290" t="s">
        <v>1522</v>
      </c>
      <c r="B2290" t="s">
        <v>633</v>
      </c>
      <c r="C2290" t="s">
        <v>634</v>
      </c>
      <c r="D2290" t="str">
        <f>HYPERLINK("http://service.sap.com/sap/support/notes/1670318","1670318")</f>
        <v>1670318</v>
      </c>
      <c r="E2290">
        <v>2</v>
      </c>
      <c r="F2290" t="s">
        <v>3196</v>
      </c>
    </row>
    <row r="2291" spans="1:6" x14ac:dyDescent="0.25">
      <c r="A2291" t="s">
        <v>1522</v>
      </c>
      <c r="B2291" t="s">
        <v>3197</v>
      </c>
      <c r="C2291" t="s">
        <v>3198</v>
      </c>
      <c r="D2291" t="str">
        <f>HYPERLINK("http://service.sap.com/sap/support/notes/1615753","1615753")</f>
        <v>1615753</v>
      </c>
      <c r="E2291">
        <v>3</v>
      </c>
      <c r="F2291" t="s">
        <v>3199</v>
      </c>
    </row>
    <row r="2292" spans="1:6" x14ac:dyDescent="0.25">
      <c r="A2292" t="s">
        <v>1522</v>
      </c>
      <c r="B2292" t="s">
        <v>3200</v>
      </c>
      <c r="C2292" t="s">
        <v>3201</v>
      </c>
    </row>
    <row r="2293" spans="1:6" x14ac:dyDescent="0.25">
      <c r="A2293" t="s">
        <v>1522</v>
      </c>
      <c r="B2293" t="s">
        <v>3202</v>
      </c>
      <c r="C2293" t="s">
        <v>3203</v>
      </c>
      <c r="D2293" t="str">
        <f>HYPERLINK("http://service.sap.com/sap/support/notes/1623879","1623879")</f>
        <v>1623879</v>
      </c>
      <c r="E2293">
        <v>4</v>
      </c>
      <c r="F2293" t="s">
        <v>3204</v>
      </c>
    </row>
    <row r="2294" spans="1:6" x14ac:dyDescent="0.25">
      <c r="A2294" t="s">
        <v>1522</v>
      </c>
      <c r="B2294" t="s">
        <v>3202</v>
      </c>
      <c r="C2294" t="s">
        <v>3203</v>
      </c>
      <c r="D2294" t="str">
        <f>HYPERLINK("http://service.sap.com/sap/support/notes/1634862","1634862")</f>
        <v>1634862</v>
      </c>
      <c r="E2294">
        <v>2</v>
      </c>
      <c r="F2294" t="s">
        <v>3205</v>
      </c>
    </row>
    <row r="2295" spans="1:6" x14ac:dyDescent="0.25">
      <c r="A2295" t="s">
        <v>1522</v>
      </c>
      <c r="B2295" t="s">
        <v>3202</v>
      </c>
      <c r="C2295" t="s">
        <v>3203</v>
      </c>
      <c r="D2295" t="str">
        <f>HYPERLINK("http://service.sap.com/sap/support/notes/1640913","1640913")</f>
        <v>1640913</v>
      </c>
      <c r="E2295">
        <v>3</v>
      </c>
      <c r="F2295" t="s">
        <v>3206</v>
      </c>
    </row>
    <row r="2296" spans="1:6" x14ac:dyDescent="0.25">
      <c r="A2296" t="s">
        <v>1522</v>
      </c>
      <c r="B2296" t="s">
        <v>3202</v>
      </c>
      <c r="C2296" t="s">
        <v>3203</v>
      </c>
      <c r="D2296" t="str">
        <f>HYPERLINK("http://service.sap.com/sap/support/notes/1641386","1641386")</f>
        <v>1641386</v>
      </c>
      <c r="E2296">
        <v>3</v>
      </c>
      <c r="F2296" t="s">
        <v>3207</v>
      </c>
    </row>
    <row r="2297" spans="1:6" x14ac:dyDescent="0.25">
      <c r="A2297" t="s">
        <v>1522</v>
      </c>
      <c r="B2297" t="s">
        <v>639</v>
      </c>
      <c r="C2297" t="s">
        <v>640</v>
      </c>
      <c r="D2297" t="str">
        <f>HYPERLINK("http://service.sap.com/sap/support/notes/1628429","1628429")</f>
        <v>1628429</v>
      </c>
      <c r="E2297">
        <v>1</v>
      </c>
      <c r="F2297" t="s">
        <v>3208</v>
      </c>
    </row>
    <row r="2298" spans="1:6" x14ac:dyDescent="0.25">
      <c r="A2298" t="s">
        <v>1522</v>
      </c>
      <c r="B2298" t="s">
        <v>639</v>
      </c>
      <c r="C2298" t="s">
        <v>640</v>
      </c>
      <c r="D2298" t="str">
        <f>HYPERLINK("http://service.sap.com/sap/support/notes/1630040","1630040")</f>
        <v>1630040</v>
      </c>
      <c r="E2298">
        <v>1</v>
      </c>
      <c r="F2298" t="s">
        <v>3209</v>
      </c>
    </row>
    <row r="2299" spans="1:6" x14ac:dyDescent="0.25">
      <c r="A2299" t="s">
        <v>1522</v>
      </c>
      <c r="B2299" t="s">
        <v>639</v>
      </c>
      <c r="C2299" t="s">
        <v>640</v>
      </c>
      <c r="D2299" t="str">
        <f>HYPERLINK("http://service.sap.com/sap/support/notes/1644062","1644062")</f>
        <v>1644062</v>
      </c>
      <c r="E2299">
        <v>2</v>
      </c>
      <c r="F2299" t="s">
        <v>3210</v>
      </c>
    </row>
    <row r="2300" spans="1:6" x14ac:dyDescent="0.25">
      <c r="A2300" t="s">
        <v>1522</v>
      </c>
      <c r="B2300" t="s">
        <v>639</v>
      </c>
      <c r="C2300" t="s">
        <v>640</v>
      </c>
      <c r="D2300" t="str">
        <f>HYPERLINK("http://service.sap.com/sap/support/notes/1648739","1648739")</f>
        <v>1648739</v>
      </c>
      <c r="E2300">
        <v>2</v>
      </c>
      <c r="F2300" t="s">
        <v>3211</v>
      </c>
    </row>
    <row r="2301" spans="1:6" x14ac:dyDescent="0.25">
      <c r="A2301" t="s">
        <v>1522</v>
      </c>
      <c r="B2301" t="s">
        <v>639</v>
      </c>
      <c r="C2301" t="s">
        <v>640</v>
      </c>
      <c r="D2301" t="str">
        <f>HYPERLINK("http://service.sap.com/sap/support/notes/1649393","1649393")</f>
        <v>1649393</v>
      </c>
      <c r="E2301">
        <v>1</v>
      </c>
      <c r="F2301" t="s">
        <v>3212</v>
      </c>
    </row>
    <row r="2302" spans="1:6" x14ac:dyDescent="0.25">
      <c r="A2302" t="s">
        <v>1522</v>
      </c>
      <c r="B2302" t="s">
        <v>639</v>
      </c>
      <c r="C2302" t="s">
        <v>640</v>
      </c>
      <c r="D2302" t="str">
        <f>HYPERLINK("http://service.sap.com/sap/support/notes/1671275","1671275")</f>
        <v>1671275</v>
      </c>
      <c r="E2302">
        <v>1</v>
      </c>
      <c r="F2302" t="s">
        <v>3213</v>
      </c>
    </row>
    <row r="2303" spans="1:6" x14ac:dyDescent="0.25">
      <c r="A2303" t="s">
        <v>1522</v>
      </c>
      <c r="B2303" t="s">
        <v>642</v>
      </c>
      <c r="C2303" t="s">
        <v>643</v>
      </c>
    </row>
    <row r="2304" spans="1:6" x14ac:dyDescent="0.25">
      <c r="A2304" t="s">
        <v>1522</v>
      </c>
      <c r="B2304" t="s">
        <v>3214</v>
      </c>
      <c r="C2304" t="s">
        <v>3215</v>
      </c>
      <c r="D2304" t="str">
        <f>HYPERLINK("http://service.sap.com/sap/support/notes/1559786","1559786")</f>
        <v>1559786</v>
      </c>
      <c r="E2304">
        <v>3</v>
      </c>
      <c r="F2304" t="s">
        <v>3216</v>
      </c>
    </row>
    <row r="2305" spans="1:6" x14ac:dyDescent="0.25">
      <c r="A2305" t="s">
        <v>1522</v>
      </c>
      <c r="B2305" t="s">
        <v>3214</v>
      </c>
      <c r="C2305" t="s">
        <v>3215</v>
      </c>
      <c r="D2305" t="str">
        <f>HYPERLINK("http://service.sap.com/sap/support/notes/1627662","1627662")</f>
        <v>1627662</v>
      </c>
      <c r="E2305">
        <v>2</v>
      </c>
      <c r="F2305" t="s">
        <v>3217</v>
      </c>
    </row>
    <row r="2306" spans="1:6" x14ac:dyDescent="0.25">
      <c r="A2306" t="s">
        <v>1522</v>
      </c>
      <c r="B2306" t="s">
        <v>3214</v>
      </c>
      <c r="C2306" t="s">
        <v>3215</v>
      </c>
      <c r="D2306" t="str">
        <f>HYPERLINK("http://service.sap.com/sap/support/notes/1633864","1633864")</f>
        <v>1633864</v>
      </c>
      <c r="E2306">
        <v>2</v>
      </c>
      <c r="F2306" t="s">
        <v>3218</v>
      </c>
    </row>
    <row r="2307" spans="1:6" x14ac:dyDescent="0.25">
      <c r="A2307" t="s">
        <v>1522</v>
      </c>
      <c r="B2307" t="s">
        <v>644</v>
      </c>
      <c r="C2307" t="s">
        <v>645</v>
      </c>
      <c r="D2307" t="str">
        <f>HYPERLINK("http://service.sap.com/sap/support/notes/1658801","1658801")</f>
        <v>1658801</v>
      </c>
      <c r="E2307">
        <v>2</v>
      </c>
      <c r="F2307" t="s">
        <v>3219</v>
      </c>
    </row>
    <row r="2308" spans="1:6" x14ac:dyDescent="0.25">
      <c r="A2308" t="s">
        <v>1522</v>
      </c>
      <c r="B2308" t="s">
        <v>647</v>
      </c>
      <c r="C2308" t="s">
        <v>648</v>
      </c>
      <c r="D2308" t="str">
        <f>HYPERLINK("http://service.sap.com/sap/support/notes/1615541","1615541")</f>
        <v>1615541</v>
      </c>
      <c r="E2308">
        <v>4</v>
      </c>
      <c r="F2308" t="s">
        <v>3220</v>
      </c>
    </row>
    <row r="2309" spans="1:6" x14ac:dyDescent="0.25">
      <c r="A2309" t="s">
        <v>1522</v>
      </c>
      <c r="B2309" t="s">
        <v>3221</v>
      </c>
      <c r="C2309" t="s">
        <v>3222</v>
      </c>
    </row>
    <row r="2310" spans="1:6" x14ac:dyDescent="0.25">
      <c r="A2310" t="s">
        <v>1522</v>
      </c>
      <c r="B2310" t="s">
        <v>3223</v>
      </c>
      <c r="C2310" t="s">
        <v>602</v>
      </c>
      <c r="D2310" t="str">
        <f>HYPERLINK("http://service.sap.com/sap/support/notes/1624720","1624720")</f>
        <v>1624720</v>
      </c>
      <c r="E2310">
        <v>1</v>
      </c>
      <c r="F2310" t="s">
        <v>3224</v>
      </c>
    </row>
    <row r="2311" spans="1:6" x14ac:dyDescent="0.25">
      <c r="A2311" t="s">
        <v>1522</v>
      </c>
      <c r="B2311" t="s">
        <v>3225</v>
      </c>
      <c r="C2311" t="s">
        <v>143</v>
      </c>
      <c r="D2311" t="str">
        <f>HYPERLINK("http://service.sap.com/sap/support/notes/782577","782577")</f>
        <v>782577</v>
      </c>
      <c r="E2311">
        <v>2</v>
      </c>
      <c r="F2311" t="s">
        <v>3226</v>
      </c>
    </row>
    <row r="2312" spans="1:6" x14ac:dyDescent="0.25">
      <c r="A2312" t="s">
        <v>1522</v>
      </c>
      <c r="B2312" t="s">
        <v>3225</v>
      </c>
      <c r="C2312" t="s">
        <v>143</v>
      </c>
      <c r="D2312" t="str">
        <f>HYPERLINK("http://service.sap.com/sap/support/notes/1629099","1629099")</f>
        <v>1629099</v>
      </c>
      <c r="E2312">
        <v>1</v>
      </c>
      <c r="F2312" t="s">
        <v>3227</v>
      </c>
    </row>
    <row r="2313" spans="1:6" x14ac:dyDescent="0.25">
      <c r="A2313" t="s">
        <v>1522</v>
      </c>
      <c r="B2313" t="s">
        <v>650</v>
      </c>
      <c r="C2313" t="s">
        <v>651</v>
      </c>
    </row>
    <row r="2314" spans="1:6" x14ac:dyDescent="0.25">
      <c r="A2314" t="s">
        <v>1522</v>
      </c>
      <c r="B2314" t="s">
        <v>3228</v>
      </c>
      <c r="C2314" t="s">
        <v>3229</v>
      </c>
      <c r="D2314" t="str">
        <f>HYPERLINK("http://service.sap.com/sap/support/notes/1636523","1636523")</f>
        <v>1636523</v>
      </c>
      <c r="E2314">
        <v>1</v>
      </c>
      <c r="F2314" t="s">
        <v>3230</v>
      </c>
    </row>
    <row r="2315" spans="1:6" x14ac:dyDescent="0.25">
      <c r="A2315" t="s">
        <v>1522</v>
      </c>
      <c r="B2315" t="s">
        <v>3228</v>
      </c>
      <c r="C2315" t="s">
        <v>3229</v>
      </c>
      <c r="D2315" t="str">
        <f>HYPERLINK("http://service.sap.com/sap/support/notes/1652318","1652318")</f>
        <v>1652318</v>
      </c>
      <c r="E2315">
        <v>1</v>
      </c>
      <c r="F2315" t="s">
        <v>3231</v>
      </c>
    </row>
    <row r="2316" spans="1:6" x14ac:dyDescent="0.25">
      <c r="A2316" t="s">
        <v>1522</v>
      </c>
      <c r="B2316" t="s">
        <v>652</v>
      </c>
      <c r="C2316" t="s">
        <v>653</v>
      </c>
      <c r="D2316" t="str">
        <f>HYPERLINK("http://service.sap.com/sap/support/notes/1665707","1665707")</f>
        <v>1665707</v>
      </c>
      <c r="E2316">
        <v>1</v>
      </c>
      <c r="F2316" t="s">
        <v>3232</v>
      </c>
    </row>
    <row r="2317" spans="1:6" x14ac:dyDescent="0.25">
      <c r="A2317" t="s">
        <v>1522</v>
      </c>
      <c r="B2317" t="s">
        <v>655</v>
      </c>
      <c r="C2317" t="s">
        <v>656</v>
      </c>
    </row>
    <row r="2318" spans="1:6" x14ac:dyDescent="0.25">
      <c r="A2318" t="s">
        <v>1522</v>
      </c>
      <c r="B2318" t="s">
        <v>3233</v>
      </c>
      <c r="C2318" t="s">
        <v>3234</v>
      </c>
      <c r="D2318" t="str">
        <f>HYPERLINK("http://service.sap.com/sap/support/notes/1666330","1666330")</f>
        <v>1666330</v>
      </c>
      <c r="E2318">
        <v>1</v>
      </c>
      <c r="F2318" t="s">
        <v>3235</v>
      </c>
    </row>
    <row r="2319" spans="1:6" x14ac:dyDescent="0.25">
      <c r="A2319" t="s">
        <v>1522</v>
      </c>
      <c r="B2319" t="s">
        <v>3236</v>
      </c>
      <c r="C2319" t="s">
        <v>3237</v>
      </c>
      <c r="D2319" t="str">
        <f>HYPERLINK("http://service.sap.com/sap/support/notes/1598240","1598240")</f>
        <v>1598240</v>
      </c>
      <c r="E2319">
        <v>1</v>
      </c>
      <c r="F2319" t="s">
        <v>3238</v>
      </c>
    </row>
    <row r="2320" spans="1:6" x14ac:dyDescent="0.25">
      <c r="A2320" t="s">
        <v>1522</v>
      </c>
      <c r="B2320" t="s">
        <v>3236</v>
      </c>
      <c r="C2320" t="s">
        <v>3237</v>
      </c>
      <c r="D2320" t="str">
        <f>HYPERLINK("http://service.sap.com/sap/support/notes/1647633","1647633")</f>
        <v>1647633</v>
      </c>
      <c r="E2320">
        <v>1</v>
      </c>
      <c r="F2320" t="s">
        <v>3239</v>
      </c>
    </row>
    <row r="2321" spans="1:6" x14ac:dyDescent="0.25">
      <c r="A2321" t="s">
        <v>1522</v>
      </c>
      <c r="B2321" t="s">
        <v>3236</v>
      </c>
      <c r="C2321" t="s">
        <v>3237</v>
      </c>
      <c r="D2321" t="str">
        <f>HYPERLINK("http://service.sap.com/sap/support/notes/1647821","1647821")</f>
        <v>1647821</v>
      </c>
      <c r="E2321">
        <v>1</v>
      </c>
      <c r="F2321" t="s">
        <v>3240</v>
      </c>
    </row>
    <row r="2322" spans="1:6" x14ac:dyDescent="0.25">
      <c r="A2322" t="s">
        <v>1522</v>
      </c>
      <c r="B2322" t="s">
        <v>3241</v>
      </c>
      <c r="C2322" t="s">
        <v>3242</v>
      </c>
      <c r="D2322" t="str">
        <f>HYPERLINK("http://service.sap.com/sap/support/notes/1625689","1625689")</f>
        <v>1625689</v>
      </c>
      <c r="E2322">
        <v>2</v>
      </c>
      <c r="F2322" t="s">
        <v>3243</v>
      </c>
    </row>
    <row r="2323" spans="1:6" x14ac:dyDescent="0.25">
      <c r="A2323" t="s">
        <v>1522</v>
      </c>
      <c r="B2323" t="s">
        <v>657</v>
      </c>
      <c r="C2323" t="s">
        <v>3244</v>
      </c>
      <c r="D2323" t="str">
        <f>HYPERLINK("http://service.sap.com/sap/support/notes/1658880","1658880")</f>
        <v>1658880</v>
      </c>
      <c r="E2323">
        <v>2</v>
      </c>
      <c r="F2323" t="s">
        <v>3245</v>
      </c>
    </row>
    <row r="2324" spans="1:6" x14ac:dyDescent="0.25">
      <c r="A2324" t="s">
        <v>1522</v>
      </c>
      <c r="B2324" t="s">
        <v>657</v>
      </c>
      <c r="C2324" t="s">
        <v>3244</v>
      </c>
      <c r="D2324" t="str">
        <f>HYPERLINK("http://service.sap.com/sap/support/notes/1661409","1661409")</f>
        <v>1661409</v>
      </c>
      <c r="E2324">
        <v>1</v>
      </c>
      <c r="F2324" t="s">
        <v>3246</v>
      </c>
    </row>
    <row r="2325" spans="1:6" x14ac:dyDescent="0.25">
      <c r="A2325" t="s">
        <v>1522</v>
      </c>
      <c r="B2325" t="s">
        <v>657</v>
      </c>
      <c r="C2325" t="s">
        <v>3244</v>
      </c>
      <c r="D2325" t="str">
        <f>HYPERLINK("http://service.sap.com/sap/support/notes/1665069","1665069")</f>
        <v>1665069</v>
      </c>
      <c r="E2325">
        <v>1</v>
      </c>
      <c r="F2325" t="s">
        <v>3247</v>
      </c>
    </row>
    <row r="2326" spans="1:6" x14ac:dyDescent="0.25">
      <c r="A2326" t="s">
        <v>1522</v>
      </c>
      <c r="B2326" t="s">
        <v>659</v>
      </c>
      <c r="C2326" t="s">
        <v>660</v>
      </c>
      <c r="D2326" t="str">
        <f>HYPERLINK("http://service.sap.com/sap/support/notes/1614770","1614770")</f>
        <v>1614770</v>
      </c>
      <c r="E2326">
        <v>1</v>
      </c>
      <c r="F2326" t="s">
        <v>3248</v>
      </c>
    </row>
    <row r="2327" spans="1:6" x14ac:dyDescent="0.25">
      <c r="A2327" t="s">
        <v>1522</v>
      </c>
      <c r="B2327" t="s">
        <v>659</v>
      </c>
      <c r="C2327" t="s">
        <v>660</v>
      </c>
      <c r="D2327" t="str">
        <f>HYPERLINK("http://service.sap.com/sap/support/notes/1626768","1626768")</f>
        <v>1626768</v>
      </c>
      <c r="E2327">
        <v>2</v>
      </c>
      <c r="F2327" t="s">
        <v>3249</v>
      </c>
    </row>
    <row r="2328" spans="1:6" x14ac:dyDescent="0.25">
      <c r="A2328" t="s">
        <v>1522</v>
      </c>
      <c r="B2328" t="s">
        <v>659</v>
      </c>
      <c r="C2328" t="s">
        <v>660</v>
      </c>
      <c r="D2328" t="str">
        <f>HYPERLINK("http://service.sap.com/sap/support/notes/1634714","1634714")</f>
        <v>1634714</v>
      </c>
      <c r="E2328">
        <v>1</v>
      </c>
      <c r="F2328" t="s">
        <v>3250</v>
      </c>
    </row>
    <row r="2329" spans="1:6" x14ac:dyDescent="0.25">
      <c r="A2329" t="s">
        <v>1522</v>
      </c>
      <c r="B2329" t="s">
        <v>659</v>
      </c>
      <c r="C2329" t="s">
        <v>660</v>
      </c>
      <c r="D2329" t="str">
        <f>HYPERLINK("http://service.sap.com/sap/support/notes/1654081","1654081")</f>
        <v>1654081</v>
      </c>
      <c r="E2329">
        <v>2</v>
      </c>
      <c r="F2329" t="s">
        <v>3251</v>
      </c>
    </row>
    <row r="2330" spans="1:6" x14ac:dyDescent="0.25">
      <c r="A2330" t="s">
        <v>1522</v>
      </c>
      <c r="B2330" t="s">
        <v>3252</v>
      </c>
      <c r="C2330" t="s">
        <v>3253</v>
      </c>
      <c r="D2330" t="str">
        <f>HYPERLINK("http://service.sap.com/sap/support/notes/1604812","1604812")</f>
        <v>1604812</v>
      </c>
      <c r="E2330">
        <v>3</v>
      </c>
      <c r="F2330" t="s">
        <v>3254</v>
      </c>
    </row>
    <row r="2331" spans="1:6" x14ac:dyDescent="0.25">
      <c r="A2331" t="s">
        <v>1522</v>
      </c>
      <c r="B2331" t="s">
        <v>3252</v>
      </c>
      <c r="C2331" t="s">
        <v>3253</v>
      </c>
      <c r="D2331" t="str">
        <f>HYPERLINK("http://service.sap.com/sap/support/notes/1627556","1627556")</f>
        <v>1627556</v>
      </c>
      <c r="E2331">
        <v>2</v>
      </c>
      <c r="F2331" t="s">
        <v>3255</v>
      </c>
    </row>
    <row r="2332" spans="1:6" x14ac:dyDescent="0.25">
      <c r="A2332" t="s">
        <v>1522</v>
      </c>
      <c r="B2332" t="s">
        <v>3252</v>
      </c>
      <c r="C2332" t="s">
        <v>3253</v>
      </c>
      <c r="D2332" t="str">
        <f>HYPERLINK("http://service.sap.com/sap/support/notes/1647127","1647127")</f>
        <v>1647127</v>
      </c>
      <c r="E2332">
        <v>1</v>
      </c>
      <c r="F2332" t="s">
        <v>3256</v>
      </c>
    </row>
    <row r="2333" spans="1:6" x14ac:dyDescent="0.25">
      <c r="A2333" t="s">
        <v>1522</v>
      </c>
      <c r="B2333" t="s">
        <v>663</v>
      </c>
      <c r="C2333" t="s">
        <v>664</v>
      </c>
      <c r="D2333" t="str">
        <f>HYPERLINK("http://service.sap.com/sap/support/notes/1609447","1609447")</f>
        <v>1609447</v>
      </c>
      <c r="E2333">
        <v>1</v>
      </c>
      <c r="F2333" t="s">
        <v>3257</v>
      </c>
    </row>
    <row r="2334" spans="1:6" x14ac:dyDescent="0.25">
      <c r="A2334" t="s">
        <v>1522</v>
      </c>
      <c r="B2334" t="s">
        <v>663</v>
      </c>
      <c r="C2334" t="s">
        <v>664</v>
      </c>
      <c r="D2334" t="str">
        <f>HYPERLINK("http://service.sap.com/sap/support/notes/1620186","1620186")</f>
        <v>1620186</v>
      </c>
      <c r="E2334">
        <v>1</v>
      </c>
      <c r="F2334" t="s">
        <v>3258</v>
      </c>
    </row>
    <row r="2335" spans="1:6" x14ac:dyDescent="0.25">
      <c r="A2335" t="s">
        <v>1522</v>
      </c>
      <c r="B2335" t="s">
        <v>663</v>
      </c>
      <c r="C2335" t="s">
        <v>664</v>
      </c>
      <c r="D2335" t="str">
        <f>HYPERLINK("http://service.sap.com/sap/support/notes/1621371","1621371")</f>
        <v>1621371</v>
      </c>
      <c r="E2335">
        <v>1</v>
      </c>
      <c r="F2335" t="s">
        <v>3259</v>
      </c>
    </row>
    <row r="2336" spans="1:6" x14ac:dyDescent="0.25">
      <c r="A2336" t="s">
        <v>1522</v>
      </c>
      <c r="B2336" t="s">
        <v>663</v>
      </c>
      <c r="C2336" t="s">
        <v>664</v>
      </c>
      <c r="D2336" t="str">
        <f>HYPERLINK("http://service.sap.com/sap/support/notes/1645882","1645882")</f>
        <v>1645882</v>
      </c>
      <c r="E2336">
        <v>1</v>
      </c>
      <c r="F2336" t="s">
        <v>3260</v>
      </c>
    </row>
    <row r="2337" spans="1:6" x14ac:dyDescent="0.25">
      <c r="A2337" t="s">
        <v>1522</v>
      </c>
      <c r="B2337" t="s">
        <v>663</v>
      </c>
      <c r="C2337" t="s">
        <v>664</v>
      </c>
      <c r="D2337" t="str">
        <f>HYPERLINK("http://service.sap.com/sap/support/notes/1650458","1650458")</f>
        <v>1650458</v>
      </c>
      <c r="E2337">
        <v>1</v>
      </c>
      <c r="F2337" t="s">
        <v>3261</v>
      </c>
    </row>
    <row r="2338" spans="1:6" x14ac:dyDescent="0.25">
      <c r="A2338" t="s">
        <v>1522</v>
      </c>
      <c r="B2338" t="s">
        <v>663</v>
      </c>
      <c r="C2338" t="s">
        <v>664</v>
      </c>
      <c r="D2338" t="str">
        <f>HYPERLINK("http://service.sap.com/sap/support/notes/1650984","1650984")</f>
        <v>1650984</v>
      </c>
      <c r="E2338">
        <v>2</v>
      </c>
      <c r="F2338" t="s">
        <v>3262</v>
      </c>
    </row>
    <row r="2339" spans="1:6" x14ac:dyDescent="0.25">
      <c r="A2339" t="s">
        <v>1522</v>
      </c>
      <c r="B2339" t="s">
        <v>663</v>
      </c>
      <c r="C2339" t="s">
        <v>664</v>
      </c>
      <c r="D2339" t="str">
        <f>HYPERLINK("http://service.sap.com/sap/support/notes/1655795","1655795")</f>
        <v>1655795</v>
      </c>
      <c r="E2339">
        <v>1</v>
      </c>
      <c r="F2339" t="s">
        <v>3263</v>
      </c>
    </row>
    <row r="2340" spans="1:6" x14ac:dyDescent="0.25">
      <c r="A2340" t="s">
        <v>1522</v>
      </c>
      <c r="B2340" t="s">
        <v>663</v>
      </c>
      <c r="C2340" t="s">
        <v>664</v>
      </c>
      <c r="D2340" t="str">
        <f>HYPERLINK("http://service.sap.com/sap/support/notes/1670390","1670390")</f>
        <v>1670390</v>
      </c>
      <c r="E2340">
        <v>1</v>
      </c>
      <c r="F2340" t="s">
        <v>3264</v>
      </c>
    </row>
    <row r="2341" spans="1:6" x14ac:dyDescent="0.25">
      <c r="A2341" t="s">
        <v>1522</v>
      </c>
      <c r="B2341" t="s">
        <v>669</v>
      </c>
      <c r="C2341" t="s">
        <v>670</v>
      </c>
      <c r="D2341" t="str">
        <f>HYPERLINK("http://service.sap.com/sap/support/notes/1622099","1622099")</f>
        <v>1622099</v>
      </c>
      <c r="E2341">
        <v>1</v>
      </c>
      <c r="F2341" t="s">
        <v>3265</v>
      </c>
    </row>
    <row r="2342" spans="1:6" x14ac:dyDescent="0.25">
      <c r="A2342" t="s">
        <v>1522</v>
      </c>
      <c r="B2342" t="s">
        <v>669</v>
      </c>
      <c r="C2342" t="s">
        <v>670</v>
      </c>
      <c r="D2342" t="str">
        <f>HYPERLINK("http://service.sap.com/sap/support/notes/1671393","1671393")</f>
        <v>1671393</v>
      </c>
      <c r="E2342">
        <v>1</v>
      </c>
      <c r="F2342" t="s">
        <v>3266</v>
      </c>
    </row>
    <row r="2343" spans="1:6" x14ac:dyDescent="0.25">
      <c r="A2343" t="s">
        <v>1522</v>
      </c>
      <c r="B2343" t="s">
        <v>671</v>
      </c>
      <c r="C2343" t="s">
        <v>672</v>
      </c>
      <c r="D2343" t="str">
        <f>HYPERLINK("http://service.sap.com/sap/support/notes/759760","759760")</f>
        <v>759760</v>
      </c>
      <c r="E2343">
        <v>4</v>
      </c>
      <c r="F2343" t="s">
        <v>3267</v>
      </c>
    </row>
    <row r="2344" spans="1:6" x14ac:dyDescent="0.25">
      <c r="A2344" t="s">
        <v>1522</v>
      </c>
      <c r="B2344" t="s">
        <v>671</v>
      </c>
      <c r="C2344" t="s">
        <v>672</v>
      </c>
      <c r="D2344" t="str">
        <f>HYPERLINK("http://service.sap.com/sap/support/notes/1519960","1519960")</f>
        <v>1519960</v>
      </c>
      <c r="E2344">
        <v>3</v>
      </c>
      <c r="F2344" t="s">
        <v>3268</v>
      </c>
    </row>
    <row r="2345" spans="1:6" x14ac:dyDescent="0.25">
      <c r="A2345" t="s">
        <v>1522</v>
      </c>
      <c r="B2345" t="s">
        <v>671</v>
      </c>
      <c r="C2345" t="s">
        <v>672</v>
      </c>
      <c r="D2345" t="str">
        <f>HYPERLINK("http://service.sap.com/sap/support/notes/1615226","1615226")</f>
        <v>1615226</v>
      </c>
      <c r="E2345">
        <v>1</v>
      </c>
      <c r="F2345" t="s">
        <v>3269</v>
      </c>
    </row>
    <row r="2346" spans="1:6" x14ac:dyDescent="0.25">
      <c r="A2346" t="s">
        <v>1522</v>
      </c>
      <c r="B2346" t="s">
        <v>671</v>
      </c>
      <c r="C2346" t="s">
        <v>672</v>
      </c>
      <c r="D2346" t="str">
        <f>HYPERLINK("http://service.sap.com/sap/support/notes/1627108","1627108")</f>
        <v>1627108</v>
      </c>
      <c r="E2346">
        <v>2</v>
      </c>
      <c r="F2346" t="s">
        <v>3270</v>
      </c>
    </row>
    <row r="2347" spans="1:6" x14ac:dyDescent="0.25">
      <c r="A2347" t="s">
        <v>1522</v>
      </c>
      <c r="B2347" t="s">
        <v>671</v>
      </c>
      <c r="C2347" t="s">
        <v>672</v>
      </c>
      <c r="D2347" t="str">
        <f>HYPERLINK("http://service.sap.com/sap/support/notes/1636529","1636529")</f>
        <v>1636529</v>
      </c>
      <c r="E2347">
        <v>4</v>
      </c>
      <c r="F2347" t="s">
        <v>3271</v>
      </c>
    </row>
    <row r="2348" spans="1:6" x14ac:dyDescent="0.25">
      <c r="A2348" t="s">
        <v>1522</v>
      </c>
      <c r="B2348" t="s">
        <v>671</v>
      </c>
      <c r="C2348" t="s">
        <v>672</v>
      </c>
      <c r="D2348" t="str">
        <f>HYPERLINK("http://service.sap.com/sap/support/notes/1636578","1636578")</f>
        <v>1636578</v>
      </c>
      <c r="E2348">
        <v>3</v>
      </c>
      <c r="F2348" t="s">
        <v>3272</v>
      </c>
    </row>
    <row r="2349" spans="1:6" x14ac:dyDescent="0.25">
      <c r="A2349" t="s">
        <v>1522</v>
      </c>
      <c r="B2349" t="s">
        <v>671</v>
      </c>
      <c r="C2349" t="s">
        <v>672</v>
      </c>
      <c r="D2349" t="str">
        <f>HYPERLINK("http://service.sap.com/sap/support/notes/1639441","1639441")</f>
        <v>1639441</v>
      </c>
      <c r="E2349">
        <v>1</v>
      </c>
      <c r="F2349" t="s">
        <v>3273</v>
      </c>
    </row>
    <row r="2350" spans="1:6" x14ac:dyDescent="0.25">
      <c r="A2350" t="s">
        <v>1522</v>
      </c>
      <c r="B2350" t="s">
        <v>671</v>
      </c>
      <c r="C2350" t="s">
        <v>672</v>
      </c>
      <c r="D2350" t="str">
        <f>HYPERLINK("http://service.sap.com/sap/support/notes/1642079","1642079")</f>
        <v>1642079</v>
      </c>
      <c r="E2350">
        <v>1</v>
      </c>
      <c r="F2350" t="s">
        <v>3274</v>
      </c>
    </row>
    <row r="2351" spans="1:6" x14ac:dyDescent="0.25">
      <c r="A2351" t="s">
        <v>1522</v>
      </c>
      <c r="B2351" t="s">
        <v>671</v>
      </c>
      <c r="C2351" t="s">
        <v>672</v>
      </c>
      <c r="D2351" t="str">
        <f>HYPERLINK("http://service.sap.com/sap/support/notes/1642848","1642848")</f>
        <v>1642848</v>
      </c>
      <c r="E2351">
        <v>2</v>
      </c>
      <c r="F2351" t="s">
        <v>3275</v>
      </c>
    </row>
    <row r="2352" spans="1:6" x14ac:dyDescent="0.25">
      <c r="A2352" t="s">
        <v>1522</v>
      </c>
      <c r="B2352" t="s">
        <v>671</v>
      </c>
      <c r="C2352" t="s">
        <v>672</v>
      </c>
      <c r="D2352" t="str">
        <f>HYPERLINK("http://service.sap.com/sap/support/notes/1649182","1649182")</f>
        <v>1649182</v>
      </c>
      <c r="E2352">
        <v>1</v>
      </c>
      <c r="F2352" t="s">
        <v>3276</v>
      </c>
    </row>
    <row r="2353" spans="1:6" x14ac:dyDescent="0.25">
      <c r="A2353" t="s">
        <v>1522</v>
      </c>
      <c r="B2353" t="s">
        <v>671</v>
      </c>
      <c r="C2353" t="s">
        <v>672</v>
      </c>
      <c r="D2353" t="str">
        <f>HYPERLINK("http://service.sap.com/sap/support/notes/1650431","1650431")</f>
        <v>1650431</v>
      </c>
      <c r="E2353">
        <v>2</v>
      </c>
      <c r="F2353" t="s">
        <v>3277</v>
      </c>
    </row>
    <row r="2354" spans="1:6" x14ac:dyDescent="0.25">
      <c r="A2354" t="s">
        <v>1522</v>
      </c>
      <c r="B2354" t="s">
        <v>671</v>
      </c>
      <c r="C2354" t="s">
        <v>672</v>
      </c>
      <c r="D2354" t="str">
        <f>HYPERLINK("http://service.sap.com/sap/support/notes/1650505","1650505")</f>
        <v>1650505</v>
      </c>
      <c r="E2354">
        <v>2</v>
      </c>
      <c r="F2354" t="s">
        <v>3278</v>
      </c>
    </row>
    <row r="2355" spans="1:6" x14ac:dyDescent="0.25">
      <c r="A2355" t="s">
        <v>1522</v>
      </c>
      <c r="B2355" t="s">
        <v>671</v>
      </c>
      <c r="C2355" t="s">
        <v>672</v>
      </c>
      <c r="D2355" t="str">
        <f>HYPERLINK("http://service.sap.com/sap/support/notes/1657178","1657178")</f>
        <v>1657178</v>
      </c>
      <c r="E2355">
        <v>2</v>
      </c>
      <c r="F2355" t="s">
        <v>3279</v>
      </c>
    </row>
    <row r="2356" spans="1:6" x14ac:dyDescent="0.25">
      <c r="A2356" t="s">
        <v>1522</v>
      </c>
      <c r="B2356" t="s">
        <v>671</v>
      </c>
      <c r="C2356" t="s">
        <v>672</v>
      </c>
      <c r="D2356" t="str">
        <f>HYPERLINK("http://service.sap.com/sap/support/notes/1657693","1657693")</f>
        <v>1657693</v>
      </c>
      <c r="E2356">
        <v>2</v>
      </c>
      <c r="F2356" t="s">
        <v>3280</v>
      </c>
    </row>
    <row r="2357" spans="1:6" x14ac:dyDescent="0.25">
      <c r="A2357" t="s">
        <v>1522</v>
      </c>
      <c r="B2357" t="s">
        <v>671</v>
      </c>
      <c r="C2357" t="s">
        <v>672</v>
      </c>
      <c r="D2357" t="str">
        <f>HYPERLINK("http://service.sap.com/sap/support/notes/1662927","1662927")</f>
        <v>1662927</v>
      </c>
      <c r="E2357">
        <v>1</v>
      </c>
      <c r="F2357" t="s">
        <v>3281</v>
      </c>
    </row>
    <row r="2358" spans="1:6" x14ac:dyDescent="0.25">
      <c r="A2358" t="s">
        <v>1522</v>
      </c>
      <c r="B2358" t="s">
        <v>3282</v>
      </c>
      <c r="C2358" t="s">
        <v>3283</v>
      </c>
      <c r="D2358" t="str">
        <f>HYPERLINK("http://service.sap.com/sap/support/notes/1635576","1635576")</f>
        <v>1635576</v>
      </c>
      <c r="E2358">
        <v>1</v>
      </c>
      <c r="F2358" t="s">
        <v>3284</v>
      </c>
    </row>
    <row r="2359" spans="1:6" x14ac:dyDescent="0.25">
      <c r="A2359" t="s">
        <v>1522</v>
      </c>
      <c r="B2359" t="s">
        <v>3282</v>
      </c>
      <c r="C2359" t="s">
        <v>3283</v>
      </c>
      <c r="D2359" t="str">
        <f>HYPERLINK("http://service.sap.com/sap/support/notes/1644031","1644031")</f>
        <v>1644031</v>
      </c>
      <c r="E2359">
        <v>1</v>
      </c>
      <c r="F2359" t="s">
        <v>3285</v>
      </c>
    </row>
    <row r="2360" spans="1:6" x14ac:dyDescent="0.25">
      <c r="A2360" t="s">
        <v>1522</v>
      </c>
      <c r="B2360" t="s">
        <v>3282</v>
      </c>
      <c r="C2360" t="s">
        <v>3283</v>
      </c>
      <c r="D2360" t="str">
        <f>HYPERLINK("http://service.sap.com/sap/support/notes/1646207","1646207")</f>
        <v>1646207</v>
      </c>
      <c r="E2360">
        <v>1</v>
      </c>
      <c r="F2360" t="s">
        <v>3286</v>
      </c>
    </row>
    <row r="2361" spans="1:6" x14ac:dyDescent="0.25">
      <c r="A2361" t="s">
        <v>1522</v>
      </c>
      <c r="B2361" t="s">
        <v>3282</v>
      </c>
      <c r="C2361" t="s">
        <v>3283</v>
      </c>
      <c r="D2361" t="str">
        <f>HYPERLINK("http://service.sap.com/sap/support/notes/1661384","1661384")</f>
        <v>1661384</v>
      </c>
      <c r="E2361">
        <v>1</v>
      </c>
      <c r="F2361" t="s">
        <v>3287</v>
      </c>
    </row>
    <row r="2362" spans="1:6" x14ac:dyDescent="0.25">
      <c r="A2362" t="s">
        <v>1522</v>
      </c>
      <c r="B2362" t="s">
        <v>3288</v>
      </c>
      <c r="C2362" t="s">
        <v>3289</v>
      </c>
      <c r="D2362" t="str">
        <f>HYPERLINK("http://service.sap.com/sap/support/notes/1638809","1638809")</f>
        <v>1638809</v>
      </c>
      <c r="E2362">
        <v>1</v>
      </c>
      <c r="F2362" t="s">
        <v>3290</v>
      </c>
    </row>
    <row r="2363" spans="1:6" x14ac:dyDescent="0.25">
      <c r="A2363" t="s">
        <v>1522</v>
      </c>
      <c r="B2363" t="s">
        <v>3288</v>
      </c>
      <c r="C2363" t="s">
        <v>3289</v>
      </c>
      <c r="D2363" t="str">
        <f>HYPERLINK("http://service.sap.com/sap/support/notes/1652767","1652767")</f>
        <v>1652767</v>
      </c>
      <c r="E2363">
        <v>1</v>
      </c>
      <c r="F2363" t="s">
        <v>3291</v>
      </c>
    </row>
    <row r="2364" spans="1:6" x14ac:dyDescent="0.25">
      <c r="A2364" t="s">
        <v>1522</v>
      </c>
      <c r="B2364" t="s">
        <v>3288</v>
      </c>
      <c r="C2364" t="s">
        <v>3289</v>
      </c>
      <c r="D2364" t="str">
        <f>HYPERLINK("http://service.sap.com/sap/support/notes/1658831","1658831")</f>
        <v>1658831</v>
      </c>
      <c r="E2364">
        <v>1</v>
      </c>
      <c r="F2364" t="s">
        <v>3292</v>
      </c>
    </row>
    <row r="2365" spans="1:6" x14ac:dyDescent="0.25">
      <c r="A2365" t="s">
        <v>1522</v>
      </c>
      <c r="B2365" t="s">
        <v>3288</v>
      </c>
      <c r="C2365" t="s">
        <v>3289</v>
      </c>
      <c r="D2365" t="str">
        <f>HYPERLINK("http://service.sap.com/sap/support/notes/1662694","1662694")</f>
        <v>1662694</v>
      </c>
      <c r="E2365">
        <v>2</v>
      </c>
      <c r="F2365" t="s">
        <v>3293</v>
      </c>
    </row>
    <row r="2366" spans="1:6" x14ac:dyDescent="0.25">
      <c r="A2366" t="s">
        <v>1522</v>
      </c>
      <c r="B2366" t="s">
        <v>3294</v>
      </c>
      <c r="C2366" t="s">
        <v>3295</v>
      </c>
      <c r="D2366" t="str">
        <f>HYPERLINK("http://service.sap.com/sap/support/notes/1543128","1543128")</f>
        <v>1543128</v>
      </c>
      <c r="E2366">
        <v>1</v>
      </c>
      <c r="F2366" t="s">
        <v>3296</v>
      </c>
    </row>
    <row r="2367" spans="1:6" x14ac:dyDescent="0.25">
      <c r="A2367" t="s">
        <v>1522</v>
      </c>
      <c r="B2367" t="s">
        <v>3294</v>
      </c>
      <c r="C2367" t="s">
        <v>3295</v>
      </c>
      <c r="D2367" t="str">
        <f>HYPERLINK("http://service.sap.com/sap/support/notes/1624277","1624277")</f>
        <v>1624277</v>
      </c>
      <c r="E2367">
        <v>2</v>
      </c>
      <c r="F2367" t="s">
        <v>3297</v>
      </c>
    </row>
    <row r="2368" spans="1:6" x14ac:dyDescent="0.25">
      <c r="A2368" t="s">
        <v>1522</v>
      </c>
      <c r="B2368" t="s">
        <v>3294</v>
      </c>
      <c r="C2368" t="s">
        <v>3295</v>
      </c>
      <c r="D2368" t="str">
        <f>HYPERLINK("http://service.sap.com/sap/support/notes/1625783","1625783")</f>
        <v>1625783</v>
      </c>
      <c r="E2368">
        <v>3</v>
      </c>
      <c r="F2368" t="s">
        <v>3298</v>
      </c>
    </row>
    <row r="2369" spans="1:6" x14ac:dyDescent="0.25">
      <c r="A2369" t="s">
        <v>1522</v>
      </c>
      <c r="B2369" t="s">
        <v>3294</v>
      </c>
      <c r="C2369" t="s">
        <v>3295</v>
      </c>
      <c r="D2369" t="str">
        <f>HYPERLINK("http://service.sap.com/sap/support/notes/1626744","1626744")</f>
        <v>1626744</v>
      </c>
      <c r="E2369">
        <v>1</v>
      </c>
      <c r="F2369" t="s">
        <v>3299</v>
      </c>
    </row>
    <row r="2370" spans="1:6" x14ac:dyDescent="0.25">
      <c r="A2370" t="s">
        <v>1522</v>
      </c>
      <c r="B2370" t="s">
        <v>3294</v>
      </c>
      <c r="C2370" t="s">
        <v>3295</v>
      </c>
      <c r="D2370" t="str">
        <f>HYPERLINK("http://service.sap.com/sap/support/notes/1636294","1636294")</f>
        <v>1636294</v>
      </c>
      <c r="E2370">
        <v>1</v>
      </c>
      <c r="F2370" t="s">
        <v>3300</v>
      </c>
    </row>
    <row r="2371" spans="1:6" x14ac:dyDescent="0.25">
      <c r="A2371" t="s">
        <v>1522</v>
      </c>
      <c r="B2371" t="s">
        <v>3294</v>
      </c>
      <c r="C2371" t="s">
        <v>3295</v>
      </c>
      <c r="D2371" t="str">
        <f>HYPERLINK("http://service.sap.com/sap/support/notes/1638276","1638276")</f>
        <v>1638276</v>
      </c>
      <c r="E2371">
        <v>3</v>
      </c>
      <c r="F2371" t="s">
        <v>3301</v>
      </c>
    </row>
    <row r="2372" spans="1:6" x14ac:dyDescent="0.25">
      <c r="A2372" t="s">
        <v>1522</v>
      </c>
      <c r="B2372" t="s">
        <v>3294</v>
      </c>
      <c r="C2372" t="s">
        <v>3295</v>
      </c>
      <c r="D2372" t="str">
        <f>HYPERLINK("http://service.sap.com/sap/support/notes/1640272","1640272")</f>
        <v>1640272</v>
      </c>
      <c r="E2372">
        <v>1</v>
      </c>
      <c r="F2372" t="s">
        <v>3302</v>
      </c>
    </row>
    <row r="2373" spans="1:6" x14ac:dyDescent="0.25">
      <c r="A2373" t="s">
        <v>1522</v>
      </c>
      <c r="B2373" t="s">
        <v>3294</v>
      </c>
      <c r="C2373" t="s">
        <v>3295</v>
      </c>
      <c r="D2373" t="str">
        <f>HYPERLINK("http://service.sap.com/sap/support/notes/1641098","1641098")</f>
        <v>1641098</v>
      </c>
      <c r="E2373">
        <v>1</v>
      </c>
      <c r="F2373" t="s">
        <v>3303</v>
      </c>
    </row>
    <row r="2374" spans="1:6" x14ac:dyDescent="0.25">
      <c r="A2374" t="s">
        <v>1522</v>
      </c>
      <c r="B2374" t="s">
        <v>3294</v>
      </c>
      <c r="C2374" t="s">
        <v>3295</v>
      </c>
      <c r="D2374" t="str">
        <f>HYPERLINK("http://service.sap.com/sap/support/notes/1641359","1641359")</f>
        <v>1641359</v>
      </c>
      <c r="E2374">
        <v>1</v>
      </c>
      <c r="F2374" t="s">
        <v>3304</v>
      </c>
    </row>
    <row r="2375" spans="1:6" x14ac:dyDescent="0.25">
      <c r="A2375" t="s">
        <v>1522</v>
      </c>
      <c r="B2375" t="s">
        <v>3294</v>
      </c>
      <c r="C2375" t="s">
        <v>3295</v>
      </c>
      <c r="D2375" t="str">
        <f>HYPERLINK("http://service.sap.com/sap/support/notes/1661358","1661358")</f>
        <v>1661358</v>
      </c>
      <c r="E2375">
        <v>1</v>
      </c>
      <c r="F2375" t="s">
        <v>3305</v>
      </c>
    </row>
    <row r="2376" spans="1:6" x14ac:dyDescent="0.25">
      <c r="A2376" t="s">
        <v>1522</v>
      </c>
      <c r="B2376" t="s">
        <v>3294</v>
      </c>
      <c r="C2376" t="s">
        <v>3295</v>
      </c>
      <c r="D2376" t="str">
        <f>HYPERLINK("http://service.sap.com/sap/support/notes/1662139","1662139")</f>
        <v>1662139</v>
      </c>
      <c r="E2376">
        <v>1</v>
      </c>
      <c r="F2376" t="s">
        <v>3306</v>
      </c>
    </row>
    <row r="2377" spans="1:6" x14ac:dyDescent="0.25">
      <c r="A2377" t="s">
        <v>1522</v>
      </c>
      <c r="B2377" t="s">
        <v>3307</v>
      </c>
      <c r="C2377" t="s">
        <v>3308</v>
      </c>
      <c r="D2377" t="str">
        <f>HYPERLINK("http://service.sap.com/sap/support/notes/1646599","1646599")</f>
        <v>1646599</v>
      </c>
      <c r="E2377">
        <v>1</v>
      </c>
      <c r="F2377" t="s">
        <v>3309</v>
      </c>
    </row>
    <row r="2378" spans="1:6" x14ac:dyDescent="0.25">
      <c r="A2378" t="s">
        <v>1522</v>
      </c>
      <c r="B2378" t="s">
        <v>3307</v>
      </c>
      <c r="C2378" t="s">
        <v>3308</v>
      </c>
      <c r="D2378" t="str">
        <f>HYPERLINK("http://service.sap.com/sap/support/notes/1657205","1657205")</f>
        <v>1657205</v>
      </c>
      <c r="E2378">
        <v>1</v>
      </c>
      <c r="F2378" t="s">
        <v>3310</v>
      </c>
    </row>
    <row r="2379" spans="1:6" x14ac:dyDescent="0.25">
      <c r="A2379" t="s">
        <v>1522</v>
      </c>
      <c r="B2379" t="s">
        <v>3307</v>
      </c>
      <c r="C2379" t="s">
        <v>3308</v>
      </c>
      <c r="D2379" t="str">
        <f>HYPERLINK("http://service.sap.com/sap/support/notes/1662007","1662007")</f>
        <v>1662007</v>
      </c>
      <c r="E2379">
        <v>2</v>
      </c>
      <c r="F2379" t="s">
        <v>3311</v>
      </c>
    </row>
    <row r="2380" spans="1:6" x14ac:dyDescent="0.25">
      <c r="A2380" t="s">
        <v>1522</v>
      </c>
      <c r="B2380" t="s">
        <v>3307</v>
      </c>
      <c r="C2380" t="s">
        <v>3308</v>
      </c>
      <c r="D2380" t="str">
        <f>HYPERLINK("http://service.sap.com/sap/support/notes/1662585","1662585")</f>
        <v>1662585</v>
      </c>
      <c r="E2380">
        <v>3</v>
      </c>
      <c r="F2380" t="s">
        <v>3312</v>
      </c>
    </row>
    <row r="2381" spans="1:6" x14ac:dyDescent="0.25">
      <c r="A2381" t="s">
        <v>1522</v>
      </c>
      <c r="B2381" t="s">
        <v>681</v>
      </c>
      <c r="C2381" t="s">
        <v>682</v>
      </c>
      <c r="D2381" t="str">
        <f>HYPERLINK("http://service.sap.com/sap/support/notes/1636257","1636257")</f>
        <v>1636257</v>
      </c>
      <c r="E2381">
        <v>1</v>
      </c>
      <c r="F2381" t="s">
        <v>3313</v>
      </c>
    </row>
    <row r="2382" spans="1:6" x14ac:dyDescent="0.25">
      <c r="A2382" t="s">
        <v>1522</v>
      </c>
      <c r="B2382" t="s">
        <v>3314</v>
      </c>
      <c r="C2382" t="s">
        <v>3315</v>
      </c>
      <c r="D2382" t="str">
        <f>HYPERLINK("http://service.sap.com/sap/support/notes/1589453","1589453")</f>
        <v>1589453</v>
      </c>
      <c r="E2382">
        <v>2</v>
      </c>
      <c r="F2382" t="s">
        <v>3316</v>
      </c>
    </row>
    <row r="2383" spans="1:6" x14ac:dyDescent="0.25">
      <c r="A2383" t="s">
        <v>1522</v>
      </c>
      <c r="B2383" t="s">
        <v>3314</v>
      </c>
      <c r="C2383" t="s">
        <v>3315</v>
      </c>
      <c r="D2383" t="str">
        <f>HYPERLINK("http://service.sap.com/sap/support/notes/1601464","1601464")</f>
        <v>1601464</v>
      </c>
      <c r="E2383">
        <v>3</v>
      </c>
      <c r="F2383" t="s">
        <v>3317</v>
      </c>
    </row>
    <row r="2384" spans="1:6" x14ac:dyDescent="0.25">
      <c r="A2384" t="s">
        <v>1522</v>
      </c>
      <c r="B2384" t="s">
        <v>684</v>
      </c>
      <c r="C2384" t="s">
        <v>685</v>
      </c>
      <c r="D2384" t="str">
        <f>HYPERLINK("http://service.sap.com/sap/support/notes/1617568","1617568")</f>
        <v>1617568</v>
      </c>
      <c r="E2384">
        <v>1</v>
      </c>
      <c r="F2384" t="s">
        <v>3318</v>
      </c>
    </row>
    <row r="2385" spans="1:6" x14ac:dyDescent="0.25">
      <c r="A2385" t="s">
        <v>1522</v>
      </c>
      <c r="B2385" t="s">
        <v>684</v>
      </c>
      <c r="C2385" t="s">
        <v>685</v>
      </c>
      <c r="D2385" t="str">
        <f>HYPERLINK("http://service.sap.com/sap/support/notes/1638338","1638338")</f>
        <v>1638338</v>
      </c>
      <c r="E2385">
        <v>1</v>
      </c>
      <c r="F2385" t="s">
        <v>3319</v>
      </c>
    </row>
    <row r="2386" spans="1:6" x14ac:dyDescent="0.25">
      <c r="A2386" t="s">
        <v>1522</v>
      </c>
      <c r="B2386" t="s">
        <v>684</v>
      </c>
      <c r="C2386" t="s">
        <v>685</v>
      </c>
      <c r="D2386" t="str">
        <f>HYPERLINK("http://service.sap.com/sap/support/notes/1649565","1649565")</f>
        <v>1649565</v>
      </c>
      <c r="E2386">
        <v>1</v>
      </c>
      <c r="F2386" t="s">
        <v>3320</v>
      </c>
    </row>
    <row r="2387" spans="1:6" x14ac:dyDescent="0.25">
      <c r="A2387" t="s">
        <v>1522</v>
      </c>
      <c r="B2387" t="s">
        <v>687</v>
      </c>
      <c r="C2387" t="s">
        <v>337</v>
      </c>
      <c r="D2387" t="str">
        <f>HYPERLINK("http://service.sap.com/sap/support/notes/1629007","1629007")</f>
        <v>1629007</v>
      </c>
      <c r="E2387">
        <v>1</v>
      </c>
      <c r="F2387" t="s">
        <v>3321</v>
      </c>
    </row>
    <row r="2388" spans="1:6" x14ac:dyDescent="0.25">
      <c r="A2388" t="s">
        <v>1522</v>
      </c>
      <c r="B2388" t="s">
        <v>687</v>
      </c>
      <c r="C2388" t="s">
        <v>337</v>
      </c>
      <c r="D2388" t="str">
        <f>HYPERLINK("http://service.sap.com/sap/support/notes/1658254","1658254")</f>
        <v>1658254</v>
      </c>
      <c r="E2388">
        <v>3</v>
      </c>
      <c r="F2388" t="s">
        <v>3322</v>
      </c>
    </row>
    <row r="2389" spans="1:6" x14ac:dyDescent="0.25">
      <c r="A2389" t="s">
        <v>1522</v>
      </c>
      <c r="B2389" t="s">
        <v>3323</v>
      </c>
      <c r="C2389" t="s">
        <v>3324</v>
      </c>
      <c r="D2389" t="str">
        <f>HYPERLINK("http://service.sap.com/sap/support/notes/1619261","1619261")</f>
        <v>1619261</v>
      </c>
      <c r="E2389">
        <v>5</v>
      </c>
      <c r="F2389" t="s">
        <v>3325</v>
      </c>
    </row>
    <row r="2390" spans="1:6" x14ac:dyDescent="0.25">
      <c r="A2390" t="s">
        <v>1522</v>
      </c>
      <c r="B2390" t="s">
        <v>3323</v>
      </c>
      <c r="C2390" t="s">
        <v>3324</v>
      </c>
      <c r="D2390" t="str">
        <f>HYPERLINK("http://service.sap.com/sap/support/notes/1631703","1631703")</f>
        <v>1631703</v>
      </c>
      <c r="E2390">
        <v>2</v>
      </c>
      <c r="F2390" t="s">
        <v>3325</v>
      </c>
    </row>
    <row r="2391" spans="1:6" x14ac:dyDescent="0.25">
      <c r="A2391" t="s">
        <v>1522</v>
      </c>
      <c r="B2391" t="s">
        <v>3326</v>
      </c>
      <c r="C2391" t="s">
        <v>3327</v>
      </c>
      <c r="D2391" t="str">
        <f>HYPERLINK("http://service.sap.com/sap/support/notes/1638780","1638780")</f>
        <v>1638780</v>
      </c>
      <c r="E2391">
        <v>3</v>
      </c>
      <c r="F2391" t="s">
        <v>3328</v>
      </c>
    </row>
    <row r="2392" spans="1:6" x14ac:dyDescent="0.25">
      <c r="A2392" t="s">
        <v>1522</v>
      </c>
      <c r="B2392" t="s">
        <v>3329</v>
      </c>
      <c r="C2392" t="s">
        <v>3330</v>
      </c>
      <c r="D2392" t="str">
        <f>HYPERLINK("http://service.sap.com/sap/support/notes/1629695","1629695")</f>
        <v>1629695</v>
      </c>
      <c r="E2392">
        <v>1</v>
      </c>
      <c r="F2392" t="s">
        <v>3331</v>
      </c>
    </row>
    <row r="2393" spans="1:6" x14ac:dyDescent="0.25">
      <c r="A2393" t="s">
        <v>1522</v>
      </c>
      <c r="B2393" t="s">
        <v>3332</v>
      </c>
      <c r="C2393" t="s">
        <v>3333</v>
      </c>
      <c r="D2393" t="str">
        <f>HYPERLINK("http://service.sap.com/sap/support/notes/1641619","1641619")</f>
        <v>1641619</v>
      </c>
      <c r="E2393">
        <v>1</v>
      </c>
      <c r="F2393" t="s">
        <v>3334</v>
      </c>
    </row>
    <row r="2394" spans="1:6" x14ac:dyDescent="0.25">
      <c r="A2394" t="s">
        <v>1522</v>
      </c>
      <c r="B2394" t="s">
        <v>3332</v>
      </c>
      <c r="C2394" t="s">
        <v>3333</v>
      </c>
      <c r="D2394" t="str">
        <f>HYPERLINK("http://service.sap.com/sap/support/notes/1669977","1669977")</f>
        <v>1669977</v>
      </c>
      <c r="E2394">
        <v>1</v>
      </c>
      <c r="F2394" t="s">
        <v>3335</v>
      </c>
    </row>
    <row r="2395" spans="1:6" x14ac:dyDescent="0.25">
      <c r="A2395" t="s">
        <v>1522</v>
      </c>
      <c r="B2395" t="s">
        <v>3336</v>
      </c>
      <c r="C2395" t="s">
        <v>869</v>
      </c>
      <c r="D2395" t="str">
        <f>HYPERLINK("http://service.sap.com/sap/support/notes/1639286","1639286")</f>
        <v>1639286</v>
      </c>
      <c r="E2395">
        <v>2</v>
      </c>
      <c r="F2395" t="s">
        <v>3337</v>
      </c>
    </row>
    <row r="2396" spans="1:6" x14ac:dyDescent="0.25">
      <c r="A2396" t="s">
        <v>1522</v>
      </c>
      <c r="B2396" t="s">
        <v>3336</v>
      </c>
      <c r="C2396" t="s">
        <v>869</v>
      </c>
      <c r="D2396" t="str">
        <f>HYPERLINK("http://service.sap.com/sap/support/notes/1641727","1641727")</f>
        <v>1641727</v>
      </c>
      <c r="E2396">
        <v>1</v>
      </c>
      <c r="F2396" t="s">
        <v>3338</v>
      </c>
    </row>
    <row r="2397" spans="1:6" x14ac:dyDescent="0.25">
      <c r="A2397" t="s">
        <v>1522</v>
      </c>
      <c r="B2397" t="s">
        <v>3339</v>
      </c>
      <c r="C2397" t="s">
        <v>3340</v>
      </c>
      <c r="D2397" t="str">
        <f>HYPERLINK("http://service.sap.com/sap/support/notes/1614920","1614920")</f>
        <v>1614920</v>
      </c>
      <c r="E2397">
        <v>1</v>
      </c>
      <c r="F2397" t="s">
        <v>3341</v>
      </c>
    </row>
    <row r="2398" spans="1:6" x14ac:dyDescent="0.25">
      <c r="A2398" t="s">
        <v>1522</v>
      </c>
      <c r="B2398" t="s">
        <v>3339</v>
      </c>
      <c r="C2398" t="s">
        <v>3340</v>
      </c>
      <c r="D2398" t="str">
        <f>HYPERLINK("http://service.sap.com/sap/support/notes/1632626","1632626")</f>
        <v>1632626</v>
      </c>
      <c r="E2398">
        <v>1</v>
      </c>
      <c r="F2398" t="s">
        <v>3342</v>
      </c>
    </row>
    <row r="2399" spans="1:6" x14ac:dyDescent="0.25">
      <c r="A2399" t="s">
        <v>1522</v>
      </c>
      <c r="B2399" t="s">
        <v>3339</v>
      </c>
      <c r="C2399" t="s">
        <v>3340</v>
      </c>
      <c r="D2399" t="str">
        <f>HYPERLINK("http://service.sap.com/sap/support/notes/1639666","1639666")</f>
        <v>1639666</v>
      </c>
      <c r="E2399">
        <v>2</v>
      </c>
      <c r="F2399" t="s">
        <v>3343</v>
      </c>
    </row>
    <row r="2400" spans="1:6" x14ac:dyDescent="0.25">
      <c r="A2400" t="s">
        <v>1522</v>
      </c>
      <c r="B2400" t="s">
        <v>3339</v>
      </c>
      <c r="C2400" t="s">
        <v>3340</v>
      </c>
      <c r="D2400" t="str">
        <f>HYPERLINK("http://service.sap.com/sap/support/notes/1642601","1642601")</f>
        <v>1642601</v>
      </c>
      <c r="E2400">
        <v>2</v>
      </c>
      <c r="F2400" t="s">
        <v>3344</v>
      </c>
    </row>
    <row r="2401" spans="1:6" x14ac:dyDescent="0.25">
      <c r="A2401" t="s">
        <v>1522</v>
      </c>
      <c r="B2401" t="s">
        <v>3339</v>
      </c>
      <c r="C2401" t="s">
        <v>3340</v>
      </c>
      <c r="D2401" t="str">
        <f>HYPERLINK("http://service.sap.com/sap/support/notes/1670656","1670656")</f>
        <v>1670656</v>
      </c>
      <c r="E2401">
        <v>1</v>
      </c>
      <c r="F2401" t="s">
        <v>3345</v>
      </c>
    </row>
    <row r="2402" spans="1:6" x14ac:dyDescent="0.25">
      <c r="A2402" t="s">
        <v>1522</v>
      </c>
      <c r="B2402" t="s">
        <v>3346</v>
      </c>
      <c r="C2402" t="s">
        <v>3347</v>
      </c>
      <c r="D2402" t="str">
        <f>HYPERLINK("http://service.sap.com/sap/support/notes/1654202","1654202")</f>
        <v>1654202</v>
      </c>
      <c r="E2402">
        <v>1</v>
      </c>
      <c r="F2402" t="s">
        <v>3348</v>
      </c>
    </row>
    <row r="2403" spans="1:6" x14ac:dyDescent="0.25">
      <c r="A2403" t="s">
        <v>1522</v>
      </c>
      <c r="B2403" t="s">
        <v>3349</v>
      </c>
      <c r="C2403" t="s">
        <v>3350</v>
      </c>
      <c r="D2403" t="str">
        <f>HYPERLINK("http://service.sap.com/sap/support/notes/1653186","1653186")</f>
        <v>1653186</v>
      </c>
      <c r="E2403">
        <v>1</v>
      </c>
      <c r="F2403" t="s">
        <v>3351</v>
      </c>
    </row>
    <row r="2404" spans="1:6" x14ac:dyDescent="0.25">
      <c r="A2404" t="s">
        <v>1522</v>
      </c>
      <c r="B2404" t="s">
        <v>691</v>
      </c>
      <c r="C2404" t="s">
        <v>692</v>
      </c>
      <c r="D2404" t="str">
        <f>HYPERLINK("http://service.sap.com/sap/support/notes/1620230","1620230")</f>
        <v>1620230</v>
      </c>
      <c r="E2404">
        <v>3</v>
      </c>
      <c r="F2404" t="s">
        <v>3352</v>
      </c>
    </row>
    <row r="2405" spans="1:6" x14ac:dyDescent="0.25">
      <c r="A2405" t="s">
        <v>1522</v>
      </c>
      <c r="B2405" t="s">
        <v>691</v>
      </c>
      <c r="C2405" t="s">
        <v>692</v>
      </c>
      <c r="D2405" t="str">
        <f>HYPERLINK("http://service.sap.com/sap/support/notes/1629462","1629462")</f>
        <v>1629462</v>
      </c>
      <c r="E2405">
        <v>1</v>
      </c>
      <c r="F2405" t="s">
        <v>3353</v>
      </c>
    </row>
    <row r="2406" spans="1:6" x14ac:dyDescent="0.25">
      <c r="A2406" t="s">
        <v>1522</v>
      </c>
      <c r="B2406" t="s">
        <v>691</v>
      </c>
      <c r="C2406" t="s">
        <v>692</v>
      </c>
      <c r="D2406" t="str">
        <f>HYPERLINK("http://service.sap.com/sap/support/notes/1664119","1664119")</f>
        <v>1664119</v>
      </c>
      <c r="E2406">
        <v>1</v>
      </c>
      <c r="F2406" t="s">
        <v>3354</v>
      </c>
    </row>
    <row r="2407" spans="1:6" x14ac:dyDescent="0.25">
      <c r="A2407" t="s">
        <v>1522</v>
      </c>
      <c r="B2407" t="s">
        <v>691</v>
      </c>
      <c r="C2407" t="s">
        <v>692</v>
      </c>
      <c r="D2407" t="str">
        <f>HYPERLINK("http://service.sap.com/sap/support/notes/1665373","1665373")</f>
        <v>1665373</v>
      </c>
      <c r="E2407">
        <v>1</v>
      </c>
      <c r="F2407" t="s">
        <v>3355</v>
      </c>
    </row>
    <row r="2408" spans="1:6" x14ac:dyDescent="0.25">
      <c r="A2408" t="s">
        <v>1522</v>
      </c>
      <c r="B2408" t="s">
        <v>3356</v>
      </c>
      <c r="C2408" t="s">
        <v>3357</v>
      </c>
      <c r="D2408" t="str">
        <f>HYPERLINK("http://service.sap.com/sap/support/notes/1668200","1668200")</f>
        <v>1668200</v>
      </c>
      <c r="E2408">
        <v>3</v>
      </c>
      <c r="F2408" t="s">
        <v>3358</v>
      </c>
    </row>
    <row r="2409" spans="1:6" x14ac:dyDescent="0.25">
      <c r="A2409" t="s">
        <v>1522</v>
      </c>
      <c r="B2409" t="s">
        <v>3359</v>
      </c>
      <c r="C2409" t="s">
        <v>3360</v>
      </c>
      <c r="D2409" t="str">
        <f>HYPERLINK("http://service.sap.com/sap/support/notes/1613940","1613940")</f>
        <v>1613940</v>
      </c>
      <c r="E2409">
        <v>3</v>
      </c>
      <c r="F2409" t="s">
        <v>3361</v>
      </c>
    </row>
    <row r="2410" spans="1:6" x14ac:dyDescent="0.25">
      <c r="A2410" t="s">
        <v>1522</v>
      </c>
      <c r="B2410" t="s">
        <v>3359</v>
      </c>
      <c r="C2410" t="s">
        <v>3360</v>
      </c>
      <c r="D2410" t="str">
        <f>HYPERLINK("http://service.sap.com/sap/support/notes/1653885","1653885")</f>
        <v>1653885</v>
      </c>
      <c r="E2410">
        <v>2</v>
      </c>
      <c r="F2410" t="s">
        <v>3362</v>
      </c>
    </row>
    <row r="2411" spans="1:6" x14ac:dyDescent="0.25">
      <c r="A2411" t="s">
        <v>1522</v>
      </c>
      <c r="B2411" t="s">
        <v>694</v>
      </c>
      <c r="C2411" t="s">
        <v>695</v>
      </c>
    </row>
    <row r="2412" spans="1:6" x14ac:dyDescent="0.25">
      <c r="A2412" t="s">
        <v>1522</v>
      </c>
      <c r="B2412" t="s">
        <v>3363</v>
      </c>
      <c r="C2412" t="s">
        <v>3364</v>
      </c>
    </row>
    <row r="2413" spans="1:6" x14ac:dyDescent="0.25">
      <c r="A2413" t="s">
        <v>1522</v>
      </c>
      <c r="B2413" t="s">
        <v>3365</v>
      </c>
      <c r="C2413" t="s">
        <v>3366</v>
      </c>
      <c r="D2413" t="str">
        <f>HYPERLINK("http://service.sap.com/sap/support/notes/1599311","1599311")</f>
        <v>1599311</v>
      </c>
      <c r="E2413">
        <v>2</v>
      </c>
      <c r="F2413" t="s">
        <v>3367</v>
      </c>
    </row>
    <row r="2414" spans="1:6" x14ac:dyDescent="0.25">
      <c r="A2414" t="s">
        <v>1522</v>
      </c>
      <c r="B2414" t="s">
        <v>696</v>
      </c>
      <c r="C2414" t="s">
        <v>33</v>
      </c>
      <c r="D2414" t="str">
        <f>HYPERLINK("http://service.sap.com/sap/support/notes/1301384","1301384")</f>
        <v>1301384</v>
      </c>
      <c r="E2414">
        <v>3</v>
      </c>
      <c r="F2414" t="s">
        <v>3368</v>
      </c>
    </row>
    <row r="2415" spans="1:6" x14ac:dyDescent="0.25">
      <c r="A2415" t="s">
        <v>1522</v>
      </c>
      <c r="B2415" t="s">
        <v>696</v>
      </c>
      <c r="C2415" t="s">
        <v>33</v>
      </c>
      <c r="D2415" t="str">
        <f>HYPERLINK("http://service.sap.com/sap/support/notes/1533302","1533302")</f>
        <v>1533302</v>
      </c>
      <c r="E2415">
        <v>3</v>
      </c>
      <c r="F2415" t="s">
        <v>3369</v>
      </c>
    </row>
    <row r="2416" spans="1:6" x14ac:dyDescent="0.25">
      <c r="A2416" t="s">
        <v>1522</v>
      </c>
      <c r="B2416" t="s">
        <v>696</v>
      </c>
      <c r="C2416" t="s">
        <v>33</v>
      </c>
      <c r="D2416" t="str">
        <f>HYPERLINK("http://service.sap.com/sap/support/notes/1580137","1580137")</f>
        <v>1580137</v>
      </c>
      <c r="E2416">
        <v>3</v>
      </c>
      <c r="F2416" t="s">
        <v>3370</v>
      </c>
    </row>
    <row r="2417" spans="1:6" x14ac:dyDescent="0.25">
      <c r="A2417" t="s">
        <v>1522</v>
      </c>
      <c r="B2417" t="s">
        <v>696</v>
      </c>
      <c r="C2417" t="s">
        <v>33</v>
      </c>
      <c r="D2417" t="str">
        <f>HYPERLINK("http://service.sap.com/sap/support/notes/1656259","1656259")</f>
        <v>1656259</v>
      </c>
      <c r="E2417">
        <v>1</v>
      </c>
      <c r="F2417" t="s">
        <v>3371</v>
      </c>
    </row>
    <row r="2418" spans="1:6" x14ac:dyDescent="0.25">
      <c r="A2418" t="s">
        <v>1522</v>
      </c>
      <c r="B2418" t="s">
        <v>696</v>
      </c>
      <c r="C2418" t="s">
        <v>33</v>
      </c>
      <c r="D2418" t="str">
        <f>HYPERLINK("http://service.sap.com/sap/support/notes/1665773","1665773")</f>
        <v>1665773</v>
      </c>
      <c r="E2418">
        <v>1</v>
      </c>
      <c r="F2418" t="s">
        <v>3372</v>
      </c>
    </row>
    <row r="2419" spans="1:6" x14ac:dyDescent="0.25">
      <c r="A2419" t="s">
        <v>1522</v>
      </c>
      <c r="B2419" t="s">
        <v>696</v>
      </c>
      <c r="C2419" t="s">
        <v>33</v>
      </c>
      <c r="D2419" t="str">
        <f>HYPERLINK("http://service.sap.com/sap/support/notes/1672822","1672822")</f>
        <v>1672822</v>
      </c>
      <c r="E2419">
        <v>3</v>
      </c>
      <c r="F2419" t="s">
        <v>3373</v>
      </c>
    </row>
    <row r="2420" spans="1:6" x14ac:dyDescent="0.25">
      <c r="A2420" t="s">
        <v>1522</v>
      </c>
      <c r="B2420" t="s">
        <v>3374</v>
      </c>
      <c r="C2420" t="s">
        <v>3375</v>
      </c>
    </row>
    <row r="2421" spans="1:6" x14ac:dyDescent="0.25">
      <c r="A2421" t="s">
        <v>1522</v>
      </c>
      <c r="B2421" t="s">
        <v>3376</v>
      </c>
      <c r="C2421" t="s">
        <v>3377</v>
      </c>
      <c r="D2421" t="str">
        <f>HYPERLINK("http://service.sap.com/sap/support/notes/1619641","1619641")</f>
        <v>1619641</v>
      </c>
      <c r="E2421">
        <v>2</v>
      </c>
      <c r="F2421" t="s">
        <v>3378</v>
      </c>
    </row>
    <row r="2422" spans="1:6" x14ac:dyDescent="0.25">
      <c r="A2422" t="s">
        <v>1522</v>
      </c>
      <c r="B2422" t="s">
        <v>3376</v>
      </c>
      <c r="C2422" t="s">
        <v>3377</v>
      </c>
      <c r="D2422" t="str">
        <f>HYPERLINK("http://service.sap.com/sap/support/notes/1641852","1641852")</f>
        <v>1641852</v>
      </c>
      <c r="E2422">
        <v>2</v>
      </c>
      <c r="F2422" t="s">
        <v>3379</v>
      </c>
    </row>
    <row r="2423" spans="1:6" x14ac:dyDescent="0.25">
      <c r="A2423" t="s">
        <v>1522</v>
      </c>
      <c r="B2423" t="s">
        <v>3380</v>
      </c>
      <c r="C2423" t="s">
        <v>3381</v>
      </c>
      <c r="D2423" t="str">
        <f>HYPERLINK("http://service.sap.com/sap/support/notes/1640910","1640910")</f>
        <v>1640910</v>
      </c>
      <c r="E2423">
        <v>3</v>
      </c>
      <c r="F2423" t="s">
        <v>3382</v>
      </c>
    </row>
    <row r="2424" spans="1:6" x14ac:dyDescent="0.25">
      <c r="A2424" t="s">
        <v>1522</v>
      </c>
      <c r="B2424" t="s">
        <v>3383</v>
      </c>
      <c r="C2424" t="s">
        <v>3384</v>
      </c>
      <c r="D2424" t="str">
        <f>HYPERLINK("http://service.sap.com/sap/support/notes/1588475","1588475")</f>
        <v>1588475</v>
      </c>
      <c r="E2424">
        <v>5</v>
      </c>
      <c r="F2424" t="s">
        <v>3385</v>
      </c>
    </row>
    <row r="2425" spans="1:6" x14ac:dyDescent="0.25">
      <c r="A2425" t="s">
        <v>1522</v>
      </c>
      <c r="B2425" t="s">
        <v>3383</v>
      </c>
      <c r="C2425" t="s">
        <v>3384</v>
      </c>
      <c r="D2425" t="str">
        <f>HYPERLINK("http://service.sap.com/sap/support/notes/1656574","1656574")</f>
        <v>1656574</v>
      </c>
      <c r="E2425">
        <v>2</v>
      </c>
      <c r="F2425" t="s">
        <v>3386</v>
      </c>
    </row>
    <row r="2426" spans="1:6" x14ac:dyDescent="0.25">
      <c r="A2426" t="s">
        <v>1522</v>
      </c>
      <c r="B2426" t="s">
        <v>3387</v>
      </c>
      <c r="C2426" t="s">
        <v>3388</v>
      </c>
      <c r="D2426" t="str">
        <f>HYPERLINK("http://service.sap.com/sap/support/notes/1610231","1610231")</f>
        <v>1610231</v>
      </c>
      <c r="E2426">
        <v>3</v>
      </c>
      <c r="F2426" t="s">
        <v>3389</v>
      </c>
    </row>
    <row r="2427" spans="1:6" x14ac:dyDescent="0.25">
      <c r="A2427" t="s">
        <v>1522</v>
      </c>
      <c r="B2427" t="s">
        <v>3390</v>
      </c>
      <c r="C2427" t="s">
        <v>3391</v>
      </c>
      <c r="D2427" t="str">
        <f>HYPERLINK("http://service.sap.com/sap/support/notes/1594348","1594348")</f>
        <v>1594348</v>
      </c>
      <c r="E2427">
        <v>4</v>
      </c>
      <c r="F2427" t="s">
        <v>3392</v>
      </c>
    </row>
    <row r="2428" spans="1:6" x14ac:dyDescent="0.25">
      <c r="A2428" t="s">
        <v>1522</v>
      </c>
      <c r="B2428" t="s">
        <v>3393</v>
      </c>
      <c r="C2428" t="s">
        <v>3394</v>
      </c>
      <c r="D2428" t="str">
        <f>HYPERLINK("http://service.sap.com/sap/support/notes/1591227","1591227")</f>
        <v>1591227</v>
      </c>
      <c r="E2428">
        <v>3</v>
      </c>
      <c r="F2428" t="s">
        <v>3395</v>
      </c>
    </row>
    <row r="2429" spans="1:6" x14ac:dyDescent="0.25">
      <c r="A2429" t="s">
        <v>1522</v>
      </c>
      <c r="B2429" t="s">
        <v>3393</v>
      </c>
      <c r="C2429" t="s">
        <v>3394</v>
      </c>
      <c r="D2429" t="str">
        <f>HYPERLINK("http://service.sap.com/sap/support/notes/1612752","1612752")</f>
        <v>1612752</v>
      </c>
      <c r="E2429">
        <v>2</v>
      </c>
      <c r="F2429" t="s">
        <v>3396</v>
      </c>
    </row>
    <row r="2430" spans="1:6" x14ac:dyDescent="0.25">
      <c r="A2430" t="s">
        <v>1522</v>
      </c>
      <c r="B2430" t="s">
        <v>3397</v>
      </c>
      <c r="C2430" t="s">
        <v>3398</v>
      </c>
      <c r="D2430" t="str">
        <f>HYPERLINK("http://service.sap.com/sap/support/notes/1611622","1611622")</f>
        <v>1611622</v>
      </c>
      <c r="E2430">
        <v>2</v>
      </c>
      <c r="F2430" t="s">
        <v>3399</v>
      </c>
    </row>
    <row r="2431" spans="1:6" x14ac:dyDescent="0.25">
      <c r="A2431" t="s">
        <v>1522</v>
      </c>
      <c r="B2431" t="s">
        <v>698</v>
      </c>
      <c r="C2431" t="s">
        <v>699</v>
      </c>
      <c r="D2431" t="str">
        <f>HYPERLINK("http://service.sap.com/sap/support/notes/1634637","1634637")</f>
        <v>1634637</v>
      </c>
      <c r="E2431">
        <v>1</v>
      </c>
      <c r="F2431" t="s">
        <v>3400</v>
      </c>
    </row>
    <row r="2432" spans="1:6" x14ac:dyDescent="0.25">
      <c r="A2432" t="s">
        <v>1522</v>
      </c>
      <c r="B2432" t="s">
        <v>698</v>
      </c>
      <c r="C2432" t="s">
        <v>699</v>
      </c>
      <c r="D2432" t="str">
        <f>HYPERLINK("http://service.sap.com/sap/support/notes/1637138","1637138")</f>
        <v>1637138</v>
      </c>
      <c r="E2432">
        <v>2</v>
      </c>
      <c r="F2432" t="s">
        <v>3401</v>
      </c>
    </row>
    <row r="2433" spans="1:6" x14ac:dyDescent="0.25">
      <c r="A2433" t="s">
        <v>1522</v>
      </c>
      <c r="B2433" t="s">
        <v>3402</v>
      </c>
      <c r="C2433" t="s">
        <v>3403</v>
      </c>
      <c r="D2433" t="str">
        <f>HYPERLINK("http://service.sap.com/sap/support/notes/1668968","1668968")</f>
        <v>1668968</v>
      </c>
      <c r="E2433">
        <v>3</v>
      </c>
      <c r="F2433" t="s">
        <v>3404</v>
      </c>
    </row>
    <row r="2434" spans="1:6" x14ac:dyDescent="0.25">
      <c r="A2434" t="s">
        <v>1522</v>
      </c>
      <c r="B2434" t="s">
        <v>3405</v>
      </c>
      <c r="C2434" t="s">
        <v>337</v>
      </c>
    </row>
    <row r="2435" spans="1:6" x14ac:dyDescent="0.25">
      <c r="A2435" t="s">
        <v>1522</v>
      </c>
      <c r="B2435" t="s">
        <v>3406</v>
      </c>
      <c r="C2435" t="s">
        <v>3340</v>
      </c>
      <c r="D2435" t="str">
        <f>HYPERLINK("http://service.sap.com/sap/support/notes/1609933","1609933")</f>
        <v>1609933</v>
      </c>
      <c r="E2435">
        <v>1</v>
      </c>
      <c r="F2435" t="s">
        <v>3407</v>
      </c>
    </row>
    <row r="2436" spans="1:6" x14ac:dyDescent="0.25">
      <c r="A2436" t="s">
        <v>1522</v>
      </c>
      <c r="B2436" t="s">
        <v>3408</v>
      </c>
      <c r="C2436" t="s">
        <v>33</v>
      </c>
      <c r="D2436" t="str">
        <f>HYPERLINK("http://service.sap.com/sap/support/notes/1327195","1327195")</f>
        <v>1327195</v>
      </c>
      <c r="E2436">
        <v>3</v>
      </c>
      <c r="F2436" t="s">
        <v>3409</v>
      </c>
    </row>
    <row r="2437" spans="1:6" x14ac:dyDescent="0.25">
      <c r="A2437" t="s">
        <v>1522</v>
      </c>
      <c r="B2437" t="s">
        <v>3408</v>
      </c>
      <c r="C2437" t="s">
        <v>33</v>
      </c>
      <c r="D2437" t="str">
        <f>HYPERLINK("http://service.sap.com/sap/support/notes/1583860","1583860")</f>
        <v>1583860</v>
      </c>
      <c r="E2437">
        <v>7</v>
      </c>
      <c r="F2437" t="s">
        <v>3410</v>
      </c>
    </row>
    <row r="2438" spans="1:6" x14ac:dyDescent="0.25">
      <c r="A2438" t="s">
        <v>1522</v>
      </c>
      <c r="B2438" t="s">
        <v>3408</v>
      </c>
      <c r="C2438" t="s">
        <v>33</v>
      </c>
      <c r="D2438" t="str">
        <f>HYPERLINK("http://service.sap.com/sap/support/notes/1629439","1629439")</f>
        <v>1629439</v>
      </c>
      <c r="E2438">
        <v>2</v>
      </c>
      <c r="F2438" t="s">
        <v>3411</v>
      </c>
    </row>
    <row r="2439" spans="1:6" x14ac:dyDescent="0.25">
      <c r="A2439" t="s">
        <v>1522</v>
      </c>
      <c r="B2439" t="s">
        <v>3408</v>
      </c>
      <c r="C2439" t="s">
        <v>33</v>
      </c>
      <c r="D2439" t="str">
        <f>HYPERLINK("http://service.sap.com/sap/support/notes/1638123","1638123")</f>
        <v>1638123</v>
      </c>
      <c r="E2439">
        <v>3</v>
      </c>
      <c r="F2439" t="s">
        <v>3412</v>
      </c>
    </row>
    <row r="2440" spans="1:6" x14ac:dyDescent="0.25">
      <c r="A2440" t="s">
        <v>1522</v>
      </c>
      <c r="B2440" t="s">
        <v>3413</v>
      </c>
      <c r="C2440" t="s">
        <v>14</v>
      </c>
      <c r="D2440" t="str">
        <f>HYPERLINK("http://service.sap.com/sap/support/notes/1625878","1625878")</f>
        <v>1625878</v>
      </c>
      <c r="E2440">
        <v>1</v>
      </c>
      <c r="F2440" t="s">
        <v>3414</v>
      </c>
    </row>
    <row r="2441" spans="1:6" x14ac:dyDescent="0.25">
      <c r="A2441" t="s">
        <v>1522</v>
      </c>
      <c r="B2441" t="s">
        <v>3413</v>
      </c>
      <c r="C2441" t="s">
        <v>14</v>
      </c>
      <c r="D2441" t="str">
        <f>HYPERLINK("http://service.sap.com/sap/support/notes/1642784","1642784")</f>
        <v>1642784</v>
      </c>
      <c r="E2441">
        <v>1</v>
      </c>
      <c r="F2441" t="s">
        <v>3415</v>
      </c>
    </row>
    <row r="2442" spans="1:6" x14ac:dyDescent="0.25">
      <c r="A2442" t="s">
        <v>1522</v>
      </c>
      <c r="B2442" t="s">
        <v>3416</v>
      </c>
      <c r="C2442" t="s">
        <v>3417</v>
      </c>
      <c r="D2442" t="str">
        <f>HYPERLINK("http://service.sap.com/sap/support/notes/1463818","1463818")</f>
        <v>1463818</v>
      </c>
      <c r="E2442">
        <v>1</v>
      </c>
      <c r="F2442" t="s">
        <v>3418</v>
      </c>
    </row>
    <row r="2443" spans="1:6" x14ac:dyDescent="0.25">
      <c r="A2443" t="s">
        <v>1522</v>
      </c>
      <c r="B2443" t="s">
        <v>3416</v>
      </c>
      <c r="C2443" t="s">
        <v>3417</v>
      </c>
      <c r="D2443" t="str">
        <f>HYPERLINK("http://service.sap.com/sap/support/notes/1643905","1643905")</f>
        <v>1643905</v>
      </c>
      <c r="E2443">
        <v>1</v>
      </c>
      <c r="F2443" t="s">
        <v>3419</v>
      </c>
    </row>
    <row r="2444" spans="1:6" x14ac:dyDescent="0.25">
      <c r="A2444" t="s">
        <v>1522</v>
      </c>
      <c r="B2444" t="s">
        <v>3416</v>
      </c>
      <c r="C2444" t="s">
        <v>3417</v>
      </c>
      <c r="D2444" t="str">
        <f>HYPERLINK("http://service.sap.com/sap/support/notes/1646146","1646146")</f>
        <v>1646146</v>
      </c>
      <c r="E2444">
        <v>1</v>
      </c>
      <c r="F2444" t="s">
        <v>3420</v>
      </c>
    </row>
    <row r="2445" spans="1:6" x14ac:dyDescent="0.25">
      <c r="A2445" t="s">
        <v>1522</v>
      </c>
      <c r="B2445" t="s">
        <v>3416</v>
      </c>
      <c r="C2445" t="s">
        <v>3417</v>
      </c>
      <c r="D2445" t="str">
        <f>HYPERLINK("http://service.sap.com/sap/support/notes/1652589","1652589")</f>
        <v>1652589</v>
      </c>
      <c r="E2445">
        <v>3</v>
      </c>
      <c r="F2445" t="s">
        <v>3421</v>
      </c>
    </row>
    <row r="2446" spans="1:6" x14ac:dyDescent="0.25">
      <c r="A2446" t="s">
        <v>1522</v>
      </c>
      <c r="B2446" t="s">
        <v>3416</v>
      </c>
      <c r="C2446" t="s">
        <v>3417</v>
      </c>
      <c r="D2446" t="str">
        <f>HYPERLINK("http://service.sap.com/sap/support/notes/1656957","1656957")</f>
        <v>1656957</v>
      </c>
      <c r="E2446">
        <v>1</v>
      </c>
      <c r="F2446" t="s">
        <v>3422</v>
      </c>
    </row>
    <row r="2447" spans="1:6" x14ac:dyDescent="0.25">
      <c r="A2447" t="s">
        <v>1522</v>
      </c>
      <c r="B2447" t="s">
        <v>3423</v>
      </c>
      <c r="C2447" t="s">
        <v>3424</v>
      </c>
      <c r="D2447" t="str">
        <f>HYPERLINK("http://service.sap.com/sap/support/notes/1611295","1611295")</f>
        <v>1611295</v>
      </c>
      <c r="E2447">
        <v>2</v>
      </c>
      <c r="F2447" t="s">
        <v>3425</v>
      </c>
    </row>
    <row r="2448" spans="1:6" x14ac:dyDescent="0.25">
      <c r="A2448" t="s">
        <v>1522</v>
      </c>
      <c r="B2448" t="s">
        <v>3423</v>
      </c>
      <c r="C2448" t="s">
        <v>3424</v>
      </c>
      <c r="D2448" t="str">
        <f>HYPERLINK("http://service.sap.com/sap/support/notes/1612930","1612930")</f>
        <v>1612930</v>
      </c>
      <c r="E2448">
        <v>2</v>
      </c>
      <c r="F2448" t="s">
        <v>3426</v>
      </c>
    </row>
    <row r="2449" spans="1:6" x14ac:dyDescent="0.25">
      <c r="A2449" t="s">
        <v>1522</v>
      </c>
      <c r="B2449" t="s">
        <v>3423</v>
      </c>
      <c r="C2449" t="s">
        <v>3424</v>
      </c>
      <c r="D2449" t="str">
        <f>HYPERLINK("http://service.sap.com/sap/support/notes/1645273","1645273")</f>
        <v>1645273</v>
      </c>
      <c r="E2449">
        <v>2</v>
      </c>
      <c r="F2449" t="s">
        <v>3427</v>
      </c>
    </row>
    <row r="2450" spans="1:6" x14ac:dyDescent="0.25">
      <c r="A2450" t="s">
        <v>1522</v>
      </c>
      <c r="B2450" t="s">
        <v>3428</v>
      </c>
      <c r="C2450" t="s">
        <v>3429</v>
      </c>
      <c r="D2450" t="str">
        <f>HYPERLINK("http://service.sap.com/sap/support/notes/1650500","1650500")</f>
        <v>1650500</v>
      </c>
      <c r="E2450">
        <v>1</v>
      </c>
      <c r="F2450" t="s">
        <v>3430</v>
      </c>
    </row>
    <row r="2451" spans="1:6" x14ac:dyDescent="0.25">
      <c r="A2451" t="s">
        <v>1522</v>
      </c>
      <c r="B2451" t="s">
        <v>3431</v>
      </c>
      <c r="C2451" t="s">
        <v>3432</v>
      </c>
      <c r="D2451" t="str">
        <f>HYPERLINK("http://service.sap.com/sap/support/notes/1664326","1664326")</f>
        <v>1664326</v>
      </c>
      <c r="E2451">
        <v>1</v>
      </c>
      <c r="F2451" t="s">
        <v>3433</v>
      </c>
    </row>
    <row r="2452" spans="1:6" x14ac:dyDescent="0.25">
      <c r="A2452" t="s">
        <v>1522</v>
      </c>
      <c r="B2452" t="s">
        <v>24</v>
      </c>
      <c r="C2452" t="s">
        <v>25</v>
      </c>
    </row>
    <row r="2453" spans="1:6" x14ac:dyDescent="0.25">
      <c r="A2453" t="s">
        <v>1522</v>
      </c>
      <c r="B2453" t="s">
        <v>703</v>
      </c>
      <c r="C2453" t="s">
        <v>704</v>
      </c>
      <c r="D2453" t="str">
        <f>HYPERLINK("http://service.sap.com/sap/support/notes/1612338","1612338")</f>
        <v>1612338</v>
      </c>
      <c r="E2453">
        <v>1</v>
      </c>
      <c r="F2453" t="s">
        <v>705</v>
      </c>
    </row>
    <row r="2454" spans="1:6" x14ac:dyDescent="0.25">
      <c r="A2454" t="s">
        <v>1522</v>
      </c>
      <c r="B2454" t="s">
        <v>703</v>
      </c>
      <c r="C2454" t="s">
        <v>704</v>
      </c>
      <c r="D2454" t="str">
        <f>HYPERLINK("http://service.sap.com/sap/support/notes/1624311","1624311")</f>
        <v>1624311</v>
      </c>
      <c r="E2454">
        <v>1</v>
      </c>
      <c r="F2454" t="s">
        <v>3434</v>
      </c>
    </row>
    <row r="2455" spans="1:6" x14ac:dyDescent="0.25">
      <c r="A2455" t="s">
        <v>1522</v>
      </c>
      <c r="B2455" t="s">
        <v>703</v>
      </c>
      <c r="C2455" t="s">
        <v>704</v>
      </c>
      <c r="D2455" t="str">
        <f>HYPERLINK("http://service.sap.com/sap/support/notes/1625071","1625071")</f>
        <v>1625071</v>
      </c>
      <c r="E2455">
        <v>1</v>
      </c>
      <c r="F2455" t="s">
        <v>3435</v>
      </c>
    </row>
    <row r="2456" spans="1:6" x14ac:dyDescent="0.25">
      <c r="A2456" t="s">
        <v>1522</v>
      </c>
      <c r="B2456" t="s">
        <v>703</v>
      </c>
      <c r="C2456" t="s">
        <v>704</v>
      </c>
      <c r="D2456" t="str">
        <f>HYPERLINK("http://service.sap.com/sap/support/notes/1625578","1625578")</f>
        <v>1625578</v>
      </c>
      <c r="E2456">
        <v>1</v>
      </c>
      <c r="F2456" t="s">
        <v>3436</v>
      </c>
    </row>
    <row r="2457" spans="1:6" x14ac:dyDescent="0.25">
      <c r="A2457" t="s">
        <v>1522</v>
      </c>
      <c r="B2457" t="s">
        <v>703</v>
      </c>
      <c r="C2457" t="s">
        <v>704</v>
      </c>
      <c r="D2457" t="str">
        <f>HYPERLINK("http://service.sap.com/sap/support/notes/1627010","1627010")</f>
        <v>1627010</v>
      </c>
      <c r="E2457">
        <v>1</v>
      </c>
      <c r="F2457" t="s">
        <v>3437</v>
      </c>
    </row>
    <row r="2458" spans="1:6" x14ac:dyDescent="0.25">
      <c r="A2458" t="s">
        <v>1522</v>
      </c>
      <c r="B2458" t="s">
        <v>703</v>
      </c>
      <c r="C2458" t="s">
        <v>704</v>
      </c>
      <c r="D2458" t="str">
        <f>HYPERLINK("http://service.sap.com/sap/support/notes/1629160","1629160")</f>
        <v>1629160</v>
      </c>
      <c r="E2458">
        <v>2</v>
      </c>
      <c r="F2458" t="s">
        <v>3438</v>
      </c>
    </row>
    <row r="2459" spans="1:6" x14ac:dyDescent="0.25">
      <c r="A2459" t="s">
        <v>1522</v>
      </c>
      <c r="B2459" t="s">
        <v>703</v>
      </c>
      <c r="C2459" t="s">
        <v>704</v>
      </c>
      <c r="D2459" t="str">
        <f>HYPERLINK("http://service.sap.com/sap/support/notes/1630737","1630737")</f>
        <v>1630737</v>
      </c>
      <c r="E2459">
        <v>1</v>
      </c>
      <c r="F2459" t="s">
        <v>3439</v>
      </c>
    </row>
    <row r="2460" spans="1:6" x14ac:dyDescent="0.25">
      <c r="A2460" t="s">
        <v>1522</v>
      </c>
      <c r="B2460" t="s">
        <v>703</v>
      </c>
      <c r="C2460" t="s">
        <v>704</v>
      </c>
      <c r="D2460" t="str">
        <f>HYPERLINK("http://service.sap.com/sap/support/notes/1632143","1632143")</f>
        <v>1632143</v>
      </c>
      <c r="E2460">
        <v>2</v>
      </c>
      <c r="F2460" t="s">
        <v>3440</v>
      </c>
    </row>
    <row r="2461" spans="1:6" x14ac:dyDescent="0.25">
      <c r="A2461" t="s">
        <v>1522</v>
      </c>
      <c r="B2461" t="s">
        <v>703</v>
      </c>
      <c r="C2461" t="s">
        <v>704</v>
      </c>
      <c r="D2461" t="str">
        <f>HYPERLINK("http://service.sap.com/sap/support/notes/1633660","1633660")</f>
        <v>1633660</v>
      </c>
      <c r="E2461">
        <v>1</v>
      </c>
      <c r="F2461" t="s">
        <v>3441</v>
      </c>
    </row>
    <row r="2462" spans="1:6" x14ac:dyDescent="0.25">
      <c r="A2462" t="s">
        <v>1522</v>
      </c>
      <c r="B2462" t="s">
        <v>703</v>
      </c>
      <c r="C2462" t="s">
        <v>704</v>
      </c>
      <c r="D2462" t="str">
        <f>HYPERLINK("http://service.sap.com/sap/support/notes/1634972","1634972")</f>
        <v>1634972</v>
      </c>
      <c r="E2462">
        <v>4</v>
      </c>
      <c r="F2462" t="s">
        <v>3442</v>
      </c>
    </row>
    <row r="2463" spans="1:6" x14ac:dyDescent="0.25">
      <c r="A2463" t="s">
        <v>1522</v>
      </c>
      <c r="B2463" t="s">
        <v>703</v>
      </c>
      <c r="C2463" t="s">
        <v>704</v>
      </c>
      <c r="D2463" t="str">
        <f>HYPERLINK("http://service.sap.com/sap/support/notes/1637756","1637756")</f>
        <v>1637756</v>
      </c>
      <c r="E2463">
        <v>2</v>
      </c>
      <c r="F2463" t="s">
        <v>3443</v>
      </c>
    </row>
    <row r="2464" spans="1:6" x14ac:dyDescent="0.25">
      <c r="A2464" t="s">
        <v>1522</v>
      </c>
      <c r="B2464" t="s">
        <v>703</v>
      </c>
      <c r="C2464" t="s">
        <v>704</v>
      </c>
      <c r="D2464" t="str">
        <f>HYPERLINK("http://service.sap.com/sap/support/notes/1639874","1639874")</f>
        <v>1639874</v>
      </c>
      <c r="E2464">
        <v>2</v>
      </c>
      <c r="F2464" t="s">
        <v>3444</v>
      </c>
    </row>
    <row r="2465" spans="1:6" x14ac:dyDescent="0.25">
      <c r="A2465" t="s">
        <v>1522</v>
      </c>
      <c r="B2465" t="s">
        <v>703</v>
      </c>
      <c r="C2465" t="s">
        <v>704</v>
      </c>
      <c r="D2465" t="str">
        <f>HYPERLINK("http://service.sap.com/sap/support/notes/1640883","1640883")</f>
        <v>1640883</v>
      </c>
      <c r="E2465">
        <v>2</v>
      </c>
      <c r="F2465" t="s">
        <v>3445</v>
      </c>
    </row>
    <row r="2466" spans="1:6" x14ac:dyDescent="0.25">
      <c r="A2466" t="s">
        <v>1522</v>
      </c>
      <c r="B2466" t="s">
        <v>703</v>
      </c>
      <c r="C2466" t="s">
        <v>704</v>
      </c>
      <c r="D2466" t="str">
        <f>HYPERLINK("http://service.sap.com/sap/support/notes/1640889","1640889")</f>
        <v>1640889</v>
      </c>
      <c r="E2466">
        <v>1</v>
      </c>
      <c r="F2466" t="s">
        <v>3446</v>
      </c>
    </row>
    <row r="2467" spans="1:6" x14ac:dyDescent="0.25">
      <c r="A2467" t="s">
        <v>1522</v>
      </c>
      <c r="B2467" t="s">
        <v>703</v>
      </c>
      <c r="C2467" t="s">
        <v>704</v>
      </c>
      <c r="D2467" t="str">
        <f>HYPERLINK("http://service.sap.com/sap/support/notes/1644495","1644495")</f>
        <v>1644495</v>
      </c>
      <c r="E2467">
        <v>1</v>
      </c>
      <c r="F2467" t="s">
        <v>3447</v>
      </c>
    </row>
    <row r="2468" spans="1:6" x14ac:dyDescent="0.25">
      <c r="A2468" t="s">
        <v>1522</v>
      </c>
      <c r="B2468" t="s">
        <v>703</v>
      </c>
      <c r="C2468" t="s">
        <v>704</v>
      </c>
      <c r="D2468" t="str">
        <f>HYPERLINK("http://service.sap.com/sap/support/notes/1645393","1645393")</f>
        <v>1645393</v>
      </c>
      <c r="E2468">
        <v>2</v>
      </c>
      <c r="F2468" t="s">
        <v>3448</v>
      </c>
    </row>
    <row r="2469" spans="1:6" x14ac:dyDescent="0.25">
      <c r="A2469" t="s">
        <v>1522</v>
      </c>
      <c r="B2469" t="s">
        <v>703</v>
      </c>
      <c r="C2469" t="s">
        <v>704</v>
      </c>
      <c r="D2469" t="str">
        <f>HYPERLINK("http://service.sap.com/sap/support/notes/1646473","1646473")</f>
        <v>1646473</v>
      </c>
      <c r="E2469">
        <v>1</v>
      </c>
      <c r="F2469" t="s">
        <v>3449</v>
      </c>
    </row>
    <row r="2470" spans="1:6" x14ac:dyDescent="0.25">
      <c r="A2470" t="s">
        <v>1522</v>
      </c>
      <c r="B2470" t="s">
        <v>703</v>
      </c>
      <c r="C2470" t="s">
        <v>704</v>
      </c>
      <c r="D2470" t="str">
        <f>HYPERLINK("http://service.sap.com/sap/support/notes/1646960","1646960")</f>
        <v>1646960</v>
      </c>
      <c r="E2470">
        <v>3</v>
      </c>
      <c r="F2470" t="s">
        <v>3450</v>
      </c>
    </row>
    <row r="2471" spans="1:6" x14ac:dyDescent="0.25">
      <c r="A2471" t="s">
        <v>1522</v>
      </c>
      <c r="B2471" t="s">
        <v>703</v>
      </c>
      <c r="C2471" t="s">
        <v>704</v>
      </c>
      <c r="D2471" t="str">
        <f>HYPERLINK("http://service.sap.com/sap/support/notes/1647414","1647414")</f>
        <v>1647414</v>
      </c>
      <c r="E2471">
        <v>2</v>
      </c>
      <c r="F2471" t="s">
        <v>3451</v>
      </c>
    </row>
    <row r="2472" spans="1:6" x14ac:dyDescent="0.25">
      <c r="A2472" t="s">
        <v>1522</v>
      </c>
      <c r="B2472" t="s">
        <v>703</v>
      </c>
      <c r="C2472" t="s">
        <v>704</v>
      </c>
      <c r="D2472" t="str">
        <f>HYPERLINK("http://service.sap.com/sap/support/notes/1647787","1647787")</f>
        <v>1647787</v>
      </c>
      <c r="E2472">
        <v>1</v>
      </c>
      <c r="F2472" t="s">
        <v>3452</v>
      </c>
    </row>
    <row r="2473" spans="1:6" x14ac:dyDescent="0.25">
      <c r="A2473" t="s">
        <v>1522</v>
      </c>
      <c r="B2473" t="s">
        <v>703</v>
      </c>
      <c r="C2473" t="s">
        <v>704</v>
      </c>
      <c r="D2473" t="str">
        <f>HYPERLINK("http://service.sap.com/sap/support/notes/1647817","1647817")</f>
        <v>1647817</v>
      </c>
      <c r="E2473">
        <v>1</v>
      </c>
      <c r="F2473" t="s">
        <v>3453</v>
      </c>
    </row>
    <row r="2474" spans="1:6" x14ac:dyDescent="0.25">
      <c r="A2474" t="s">
        <v>1522</v>
      </c>
      <c r="B2474" t="s">
        <v>703</v>
      </c>
      <c r="C2474" t="s">
        <v>704</v>
      </c>
      <c r="D2474" t="str">
        <f>HYPERLINK("http://service.sap.com/sap/support/notes/1648577","1648577")</f>
        <v>1648577</v>
      </c>
      <c r="E2474">
        <v>2</v>
      </c>
      <c r="F2474" t="s">
        <v>3454</v>
      </c>
    </row>
    <row r="2475" spans="1:6" x14ac:dyDescent="0.25">
      <c r="A2475" t="s">
        <v>1522</v>
      </c>
      <c r="B2475" t="s">
        <v>703</v>
      </c>
      <c r="C2475" t="s">
        <v>704</v>
      </c>
      <c r="D2475" t="str">
        <f>HYPERLINK("http://service.sap.com/sap/support/notes/1649033","1649033")</f>
        <v>1649033</v>
      </c>
      <c r="E2475">
        <v>1</v>
      </c>
      <c r="F2475" t="s">
        <v>3455</v>
      </c>
    </row>
    <row r="2476" spans="1:6" x14ac:dyDescent="0.25">
      <c r="A2476" t="s">
        <v>1522</v>
      </c>
      <c r="B2476" t="s">
        <v>703</v>
      </c>
      <c r="C2476" t="s">
        <v>704</v>
      </c>
      <c r="D2476" t="str">
        <f>HYPERLINK("http://service.sap.com/sap/support/notes/1649081","1649081")</f>
        <v>1649081</v>
      </c>
      <c r="E2476">
        <v>1</v>
      </c>
      <c r="F2476" t="s">
        <v>3456</v>
      </c>
    </row>
    <row r="2477" spans="1:6" x14ac:dyDescent="0.25">
      <c r="A2477" t="s">
        <v>1522</v>
      </c>
      <c r="B2477" t="s">
        <v>703</v>
      </c>
      <c r="C2477" t="s">
        <v>704</v>
      </c>
      <c r="D2477" t="str">
        <f>HYPERLINK("http://service.sap.com/sap/support/notes/1650148","1650148")</f>
        <v>1650148</v>
      </c>
      <c r="E2477">
        <v>1</v>
      </c>
      <c r="F2477" t="s">
        <v>3457</v>
      </c>
    </row>
    <row r="2478" spans="1:6" x14ac:dyDescent="0.25">
      <c r="A2478" t="s">
        <v>1522</v>
      </c>
      <c r="B2478" t="s">
        <v>703</v>
      </c>
      <c r="C2478" t="s">
        <v>704</v>
      </c>
      <c r="D2478" t="str">
        <f>HYPERLINK("http://service.sap.com/sap/support/notes/1650149","1650149")</f>
        <v>1650149</v>
      </c>
      <c r="E2478">
        <v>1</v>
      </c>
      <c r="F2478" t="s">
        <v>3458</v>
      </c>
    </row>
    <row r="2479" spans="1:6" x14ac:dyDescent="0.25">
      <c r="A2479" t="s">
        <v>1522</v>
      </c>
      <c r="B2479" t="s">
        <v>703</v>
      </c>
      <c r="C2479" t="s">
        <v>704</v>
      </c>
      <c r="D2479" t="str">
        <f>HYPERLINK("http://service.sap.com/sap/support/notes/1650150","1650150")</f>
        <v>1650150</v>
      </c>
      <c r="E2479">
        <v>1</v>
      </c>
      <c r="F2479" t="s">
        <v>3459</v>
      </c>
    </row>
    <row r="2480" spans="1:6" x14ac:dyDescent="0.25">
      <c r="A2480" t="s">
        <v>1522</v>
      </c>
      <c r="B2480" t="s">
        <v>703</v>
      </c>
      <c r="C2480" t="s">
        <v>704</v>
      </c>
      <c r="D2480" t="str">
        <f>HYPERLINK("http://service.sap.com/sap/support/notes/1652147","1652147")</f>
        <v>1652147</v>
      </c>
      <c r="E2480">
        <v>2</v>
      </c>
      <c r="F2480" t="s">
        <v>3460</v>
      </c>
    </row>
    <row r="2481" spans="1:6" x14ac:dyDescent="0.25">
      <c r="A2481" t="s">
        <v>1522</v>
      </c>
      <c r="B2481" t="s">
        <v>703</v>
      </c>
      <c r="C2481" t="s">
        <v>704</v>
      </c>
      <c r="D2481" t="str">
        <f>HYPERLINK("http://service.sap.com/sap/support/notes/1652181","1652181")</f>
        <v>1652181</v>
      </c>
      <c r="E2481">
        <v>1</v>
      </c>
      <c r="F2481" t="s">
        <v>3461</v>
      </c>
    </row>
    <row r="2482" spans="1:6" x14ac:dyDescent="0.25">
      <c r="A2482" t="s">
        <v>1522</v>
      </c>
      <c r="B2482" t="s">
        <v>703</v>
      </c>
      <c r="C2482" t="s">
        <v>704</v>
      </c>
      <c r="D2482" t="str">
        <f>HYPERLINK("http://service.sap.com/sap/support/notes/1654789","1654789")</f>
        <v>1654789</v>
      </c>
      <c r="E2482">
        <v>1</v>
      </c>
      <c r="F2482" t="s">
        <v>3462</v>
      </c>
    </row>
    <row r="2483" spans="1:6" x14ac:dyDescent="0.25">
      <c r="A2483" t="s">
        <v>1522</v>
      </c>
      <c r="B2483" t="s">
        <v>703</v>
      </c>
      <c r="C2483" t="s">
        <v>704</v>
      </c>
      <c r="D2483" t="str">
        <f>HYPERLINK("http://service.sap.com/sap/support/notes/1654842","1654842")</f>
        <v>1654842</v>
      </c>
      <c r="E2483">
        <v>2</v>
      </c>
      <c r="F2483" t="s">
        <v>3463</v>
      </c>
    </row>
    <row r="2484" spans="1:6" x14ac:dyDescent="0.25">
      <c r="A2484" t="s">
        <v>1522</v>
      </c>
      <c r="B2484" t="s">
        <v>703</v>
      </c>
      <c r="C2484" t="s">
        <v>704</v>
      </c>
      <c r="D2484" t="str">
        <f>HYPERLINK("http://service.sap.com/sap/support/notes/1655408","1655408")</f>
        <v>1655408</v>
      </c>
      <c r="E2484">
        <v>2</v>
      </c>
      <c r="F2484" t="s">
        <v>3464</v>
      </c>
    </row>
    <row r="2485" spans="1:6" x14ac:dyDescent="0.25">
      <c r="A2485" t="s">
        <v>1522</v>
      </c>
      <c r="B2485" t="s">
        <v>703</v>
      </c>
      <c r="C2485" t="s">
        <v>704</v>
      </c>
      <c r="D2485" t="str">
        <f>HYPERLINK("http://service.sap.com/sap/support/notes/1660377","1660377")</f>
        <v>1660377</v>
      </c>
      <c r="E2485">
        <v>1</v>
      </c>
      <c r="F2485" t="s">
        <v>3465</v>
      </c>
    </row>
    <row r="2486" spans="1:6" x14ac:dyDescent="0.25">
      <c r="A2486" t="s">
        <v>1522</v>
      </c>
      <c r="B2486" t="s">
        <v>703</v>
      </c>
      <c r="C2486" t="s">
        <v>704</v>
      </c>
      <c r="D2486" t="str">
        <f>HYPERLINK("http://service.sap.com/sap/support/notes/1661253","1661253")</f>
        <v>1661253</v>
      </c>
      <c r="E2486">
        <v>3</v>
      </c>
      <c r="F2486" t="s">
        <v>3466</v>
      </c>
    </row>
    <row r="2487" spans="1:6" x14ac:dyDescent="0.25">
      <c r="A2487" t="s">
        <v>1522</v>
      </c>
      <c r="B2487" t="s">
        <v>703</v>
      </c>
      <c r="C2487" t="s">
        <v>704</v>
      </c>
      <c r="D2487" t="str">
        <f>HYPERLINK("http://service.sap.com/sap/support/notes/1662389","1662389")</f>
        <v>1662389</v>
      </c>
      <c r="E2487">
        <v>2</v>
      </c>
      <c r="F2487" t="s">
        <v>3467</v>
      </c>
    </row>
    <row r="2488" spans="1:6" x14ac:dyDescent="0.25">
      <c r="A2488" t="s">
        <v>1522</v>
      </c>
      <c r="B2488" t="s">
        <v>703</v>
      </c>
      <c r="C2488" t="s">
        <v>704</v>
      </c>
      <c r="D2488" t="str">
        <f>HYPERLINK("http://service.sap.com/sap/support/notes/1663729","1663729")</f>
        <v>1663729</v>
      </c>
      <c r="E2488">
        <v>1</v>
      </c>
      <c r="F2488" t="s">
        <v>3468</v>
      </c>
    </row>
    <row r="2489" spans="1:6" x14ac:dyDescent="0.25">
      <c r="A2489" t="s">
        <v>1522</v>
      </c>
      <c r="B2489" t="s">
        <v>703</v>
      </c>
      <c r="C2489" t="s">
        <v>704</v>
      </c>
      <c r="D2489" t="str">
        <f>HYPERLINK("http://service.sap.com/sap/support/notes/1664022","1664022")</f>
        <v>1664022</v>
      </c>
      <c r="E2489">
        <v>2</v>
      </c>
      <c r="F2489" t="s">
        <v>3469</v>
      </c>
    </row>
    <row r="2490" spans="1:6" x14ac:dyDescent="0.25">
      <c r="A2490" t="s">
        <v>1522</v>
      </c>
      <c r="B2490" t="s">
        <v>703</v>
      </c>
      <c r="C2490" t="s">
        <v>704</v>
      </c>
      <c r="D2490" t="str">
        <f>HYPERLINK("http://service.sap.com/sap/support/notes/1664642","1664642")</f>
        <v>1664642</v>
      </c>
      <c r="E2490">
        <v>2</v>
      </c>
      <c r="F2490" t="s">
        <v>3470</v>
      </c>
    </row>
    <row r="2491" spans="1:6" x14ac:dyDescent="0.25">
      <c r="A2491" t="s">
        <v>1522</v>
      </c>
      <c r="B2491" t="s">
        <v>703</v>
      </c>
      <c r="C2491" t="s">
        <v>704</v>
      </c>
      <c r="D2491" t="str">
        <f>HYPERLINK("http://service.sap.com/sap/support/notes/1665224","1665224")</f>
        <v>1665224</v>
      </c>
      <c r="E2491">
        <v>2</v>
      </c>
      <c r="F2491" t="s">
        <v>3471</v>
      </c>
    </row>
    <row r="2492" spans="1:6" x14ac:dyDescent="0.25">
      <c r="A2492" t="s">
        <v>1522</v>
      </c>
      <c r="B2492" t="s">
        <v>703</v>
      </c>
      <c r="C2492" t="s">
        <v>704</v>
      </c>
      <c r="D2492" t="str">
        <f>HYPERLINK("http://service.sap.com/sap/support/notes/1665985","1665985")</f>
        <v>1665985</v>
      </c>
      <c r="E2492">
        <v>2</v>
      </c>
      <c r="F2492" t="s">
        <v>3472</v>
      </c>
    </row>
    <row r="2493" spans="1:6" x14ac:dyDescent="0.25">
      <c r="A2493" t="s">
        <v>1522</v>
      </c>
      <c r="B2493" t="s">
        <v>703</v>
      </c>
      <c r="C2493" t="s">
        <v>704</v>
      </c>
      <c r="D2493" t="str">
        <f>HYPERLINK("http://service.sap.com/sap/support/notes/1666341","1666341")</f>
        <v>1666341</v>
      </c>
      <c r="E2493">
        <v>2</v>
      </c>
      <c r="F2493" t="s">
        <v>3473</v>
      </c>
    </row>
    <row r="2494" spans="1:6" x14ac:dyDescent="0.25">
      <c r="A2494" t="s">
        <v>1522</v>
      </c>
      <c r="B2494" t="s">
        <v>703</v>
      </c>
      <c r="C2494" t="s">
        <v>704</v>
      </c>
      <c r="D2494" t="str">
        <f>HYPERLINK("http://service.sap.com/sap/support/notes/1666342","1666342")</f>
        <v>1666342</v>
      </c>
      <c r="E2494">
        <v>2</v>
      </c>
      <c r="F2494" t="s">
        <v>3474</v>
      </c>
    </row>
    <row r="2495" spans="1:6" x14ac:dyDescent="0.25">
      <c r="A2495" t="s">
        <v>1522</v>
      </c>
      <c r="B2495" t="s">
        <v>703</v>
      </c>
      <c r="C2495" t="s">
        <v>704</v>
      </c>
      <c r="D2495" t="str">
        <f>HYPERLINK("http://service.sap.com/sap/support/notes/1669146","1669146")</f>
        <v>1669146</v>
      </c>
      <c r="E2495">
        <v>1</v>
      </c>
      <c r="F2495" t="s">
        <v>3475</v>
      </c>
    </row>
    <row r="2496" spans="1:6" x14ac:dyDescent="0.25">
      <c r="A2496" t="s">
        <v>1522</v>
      </c>
      <c r="B2496" t="s">
        <v>703</v>
      </c>
      <c r="C2496" t="s">
        <v>704</v>
      </c>
      <c r="D2496" t="str">
        <f>HYPERLINK("http://service.sap.com/sap/support/notes/1669393","1669393")</f>
        <v>1669393</v>
      </c>
      <c r="E2496">
        <v>2</v>
      </c>
      <c r="F2496" t="s">
        <v>3476</v>
      </c>
    </row>
    <row r="2497" spans="1:6" x14ac:dyDescent="0.25">
      <c r="A2497" t="s">
        <v>1522</v>
      </c>
      <c r="B2497" t="s">
        <v>703</v>
      </c>
      <c r="C2497" t="s">
        <v>704</v>
      </c>
      <c r="D2497" t="str">
        <f>HYPERLINK("http://service.sap.com/sap/support/notes/1671962","1671962")</f>
        <v>1671962</v>
      </c>
      <c r="E2497">
        <v>1</v>
      </c>
      <c r="F2497" t="s">
        <v>3477</v>
      </c>
    </row>
    <row r="2498" spans="1:6" x14ac:dyDescent="0.25">
      <c r="A2498" t="s">
        <v>1522</v>
      </c>
      <c r="B2498" t="s">
        <v>703</v>
      </c>
      <c r="C2498" t="s">
        <v>704</v>
      </c>
      <c r="D2498" t="str">
        <f>HYPERLINK("http://service.sap.com/sap/support/notes/1672958","1672958")</f>
        <v>1672958</v>
      </c>
      <c r="E2498">
        <v>1</v>
      </c>
      <c r="F2498" t="s">
        <v>3478</v>
      </c>
    </row>
    <row r="2499" spans="1:6" x14ac:dyDescent="0.25">
      <c r="A2499" t="s">
        <v>1522</v>
      </c>
      <c r="B2499" t="s">
        <v>3479</v>
      </c>
      <c r="C2499" t="s">
        <v>3480</v>
      </c>
      <c r="D2499" t="str">
        <f>HYPERLINK("http://service.sap.com/sap/support/notes/1638397","1638397")</f>
        <v>1638397</v>
      </c>
      <c r="E2499">
        <v>1</v>
      </c>
      <c r="F2499" t="s">
        <v>3481</v>
      </c>
    </row>
    <row r="2500" spans="1:6" x14ac:dyDescent="0.25">
      <c r="A2500" t="s">
        <v>1522</v>
      </c>
      <c r="B2500" t="s">
        <v>3482</v>
      </c>
      <c r="C2500" t="s">
        <v>3483</v>
      </c>
      <c r="D2500" t="str">
        <f>HYPERLINK("http://service.sap.com/sap/support/notes/1659051","1659051")</f>
        <v>1659051</v>
      </c>
      <c r="E2500">
        <v>2</v>
      </c>
      <c r="F2500" t="s">
        <v>3484</v>
      </c>
    </row>
    <row r="2501" spans="1:6" x14ac:dyDescent="0.25">
      <c r="A2501" t="s">
        <v>1522</v>
      </c>
      <c r="B2501" t="s">
        <v>3485</v>
      </c>
      <c r="C2501" t="s">
        <v>3486</v>
      </c>
      <c r="D2501" t="str">
        <f>HYPERLINK("http://service.sap.com/sap/support/notes/1640028","1640028")</f>
        <v>1640028</v>
      </c>
      <c r="E2501">
        <v>1</v>
      </c>
      <c r="F2501" t="s">
        <v>3487</v>
      </c>
    </row>
    <row r="2502" spans="1:6" x14ac:dyDescent="0.25">
      <c r="A2502" t="s">
        <v>1522</v>
      </c>
      <c r="B2502" t="s">
        <v>3485</v>
      </c>
      <c r="C2502" t="s">
        <v>3486</v>
      </c>
      <c r="D2502" t="str">
        <f>HYPERLINK("http://service.sap.com/sap/support/notes/1644654","1644654")</f>
        <v>1644654</v>
      </c>
      <c r="E2502">
        <v>1</v>
      </c>
      <c r="F2502" t="s">
        <v>3488</v>
      </c>
    </row>
    <row r="2503" spans="1:6" x14ac:dyDescent="0.25">
      <c r="A2503" t="s">
        <v>1522</v>
      </c>
      <c r="B2503" t="s">
        <v>3485</v>
      </c>
      <c r="C2503" t="s">
        <v>3486</v>
      </c>
      <c r="D2503" t="str">
        <f>HYPERLINK("http://service.sap.com/sap/support/notes/1655084","1655084")</f>
        <v>1655084</v>
      </c>
      <c r="E2503">
        <v>2</v>
      </c>
      <c r="F2503" t="s">
        <v>3489</v>
      </c>
    </row>
    <row r="2504" spans="1:6" x14ac:dyDescent="0.25">
      <c r="A2504" t="s">
        <v>1522</v>
      </c>
      <c r="B2504" t="s">
        <v>3485</v>
      </c>
      <c r="C2504" t="s">
        <v>3486</v>
      </c>
      <c r="D2504" t="str">
        <f>HYPERLINK("http://service.sap.com/sap/support/notes/1656861","1656861")</f>
        <v>1656861</v>
      </c>
      <c r="E2504">
        <v>1</v>
      </c>
      <c r="F2504" t="s">
        <v>3490</v>
      </c>
    </row>
    <row r="2505" spans="1:6" x14ac:dyDescent="0.25">
      <c r="A2505" t="s">
        <v>1522</v>
      </c>
      <c r="B2505" t="s">
        <v>3485</v>
      </c>
      <c r="C2505" t="s">
        <v>3486</v>
      </c>
      <c r="D2505" t="str">
        <f>HYPERLINK("http://service.sap.com/sap/support/notes/1657029","1657029")</f>
        <v>1657029</v>
      </c>
      <c r="E2505">
        <v>1</v>
      </c>
      <c r="F2505" t="s">
        <v>3491</v>
      </c>
    </row>
    <row r="2506" spans="1:6" x14ac:dyDescent="0.25">
      <c r="A2506" t="s">
        <v>1522</v>
      </c>
      <c r="B2506" t="s">
        <v>707</v>
      </c>
      <c r="C2506" t="s">
        <v>708</v>
      </c>
      <c r="D2506" t="str">
        <f>HYPERLINK("http://service.sap.com/sap/support/notes/1626846","1626846")</f>
        <v>1626846</v>
      </c>
      <c r="E2506">
        <v>2</v>
      </c>
      <c r="F2506" t="s">
        <v>3492</v>
      </c>
    </row>
    <row r="2507" spans="1:6" x14ac:dyDescent="0.25">
      <c r="A2507" t="s">
        <v>1522</v>
      </c>
      <c r="B2507" t="s">
        <v>707</v>
      </c>
      <c r="C2507" t="s">
        <v>708</v>
      </c>
      <c r="D2507" t="str">
        <f>HYPERLINK("http://service.sap.com/sap/support/notes/1633208","1633208")</f>
        <v>1633208</v>
      </c>
      <c r="E2507">
        <v>1</v>
      </c>
      <c r="F2507" t="s">
        <v>3493</v>
      </c>
    </row>
    <row r="2508" spans="1:6" x14ac:dyDescent="0.25">
      <c r="A2508" t="s">
        <v>1522</v>
      </c>
      <c r="B2508" t="s">
        <v>707</v>
      </c>
      <c r="C2508" t="s">
        <v>708</v>
      </c>
      <c r="D2508" t="str">
        <f>HYPERLINK("http://service.sap.com/sap/support/notes/1637509","1637509")</f>
        <v>1637509</v>
      </c>
      <c r="E2508">
        <v>1</v>
      </c>
      <c r="F2508" t="s">
        <v>3494</v>
      </c>
    </row>
    <row r="2509" spans="1:6" x14ac:dyDescent="0.25">
      <c r="A2509" t="s">
        <v>1522</v>
      </c>
      <c r="B2509" t="s">
        <v>707</v>
      </c>
      <c r="C2509" t="s">
        <v>708</v>
      </c>
      <c r="D2509" t="str">
        <f>HYPERLINK("http://service.sap.com/sap/support/notes/1638305","1638305")</f>
        <v>1638305</v>
      </c>
      <c r="E2509">
        <v>1</v>
      </c>
      <c r="F2509" t="s">
        <v>3495</v>
      </c>
    </row>
    <row r="2510" spans="1:6" x14ac:dyDescent="0.25">
      <c r="A2510" t="s">
        <v>1522</v>
      </c>
      <c r="B2510" t="s">
        <v>707</v>
      </c>
      <c r="C2510" t="s">
        <v>708</v>
      </c>
      <c r="D2510" t="str">
        <f>HYPERLINK("http://service.sap.com/sap/support/notes/1639496","1639496")</f>
        <v>1639496</v>
      </c>
      <c r="E2510">
        <v>1</v>
      </c>
      <c r="F2510" t="s">
        <v>3496</v>
      </c>
    </row>
    <row r="2511" spans="1:6" x14ac:dyDescent="0.25">
      <c r="A2511" t="s">
        <v>1522</v>
      </c>
      <c r="B2511" t="s">
        <v>707</v>
      </c>
      <c r="C2511" t="s">
        <v>708</v>
      </c>
      <c r="D2511" t="str">
        <f>HYPERLINK("http://service.sap.com/sap/support/notes/1641056","1641056")</f>
        <v>1641056</v>
      </c>
      <c r="E2511">
        <v>1</v>
      </c>
      <c r="F2511" t="s">
        <v>3497</v>
      </c>
    </row>
    <row r="2512" spans="1:6" x14ac:dyDescent="0.25">
      <c r="A2512" t="s">
        <v>1522</v>
      </c>
      <c r="B2512" t="s">
        <v>707</v>
      </c>
      <c r="C2512" t="s">
        <v>708</v>
      </c>
      <c r="D2512" t="str">
        <f>HYPERLINK("http://service.sap.com/sap/support/notes/1644422","1644422")</f>
        <v>1644422</v>
      </c>
      <c r="E2512">
        <v>1</v>
      </c>
      <c r="F2512" t="s">
        <v>3498</v>
      </c>
    </row>
    <row r="2513" spans="1:6" x14ac:dyDescent="0.25">
      <c r="A2513" t="s">
        <v>1522</v>
      </c>
      <c r="B2513" t="s">
        <v>707</v>
      </c>
      <c r="C2513" t="s">
        <v>708</v>
      </c>
      <c r="D2513" t="str">
        <f>HYPERLINK("http://service.sap.com/sap/support/notes/1645440","1645440")</f>
        <v>1645440</v>
      </c>
      <c r="E2513">
        <v>2</v>
      </c>
      <c r="F2513" t="s">
        <v>3499</v>
      </c>
    </row>
    <row r="2514" spans="1:6" x14ac:dyDescent="0.25">
      <c r="A2514" t="s">
        <v>1522</v>
      </c>
      <c r="B2514" t="s">
        <v>707</v>
      </c>
      <c r="C2514" t="s">
        <v>708</v>
      </c>
      <c r="D2514" t="str">
        <f>HYPERLINK("http://service.sap.com/sap/support/notes/1645663","1645663")</f>
        <v>1645663</v>
      </c>
      <c r="E2514">
        <v>2</v>
      </c>
      <c r="F2514" t="s">
        <v>3500</v>
      </c>
    </row>
    <row r="2515" spans="1:6" x14ac:dyDescent="0.25">
      <c r="A2515" t="s">
        <v>1522</v>
      </c>
      <c r="B2515" t="s">
        <v>707</v>
      </c>
      <c r="C2515" t="s">
        <v>708</v>
      </c>
      <c r="D2515" t="str">
        <f>HYPERLINK("http://service.sap.com/sap/support/notes/1646237","1646237")</f>
        <v>1646237</v>
      </c>
      <c r="E2515">
        <v>1</v>
      </c>
      <c r="F2515" t="s">
        <v>3501</v>
      </c>
    </row>
    <row r="2516" spans="1:6" x14ac:dyDescent="0.25">
      <c r="A2516" t="s">
        <v>1522</v>
      </c>
      <c r="B2516" t="s">
        <v>707</v>
      </c>
      <c r="C2516" t="s">
        <v>708</v>
      </c>
      <c r="D2516" t="str">
        <f>HYPERLINK("http://service.sap.com/sap/support/notes/1651382","1651382")</f>
        <v>1651382</v>
      </c>
      <c r="E2516">
        <v>3</v>
      </c>
      <c r="F2516" t="s">
        <v>3502</v>
      </c>
    </row>
    <row r="2517" spans="1:6" x14ac:dyDescent="0.25">
      <c r="A2517" t="s">
        <v>1522</v>
      </c>
      <c r="B2517" t="s">
        <v>707</v>
      </c>
      <c r="C2517" t="s">
        <v>708</v>
      </c>
      <c r="D2517" t="str">
        <f>HYPERLINK("http://service.sap.com/sap/support/notes/1652617","1652617")</f>
        <v>1652617</v>
      </c>
      <c r="E2517">
        <v>1</v>
      </c>
      <c r="F2517" t="s">
        <v>3503</v>
      </c>
    </row>
    <row r="2518" spans="1:6" x14ac:dyDescent="0.25">
      <c r="A2518" t="s">
        <v>1522</v>
      </c>
      <c r="B2518" t="s">
        <v>707</v>
      </c>
      <c r="C2518" t="s">
        <v>708</v>
      </c>
      <c r="D2518" t="str">
        <f>HYPERLINK("http://service.sap.com/sap/support/notes/1655130","1655130")</f>
        <v>1655130</v>
      </c>
      <c r="E2518">
        <v>2</v>
      </c>
      <c r="F2518" t="s">
        <v>3504</v>
      </c>
    </row>
    <row r="2519" spans="1:6" x14ac:dyDescent="0.25">
      <c r="A2519" t="s">
        <v>1522</v>
      </c>
      <c r="B2519" t="s">
        <v>707</v>
      </c>
      <c r="C2519" t="s">
        <v>708</v>
      </c>
      <c r="D2519" t="str">
        <f>HYPERLINK("http://service.sap.com/sap/support/notes/1655345","1655345")</f>
        <v>1655345</v>
      </c>
      <c r="E2519">
        <v>1</v>
      </c>
      <c r="F2519" t="s">
        <v>3505</v>
      </c>
    </row>
    <row r="2520" spans="1:6" x14ac:dyDescent="0.25">
      <c r="A2520" t="s">
        <v>1522</v>
      </c>
      <c r="B2520" t="s">
        <v>707</v>
      </c>
      <c r="C2520" t="s">
        <v>708</v>
      </c>
      <c r="D2520" t="str">
        <f>HYPERLINK("http://service.sap.com/sap/support/notes/1660495","1660495")</f>
        <v>1660495</v>
      </c>
      <c r="E2520">
        <v>1</v>
      </c>
      <c r="F2520" t="s">
        <v>3506</v>
      </c>
    </row>
    <row r="2521" spans="1:6" x14ac:dyDescent="0.25">
      <c r="A2521" t="s">
        <v>1522</v>
      </c>
      <c r="B2521" t="s">
        <v>707</v>
      </c>
      <c r="C2521" t="s">
        <v>708</v>
      </c>
      <c r="D2521" t="str">
        <f>HYPERLINK("http://service.sap.com/sap/support/notes/1664207","1664207")</f>
        <v>1664207</v>
      </c>
      <c r="E2521">
        <v>1</v>
      </c>
      <c r="F2521" t="s">
        <v>3507</v>
      </c>
    </row>
    <row r="2522" spans="1:6" x14ac:dyDescent="0.25">
      <c r="A2522" t="s">
        <v>1522</v>
      </c>
      <c r="B2522" t="s">
        <v>707</v>
      </c>
      <c r="C2522" t="s">
        <v>708</v>
      </c>
      <c r="D2522" t="str">
        <f>HYPERLINK("http://service.sap.com/sap/support/notes/1666878","1666878")</f>
        <v>1666878</v>
      </c>
      <c r="E2522">
        <v>1</v>
      </c>
      <c r="F2522" t="s">
        <v>3508</v>
      </c>
    </row>
    <row r="2523" spans="1:6" x14ac:dyDescent="0.25">
      <c r="A2523" t="s">
        <v>1522</v>
      </c>
      <c r="B2523" t="s">
        <v>3509</v>
      </c>
      <c r="C2523" t="s">
        <v>141</v>
      </c>
      <c r="D2523" t="str">
        <f>HYPERLINK("http://service.sap.com/sap/support/notes/1613704","1613704")</f>
        <v>1613704</v>
      </c>
      <c r="E2523">
        <v>2</v>
      </c>
      <c r="F2523" t="s">
        <v>3510</v>
      </c>
    </row>
    <row r="2524" spans="1:6" x14ac:dyDescent="0.25">
      <c r="A2524" t="s">
        <v>1522</v>
      </c>
      <c r="B2524" t="s">
        <v>3511</v>
      </c>
      <c r="C2524" t="s">
        <v>170</v>
      </c>
      <c r="D2524" t="str">
        <f>HYPERLINK("http://service.sap.com/sap/support/notes/1638785","1638785")</f>
        <v>1638785</v>
      </c>
      <c r="E2524">
        <v>1</v>
      </c>
      <c r="F2524" t="s">
        <v>3512</v>
      </c>
    </row>
    <row r="2525" spans="1:6" x14ac:dyDescent="0.25">
      <c r="A2525" t="s">
        <v>1522</v>
      </c>
      <c r="B2525" t="s">
        <v>3511</v>
      </c>
      <c r="C2525" t="s">
        <v>170</v>
      </c>
      <c r="D2525" t="str">
        <f>HYPERLINK("http://service.sap.com/sap/support/notes/1642833","1642833")</f>
        <v>1642833</v>
      </c>
      <c r="E2525">
        <v>1</v>
      </c>
      <c r="F2525" t="s">
        <v>3513</v>
      </c>
    </row>
    <row r="2526" spans="1:6" x14ac:dyDescent="0.25">
      <c r="A2526" t="s">
        <v>1522</v>
      </c>
      <c r="B2526" t="s">
        <v>3511</v>
      </c>
      <c r="C2526" t="s">
        <v>170</v>
      </c>
      <c r="D2526" t="str">
        <f>HYPERLINK("http://service.sap.com/sap/support/notes/1669919","1669919")</f>
        <v>1669919</v>
      </c>
      <c r="E2526">
        <v>1</v>
      </c>
      <c r="F2526" t="s">
        <v>3514</v>
      </c>
    </row>
    <row r="2527" spans="1:6" x14ac:dyDescent="0.25">
      <c r="A2527" t="s">
        <v>1522</v>
      </c>
      <c r="B2527" t="s">
        <v>710</v>
      </c>
      <c r="C2527" t="s">
        <v>711</v>
      </c>
      <c r="D2527" t="str">
        <f>HYPERLINK("http://service.sap.com/sap/support/notes/1523750","1523750")</f>
        <v>1523750</v>
      </c>
      <c r="E2527">
        <v>4</v>
      </c>
      <c r="F2527" t="s">
        <v>3515</v>
      </c>
    </row>
    <row r="2528" spans="1:6" x14ac:dyDescent="0.25">
      <c r="A2528" t="s">
        <v>1522</v>
      </c>
      <c r="B2528" t="s">
        <v>3516</v>
      </c>
      <c r="C2528" t="s">
        <v>3517</v>
      </c>
      <c r="D2528" t="str">
        <f>HYPERLINK("http://service.sap.com/sap/support/notes/1121035","1121035")</f>
        <v>1121035</v>
      </c>
      <c r="E2528">
        <v>4</v>
      </c>
      <c r="F2528" t="s">
        <v>3518</v>
      </c>
    </row>
    <row r="2529" spans="1:6" x14ac:dyDescent="0.25">
      <c r="A2529" t="s">
        <v>1522</v>
      </c>
      <c r="B2529" t="s">
        <v>3519</v>
      </c>
      <c r="C2529" t="s">
        <v>3520</v>
      </c>
      <c r="D2529" t="str">
        <f>HYPERLINK("http://service.sap.com/sap/support/notes/1616217","1616217")</f>
        <v>1616217</v>
      </c>
      <c r="E2529">
        <v>2</v>
      </c>
      <c r="F2529" t="s">
        <v>3521</v>
      </c>
    </row>
    <row r="2530" spans="1:6" x14ac:dyDescent="0.25">
      <c r="A2530" t="s">
        <v>1522</v>
      </c>
      <c r="B2530" t="s">
        <v>3522</v>
      </c>
      <c r="C2530" t="s">
        <v>3283</v>
      </c>
      <c r="D2530" t="str">
        <f>HYPERLINK("http://service.sap.com/sap/support/notes/1611815","1611815")</f>
        <v>1611815</v>
      </c>
      <c r="E2530">
        <v>2</v>
      </c>
      <c r="F2530" t="s">
        <v>3523</v>
      </c>
    </row>
    <row r="2531" spans="1:6" x14ac:dyDescent="0.25">
      <c r="A2531" t="s">
        <v>1522</v>
      </c>
      <c r="B2531" t="s">
        <v>3522</v>
      </c>
      <c r="C2531" t="s">
        <v>3283</v>
      </c>
      <c r="D2531" t="str">
        <f>HYPERLINK("http://service.sap.com/sap/support/notes/1627180","1627180")</f>
        <v>1627180</v>
      </c>
      <c r="E2531">
        <v>1</v>
      </c>
      <c r="F2531" t="s">
        <v>3524</v>
      </c>
    </row>
    <row r="2532" spans="1:6" x14ac:dyDescent="0.25">
      <c r="A2532" t="s">
        <v>1522</v>
      </c>
      <c r="B2532" t="s">
        <v>3522</v>
      </c>
      <c r="C2532" t="s">
        <v>3283</v>
      </c>
      <c r="D2532" t="str">
        <f>HYPERLINK("http://service.sap.com/sap/support/notes/1638749","1638749")</f>
        <v>1638749</v>
      </c>
      <c r="E2532">
        <v>4</v>
      </c>
      <c r="F2532" t="s">
        <v>3525</v>
      </c>
    </row>
    <row r="2533" spans="1:6" x14ac:dyDescent="0.25">
      <c r="A2533" t="s">
        <v>1522</v>
      </c>
      <c r="B2533" t="s">
        <v>3522</v>
      </c>
      <c r="C2533" t="s">
        <v>3283</v>
      </c>
      <c r="D2533" t="str">
        <f>HYPERLINK("http://service.sap.com/sap/support/notes/1639805","1639805")</f>
        <v>1639805</v>
      </c>
      <c r="E2533">
        <v>3</v>
      </c>
      <c r="F2533" t="s">
        <v>3526</v>
      </c>
    </row>
    <row r="2534" spans="1:6" x14ac:dyDescent="0.25">
      <c r="A2534" t="s">
        <v>1522</v>
      </c>
      <c r="B2534" t="s">
        <v>3522</v>
      </c>
      <c r="C2534" t="s">
        <v>3283</v>
      </c>
      <c r="D2534" t="str">
        <f>HYPERLINK("http://service.sap.com/sap/support/notes/1640766","1640766")</f>
        <v>1640766</v>
      </c>
      <c r="E2534">
        <v>1</v>
      </c>
      <c r="F2534" t="s">
        <v>3527</v>
      </c>
    </row>
    <row r="2535" spans="1:6" x14ac:dyDescent="0.25">
      <c r="A2535" t="s">
        <v>1522</v>
      </c>
      <c r="B2535" t="s">
        <v>3522</v>
      </c>
      <c r="C2535" t="s">
        <v>3283</v>
      </c>
      <c r="D2535" t="str">
        <f>HYPERLINK("http://service.sap.com/sap/support/notes/1644268","1644268")</f>
        <v>1644268</v>
      </c>
      <c r="E2535">
        <v>5</v>
      </c>
      <c r="F2535" t="s">
        <v>3528</v>
      </c>
    </row>
    <row r="2536" spans="1:6" x14ac:dyDescent="0.25">
      <c r="A2536" t="s">
        <v>1522</v>
      </c>
      <c r="B2536" t="s">
        <v>3522</v>
      </c>
      <c r="C2536" t="s">
        <v>3283</v>
      </c>
      <c r="D2536" t="str">
        <f>HYPERLINK("http://service.sap.com/sap/support/notes/1644718","1644718")</f>
        <v>1644718</v>
      </c>
      <c r="E2536">
        <v>3</v>
      </c>
      <c r="F2536" t="s">
        <v>3529</v>
      </c>
    </row>
    <row r="2537" spans="1:6" x14ac:dyDescent="0.25">
      <c r="A2537" t="s">
        <v>1522</v>
      </c>
      <c r="B2537" t="s">
        <v>3522</v>
      </c>
      <c r="C2537" t="s">
        <v>3283</v>
      </c>
      <c r="D2537" t="str">
        <f>HYPERLINK("http://service.sap.com/sap/support/notes/1653684","1653684")</f>
        <v>1653684</v>
      </c>
      <c r="E2537">
        <v>2</v>
      </c>
      <c r="F2537" t="s">
        <v>3530</v>
      </c>
    </row>
    <row r="2538" spans="1:6" x14ac:dyDescent="0.25">
      <c r="A2538" t="s">
        <v>1522</v>
      </c>
      <c r="B2538" t="s">
        <v>3522</v>
      </c>
      <c r="C2538" t="s">
        <v>3283</v>
      </c>
      <c r="D2538" t="str">
        <f>HYPERLINK("http://service.sap.com/sap/support/notes/1655583","1655583")</f>
        <v>1655583</v>
      </c>
      <c r="E2538">
        <v>1</v>
      </c>
      <c r="F2538" t="s">
        <v>3531</v>
      </c>
    </row>
    <row r="2539" spans="1:6" x14ac:dyDescent="0.25">
      <c r="A2539" t="s">
        <v>1522</v>
      </c>
      <c r="B2539" t="s">
        <v>3522</v>
      </c>
      <c r="C2539" t="s">
        <v>3283</v>
      </c>
      <c r="D2539" t="str">
        <f>HYPERLINK("http://service.sap.com/sap/support/notes/1664763","1664763")</f>
        <v>1664763</v>
      </c>
      <c r="E2539">
        <v>2</v>
      </c>
      <c r="F2539" t="s">
        <v>3532</v>
      </c>
    </row>
    <row r="2540" spans="1:6" x14ac:dyDescent="0.25">
      <c r="A2540" t="s">
        <v>1522</v>
      </c>
      <c r="B2540" t="s">
        <v>3533</v>
      </c>
      <c r="C2540" t="s">
        <v>337</v>
      </c>
      <c r="D2540" t="str">
        <f>HYPERLINK("http://service.sap.com/sap/support/notes/1626078","1626078")</f>
        <v>1626078</v>
      </c>
      <c r="E2540">
        <v>2</v>
      </c>
      <c r="F2540" t="s">
        <v>3534</v>
      </c>
    </row>
    <row r="2541" spans="1:6" x14ac:dyDescent="0.25">
      <c r="A2541" t="s">
        <v>1522</v>
      </c>
      <c r="B2541" t="s">
        <v>3533</v>
      </c>
      <c r="C2541" t="s">
        <v>337</v>
      </c>
      <c r="D2541" t="str">
        <f>HYPERLINK("http://service.sap.com/sap/support/notes/1642786","1642786")</f>
        <v>1642786</v>
      </c>
      <c r="E2541">
        <v>2</v>
      </c>
      <c r="F2541" t="s">
        <v>3535</v>
      </c>
    </row>
    <row r="2542" spans="1:6" x14ac:dyDescent="0.25">
      <c r="A2542" t="s">
        <v>1522</v>
      </c>
      <c r="B2542" t="s">
        <v>3536</v>
      </c>
      <c r="C2542" t="s">
        <v>3537</v>
      </c>
      <c r="D2542" t="str">
        <f>HYPERLINK("http://service.sap.com/sap/support/notes/1650356","1650356")</f>
        <v>1650356</v>
      </c>
      <c r="E2542">
        <v>2</v>
      </c>
      <c r="F2542" t="s">
        <v>3538</v>
      </c>
    </row>
    <row r="2543" spans="1:6" x14ac:dyDescent="0.25">
      <c r="A2543" t="s">
        <v>1522</v>
      </c>
      <c r="B2543" t="s">
        <v>3536</v>
      </c>
      <c r="C2543" t="s">
        <v>3537</v>
      </c>
      <c r="D2543" t="str">
        <f>HYPERLINK("http://service.sap.com/sap/support/notes/1658508","1658508")</f>
        <v>1658508</v>
      </c>
      <c r="E2543">
        <v>2</v>
      </c>
      <c r="F2543" t="s">
        <v>3539</v>
      </c>
    </row>
    <row r="2544" spans="1:6" x14ac:dyDescent="0.25">
      <c r="A2544" t="s">
        <v>1522</v>
      </c>
      <c r="B2544" t="s">
        <v>3540</v>
      </c>
      <c r="C2544" t="s">
        <v>3541</v>
      </c>
      <c r="D2544" t="str">
        <f>HYPERLINK("http://service.sap.com/sap/support/notes/1643872","1643872")</f>
        <v>1643872</v>
      </c>
      <c r="E2544">
        <v>3</v>
      </c>
      <c r="F2544" t="s">
        <v>3542</v>
      </c>
    </row>
    <row r="2545" spans="1:6" x14ac:dyDescent="0.25">
      <c r="A2545" t="s">
        <v>1522</v>
      </c>
      <c r="B2545" t="s">
        <v>712</v>
      </c>
      <c r="C2545" t="s">
        <v>713</v>
      </c>
      <c r="D2545" t="str">
        <f>HYPERLINK("http://service.sap.com/sap/support/notes/1597640","1597640")</f>
        <v>1597640</v>
      </c>
      <c r="E2545">
        <v>3</v>
      </c>
      <c r="F2545" t="s">
        <v>3543</v>
      </c>
    </row>
    <row r="2546" spans="1:6" x14ac:dyDescent="0.25">
      <c r="A2546" t="s">
        <v>1522</v>
      </c>
      <c r="B2546" t="s">
        <v>712</v>
      </c>
      <c r="C2546" t="s">
        <v>713</v>
      </c>
      <c r="D2546" t="str">
        <f>HYPERLINK("http://service.sap.com/sap/support/notes/1619203","1619203")</f>
        <v>1619203</v>
      </c>
      <c r="E2546">
        <v>1</v>
      </c>
      <c r="F2546" t="s">
        <v>3544</v>
      </c>
    </row>
    <row r="2547" spans="1:6" x14ac:dyDescent="0.25">
      <c r="A2547" t="s">
        <v>1522</v>
      </c>
      <c r="B2547" t="s">
        <v>712</v>
      </c>
      <c r="C2547" t="s">
        <v>713</v>
      </c>
      <c r="D2547" t="str">
        <f>HYPERLINK("http://service.sap.com/sap/support/notes/1619289","1619289")</f>
        <v>1619289</v>
      </c>
      <c r="E2547">
        <v>1</v>
      </c>
      <c r="F2547" t="s">
        <v>3545</v>
      </c>
    </row>
    <row r="2548" spans="1:6" x14ac:dyDescent="0.25">
      <c r="A2548" t="s">
        <v>1522</v>
      </c>
      <c r="B2548" t="s">
        <v>712</v>
      </c>
      <c r="C2548" t="s">
        <v>713</v>
      </c>
      <c r="D2548" t="str">
        <f>HYPERLINK("http://service.sap.com/sap/support/notes/1624891","1624891")</f>
        <v>1624891</v>
      </c>
      <c r="E2548">
        <v>2</v>
      </c>
      <c r="F2548" t="s">
        <v>3546</v>
      </c>
    </row>
    <row r="2549" spans="1:6" x14ac:dyDescent="0.25">
      <c r="A2549" t="s">
        <v>1522</v>
      </c>
      <c r="B2549" t="s">
        <v>712</v>
      </c>
      <c r="C2549" t="s">
        <v>713</v>
      </c>
      <c r="D2549" t="str">
        <f>HYPERLINK("http://service.sap.com/sap/support/notes/1631184","1631184")</f>
        <v>1631184</v>
      </c>
      <c r="E2549">
        <v>1</v>
      </c>
      <c r="F2549" t="s">
        <v>3547</v>
      </c>
    </row>
    <row r="2550" spans="1:6" x14ac:dyDescent="0.25">
      <c r="A2550" t="s">
        <v>1522</v>
      </c>
      <c r="B2550" t="s">
        <v>712</v>
      </c>
      <c r="C2550" t="s">
        <v>713</v>
      </c>
      <c r="D2550" t="str">
        <f>HYPERLINK("http://service.sap.com/sap/support/notes/1652350","1652350")</f>
        <v>1652350</v>
      </c>
      <c r="E2550">
        <v>3</v>
      </c>
      <c r="F2550" t="s">
        <v>3548</v>
      </c>
    </row>
    <row r="2551" spans="1:6" x14ac:dyDescent="0.25">
      <c r="A2551" t="s">
        <v>1522</v>
      </c>
      <c r="B2551" t="s">
        <v>3549</v>
      </c>
      <c r="C2551" t="s">
        <v>3550</v>
      </c>
      <c r="D2551" t="str">
        <f>HYPERLINK("http://service.sap.com/sap/support/notes/1593436","1593436")</f>
        <v>1593436</v>
      </c>
      <c r="E2551">
        <v>3</v>
      </c>
      <c r="F2551" t="s">
        <v>3551</v>
      </c>
    </row>
    <row r="2552" spans="1:6" x14ac:dyDescent="0.25">
      <c r="A2552" t="s">
        <v>1522</v>
      </c>
      <c r="B2552" t="s">
        <v>3549</v>
      </c>
      <c r="C2552" t="s">
        <v>3550</v>
      </c>
      <c r="D2552" t="str">
        <f>HYPERLINK("http://service.sap.com/sap/support/notes/1614711","1614711")</f>
        <v>1614711</v>
      </c>
      <c r="E2552">
        <v>6</v>
      </c>
      <c r="F2552" t="s">
        <v>3552</v>
      </c>
    </row>
    <row r="2553" spans="1:6" x14ac:dyDescent="0.25">
      <c r="A2553" t="s">
        <v>1522</v>
      </c>
      <c r="B2553" t="s">
        <v>3549</v>
      </c>
      <c r="C2553" t="s">
        <v>3550</v>
      </c>
      <c r="D2553" t="str">
        <f>HYPERLINK("http://service.sap.com/sap/support/notes/1626390","1626390")</f>
        <v>1626390</v>
      </c>
      <c r="E2553">
        <v>2</v>
      </c>
      <c r="F2553" t="s">
        <v>3553</v>
      </c>
    </row>
    <row r="2554" spans="1:6" x14ac:dyDescent="0.25">
      <c r="A2554" t="s">
        <v>1522</v>
      </c>
      <c r="B2554" t="s">
        <v>3549</v>
      </c>
      <c r="C2554" t="s">
        <v>3550</v>
      </c>
      <c r="D2554" t="str">
        <f>HYPERLINK("http://service.sap.com/sap/support/notes/1635995","1635995")</f>
        <v>1635995</v>
      </c>
      <c r="E2554">
        <v>2</v>
      </c>
      <c r="F2554" t="s">
        <v>3554</v>
      </c>
    </row>
    <row r="2555" spans="1:6" x14ac:dyDescent="0.25">
      <c r="A2555" t="s">
        <v>1522</v>
      </c>
      <c r="B2555" t="s">
        <v>3549</v>
      </c>
      <c r="C2555" t="s">
        <v>3550</v>
      </c>
      <c r="D2555" t="str">
        <f>HYPERLINK("http://service.sap.com/sap/support/notes/1668433","1668433")</f>
        <v>1668433</v>
      </c>
      <c r="E2555">
        <v>2</v>
      </c>
      <c r="F2555" t="s">
        <v>3555</v>
      </c>
    </row>
    <row r="2556" spans="1:6" x14ac:dyDescent="0.25">
      <c r="A2556" t="s">
        <v>1522</v>
      </c>
      <c r="B2556" t="s">
        <v>3556</v>
      </c>
      <c r="C2556" t="s">
        <v>291</v>
      </c>
      <c r="D2556" t="str">
        <f>HYPERLINK("http://service.sap.com/sap/support/notes/1638759","1638759")</f>
        <v>1638759</v>
      </c>
      <c r="E2556">
        <v>3</v>
      </c>
      <c r="F2556" t="s">
        <v>3557</v>
      </c>
    </row>
    <row r="2557" spans="1:6" x14ac:dyDescent="0.25">
      <c r="A2557" t="s">
        <v>1522</v>
      </c>
      <c r="B2557" t="s">
        <v>3556</v>
      </c>
      <c r="C2557" t="s">
        <v>291</v>
      </c>
      <c r="D2557" t="str">
        <f>HYPERLINK("http://service.sap.com/sap/support/notes/1641748","1641748")</f>
        <v>1641748</v>
      </c>
      <c r="E2557">
        <v>3</v>
      </c>
      <c r="F2557" t="s">
        <v>3558</v>
      </c>
    </row>
    <row r="2558" spans="1:6" x14ac:dyDescent="0.25">
      <c r="A2558" t="s">
        <v>1522</v>
      </c>
      <c r="B2558" t="s">
        <v>3559</v>
      </c>
      <c r="C2558" t="s">
        <v>1212</v>
      </c>
      <c r="D2558" t="str">
        <f>HYPERLINK("http://service.sap.com/sap/support/notes/1637681","1637681")</f>
        <v>1637681</v>
      </c>
      <c r="E2558">
        <v>4</v>
      </c>
      <c r="F2558" t="s">
        <v>3560</v>
      </c>
    </row>
    <row r="2559" spans="1:6" x14ac:dyDescent="0.25">
      <c r="A2559" t="s">
        <v>1522</v>
      </c>
      <c r="B2559" t="s">
        <v>3561</v>
      </c>
      <c r="C2559" t="s">
        <v>3562</v>
      </c>
      <c r="D2559" t="str">
        <f>HYPERLINK("http://service.sap.com/sap/support/notes/1608633","1608633")</f>
        <v>1608633</v>
      </c>
      <c r="E2559">
        <v>3</v>
      </c>
      <c r="F2559" t="s">
        <v>3563</v>
      </c>
    </row>
    <row r="2560" spans="1:6" x14ac:dyDescent="0.25">
      <c r="A2560" t="s">
        <v>1522</v>
      </c>
      <c r="B2560" t="s">
        <v>3564</v>
      </c>
      <c r="C2560" t="s">
        <v>3565</v>
      </c>
      <c r="D2560" t="str">
        <f>HYPERLINK("http://service.sap.com/sap/support/notes/1633070","1633070")</f>
        <v>1633070</v>
      </c>
      <c r="E2560">
        <v>2</v>
      </c>
      <c r="F2560" t="s">
        <v>3566</v>
      </c>
    </row>
    <row r="2561" spans="1:6" x14ac:dyDescent="0.25">
      <c r="A2561" t="s">
        <v>1522</v>
      </c>
      <c r="B2561" t="s">
        <v>3564</v>
      </c>
      <c r="C2561" t="s">
        <v>3565</v>
      </c>
      <c r="D2561" t="str">
        <f>HYPERLINK("http://service.sap.com/sap/support/notes/1636801","1636801")</f>
        <v>1636801</v>
      </c>
      <c r="E2561">
        <v>2</v>
      </c>
      <c r="F2561" t="s">
        <v>3567</v>
      </c>
    </row>
    <row r="2562" spans="1:6" x14ac:dyDescent="0.25">
      <c r="A2562" t="s">
        <v>1522</v>
      </c>
      <c r="B2562" t="s">
        <v>3564</v>
      </c>
      <c r="C2562" t="s">
        <v>3565</v>
      </c>
      <c r="D2562" t="str">
        <f>HYPERLINK("http://service.sap.com/sap/support/notes/1663239","1663239")</f>
        <v>1663239</v>
      </c>
      <c r="E2562">
        <v>2</v>
      </c>
      <c r="F2562" t="s">
        <v>3568</v>
      </c>
    </row>
    <row r="2563" spans="1:6" x14ac:dyDescent="0.25">
      <c r="A2563" t="s">
        <v>1522</v>
      </c>
      <c r="B2563" t="s">
        <v>3569</v>
      </c>
      <c r="C2563" t="s">
        <v>3570</v>
      </c>
      <c r="D2563" t="str">
        <f>HYPERLINK("http://service.sap.com/sap/support/notes/1669978","1669978")</f>
        <v>1669978</v>
      </c>
      <c r="E2563">
        <v>1</v>
      </c>
      <c r="F2563" t="s">
        <v>3571</v>
      </c>
    </row>
    <row r="2564" spans="1:6" x14ac:dyDescent="0.25">
      <c r="A2564" t="s">
        <v>1522</v>
      </c>
      <c r="B2564" t="s">
        <v>3572</v>
      </c>
      <c r="C2564" t="s">
        <v>3573</v>
      </c>
      <c r="D2564" t="str">
        <f>HYPERLINK("http://service.sap.com/sap/support/notes/1656927","1656927")</f>
        <v>1656927</v>
      </c>
      <c r="E2564">
        <v>4</v>
      </c>
      <c r="F2564" t="s">
        <v>3574</v>
      </c>
    </row>
    <row r="2565" spans="1:6" x14ac:dyDescent="0.25">
      <c r="A2565" t="s">
        <v>1522</v>
      </c>
      <c r="B2565" t="s">
        <v>3572</v>
      </c>
      <c r="C2565" t="s">
        <v>3573</v>
      </c>
      <c r="D2565" t="str">
        <f>HYPERLINK("http://service.sap.com/sap/support/notes/1666231","1666231")</f>
        <v>1666231</v>
      </c>
      <c r="E2565">
        <v>2</v>
      </c>
      <c r="F2565" t="s">
        <v>3575</v>
      </c>
    </row>
    <row r="2566" spans="1:6" x14ac:dyDescent="0.25">
      <c r="A2566" t="s">
        <v>1522</v>
      </c>
      <c r="B2566" t="s">
        <v>720</v>
      </c>
      <c r="C2566" t="s">
        <v>721</v>
      </c>
      <c r="D2566" t="str">
        <f>HYPERLINK("http://service.sap.com/sap/support/notes/1481676","1481676")</f>
        <v>1481676</v>
      </c>
      <c r="E2566">
        <v>4</v>
      </c>
      <c r="F2566" t="s">
        <v>3576</v>
      </c>
    </row>
    <row r="2567" spans="1:6" x14ac:dyDescent="0.25">
      <c r="A2567" t="s">
        <v>1522</v>
      </c>
      <c r="B2567" t="s">
        <v>720</v>
      </c>
      <c r="C2567" t="s">
        <v>721</v>
      </c>
      <c r="D2567" t="str">
        <f>HYPERLINK("http://service.sap.com/sap/support/notes/1482695","1482695")</f>
        <v>1482695</v>
      </c>
      <c r="E2567">
        <v>3</v>
      </c>
      <c r="F2567" t="s">
        <v>3577</v>
      </c>
    </row>
    <row r="2568" spans="1:6" x14ac:dyDescent="0.25">
      <c r="A2568" t="s">
        <v>1522</v>
      </c>
      <c r="B2568" t="s">
        <v>720</v>
      </c>
      <c r="C2568" t="s">
        <v>721</v>
      </c>
      <c r="D2568" t="str">
        <f>HYPERLINK("http://service.sap.com/sap/support/notes/1559589","1559589")</f>
        <v>1559589</v>
      </c>
      <c r="E2568">
        <v>1</v>
      </c>
      <c r="F2568" t="s">
        <v>3578</v>
      </c>
    </row>
    <row r="2569" spans="1:6" x14ac:dyDescent="0.25">
      <c r="A2569" t="s">
        <v>1522</v>
      </c>
      <c r="B2569" t="s">
        <v>720</v>
      </c>
      <c r="C2569" t="s">
        <v>721</v>
      </c>
      <c r="D2569" t="str">
        <f>HYPERLINK("http://service.sap.com/sap/support/notes/1618784","1618784")</f>
        <v>1618784</v>
      </c>
      <c r="E2569">
        <v>3</v>
      </c>
      <c r="F2569" t="s">
        <v>3579</v>
      </c>
    </row>
    <row r="2570" spans="1:6" x14ac:dyDescent="0.25">
      <c r="A2570" t="s">
        <v>1522</v>
      </c>
      <c r="B2570" t="s">
        <v>720</v>
      </c>
      <c r="C2570" t="s">
        <v>721</v>
      </c>
      <c r="D2570" t="str">
        <f>HYPERLINK("http://service.sap.com/sap/support/notes/1628483","1628483")</f>
        <v>1628483</v>
      </c>
      <c r="E2570">
        <v>2</v>
      </c>
      <c r="F2570" t="s">
        <v>3580</v>
      </c>
    </row>
    <row r="2571" spans="1:6" x14ac:dyDescent="0.25">
      <c r="A2571" t="s">
        <v>1522</v>
      </c>
      <c r="B2571" t="s">
        <v>720</v>
      </c>
      <c r="C2571" t="s">
        <v>721</v>
      </c>
      <c r="D2571" t="str">
        <f>HYPERLINK("http://service.sap.com/sap/support/notes/1637060","1637060")</f>
        <v>1637060</v>
      </c>
      <c r="E2571">
        <v>3</v>
      </c>
      <c r="F2571" t="s">
        <v>3581</v>
      </c>
    </row>
    <row r="2572" spans="1:6" x14ac:dyDescent="0.25">
      <c r="A2572" t="s">
        <v>1522</v>
      </c>
      <c r="B2572" t="s">
        <v>720</v>
      </c>
      <c r="C2572" t="s">
        <v>721</v>
      </c>
      <c r="D2572" t="str">
        <f>HYPERLINK("http://service.sap.com/sap/support/notes/1638903","1638903")</f>
        <v>1638903</v>
      </c>
      <c r="E2572">
        <v>2</v>
      </c>
      <c r="F2572" t="s">
        <v>3582</v>
      </c>
    </row>
    <row r="2573" spans="1:6" x14ac:dyDescent="0.25">
      <c r="A2573" t="s">
        <v>1522</v>
      </c>
      <c r="B2573" t="s">
        <v>720</v>
      </c>
      <c r="C2573" t="s">
        <v>721</v>
      </c>
      <c r="D2573" t="str">
        <f>HYPERLINK("http://service.sap.com/sap/support/notes/1640012","1640012")</f>
        <v>1640012</v>
      </c>
      <c r="E2573">
        <v>1</v>
      </c>
      <c r="F2573" t="s">
        <v>3583</v>
      </c>
    </row>
    <row r="2574" spans="1:6" x14ac:dyDescent="0.25">
      <c r="A2574" t="s">
        <v>1522</v>
      </c>
      <c r="B2574" t="s">
        <v>720</v>
      </c>
      <c r="C2574" t="s">
        <v>721</v>
      </c>
      <c r="D2574" t="str">
        <f>HYPERLINK("http://service.sap.com/sap/support/notes/1645200","1645200")</f>
        <v>1645200</v>
      </c>
      <c r="E2574">
        <v>3</v>
      </c>
      <c r="F2574" t="s">
        <v>3584</v>
      </c>
    </row>
    <row r="2575" spans="1:6" x14ac:dyDescent="0.25">
      <c r="A2575" t="s">
        <v>1522</v>
      </c>
      <c r="B2575" t="s">
        <v>720</v>
      </c>
      <c r="C2575" t="s">
        <v>721</v>
      </c>
      <c r="D2575" t="str">
        <f>HYPERLINK("http://service.sap.com/sap/support/notes/1658222","1658222")</f>
        <v>1658222</v>
      </c>
      <c r="E2575">
        <v>2</v>
      </c>
      <c r="F2575" t="s">
        <v>3585</v>
      </c>
    </row>
    <row r="2576" spans="1:6" x14ac:dyDescent="0.25">
      <c r="A2576" t="s">
        <v>1522</v>
      </c>
      <c r="B2576" t="s">
        <v>720</v>
      </c>
      <c r="C2576" t="s">
        <v>721</v>
      </c>
      <c r="D2576" t="str">
        <f>HYPERLINK("http://service.sap.com/sap/support/notes/1669630","1669630")</f>
        <v>1669630</v>
      </c>
      <c r="E2576">
        <v>2</v>
      </c>
      <c r="F2576" t="s">
        <v>3586</v>
      </c>
    </row>
    <row r="2577" spans="1:6" x14ac:dyDescent="0.25">
      <c r="A2577" t="s">
        <v>1522</v>
      </c>
      <c r="B2577" t="s">
        <v>723</v>
      </c>
      <c r="C2577" t="s">
        <v>724</v>
      </c>
      <c r="D2577" t="str">
        <f>HYPERLINK("http://service.sap.com/sap/support/notes/1603278","1603278")</f>
        <v>1603278</v>
      </c>
      <c r="E2577">
        <v>3</v>
      </c>
      <c r="F2577" t="s">
        <v>3587</v>
      </c>
    </row>
    <row r="2578" spans="1:6" x14ac:dyDescent="0.25">
      <c r="A2578" t="s">
        <v>1522</v>
      </c>
      <c r="B2578" t="s">
        <v>723</v>
      </c>
      <c r="C2578" t="s">
        <v>724</v>
      </c>
      <c r="D2578" t="str">
        <f>HYPERLINK("http://service.sap.com/sap/support/notes/1623283","1623283")</f>
        <v>1623283</v>
      </c>
      <c r="E2578">
        <v>1</v>
      </c>
      <c r="F2578" t="s">
        <v>3588</v>
      </c>
    </row>
    <row r="2579" spans="1:6" x14ac:dyDescent="0.25">
      <c r="A2579" t="s">
        <v>1522</v>
      </c>
      <c r="B2579" t="s">
        <v>723</v>
      </c>
      <c r="C2579" t="s">
        <v>724</v>
      </c>
      <c r="D2579" t="str">
        <f>HYPERLINK("http://service.sap.com/sap/support/notes/1623586","1623586")</f>
        <v>1623586</v>
      </c>
      <c r="E2579">
        <v>3</v>
      </c>
      <c r="F2579" t="s">
        <v>3589</v>
      </c>
    </row>
    <row r="2580" spans="1:6" x14ac:dyDescent="0.25">
      <c r="A2580" t="s">
        <v>1522</v>
      </c>
      <c r="B2580" t="s">
        <v>723</v>
      </c>
      <c r="C2580" t="s">
        <v>724</v>
      </c>
      <c r="D2580" t="str">
        <f>HYPERLINK("http://service.sap.com/sap/support/notes/1630013","1630013")</f>
        <v>1630013</v>
      </c>
      <c r="E2580">
        <v>1</v>
      </c>
      <c r="F2580" t="s">
        <v>3590</v>
      </c>
    </row>
    <row r="2581" spans="1:6" x14ac:dyDescent="0.25">
      <c r="A2581" t="s">
        <v>1522</v>
      </c>
      <c r="B2581" t="s">
        <v>723</v>
      </c>
      <c r="C2581" t="s">
        <v>724</v>
      </c>
      <c r="D2581" t="str">
        <f>HYPERLINK("http://service.sap.com/sap/support/notes/1633022","1633022")</f>
        <v>1633022</v>
      </c>
      <c r="E2581">
        <v>1</v>
      </c>
      <c r="F2581" t="s">
        <v>3591</v>
      </c>
    </row>
    <row r="2582" spans="1:6" x14ac:dyDescent="0.25">
      <c r="A2582" t="s">
        <v>1522</v>
      </c>
      <c r="B2582" t="s">
        <v>723</v>
      </c>
      <c r="C2582" t="s">
        <v>724</v>
      </c>
      <c r="D2582" t="str">
        <f>HYPERLINK("http://service.sap.com/sap/support/notes/1637772","1637772")</f>
        <v>1637772</v>
      </c>
      <c r="E2582">
        <v>1</v>
      </c>
      <c r="F2582" t="s">
        <v>3592</v>
      </c>
    </row>
    <row r="2583" spans="1:6" x14ac:dyDescent="0.25">
      <c r="A2583" t="s">
        <v>1522</v>
      </c>
      <c r="B2583" t="s">
        <v>723</v>
      </c>
      <c r="C2583" t="s">
        <v>724</v>
      </c>
      <c r="D2583" t="str">
        <f>HYPERLINK("http://service.sap.com/sap/support/notes/1639518","1639518")</f>
        <v>1639518</v>
      </c>
      <c r="E2583">
        <v>1</v>
      </c>
      <c r="F2583" t="s">
        <v>3593</v>
      </c>
    </row>
    <row r="2584" spans="1:6" x14ac:dyDescent="0.25">
      <c r="A2584" t="s">
        <v>1522</v>
      </c>
      <c r="B2584" t="s">
        <v>3594</v>
      </c>
      <c r="C2584" t="s">
        <v>3595</v>
      </c>
      <c r="D2584" t="str">
        <f>HYPERLINK("http://service.sap.com/sap/support/notes/1617187","1617187")</f>
        <v>1617187</v>
      </c>
      <c r="E2584">
        <v>2</v>
      </c>
      <c r="F2584" t="s">
        <v>3596</v>
      </c>
    </row>
    <row r="2585" spans="1:6" x14ac:dyDescent="0.25">
      <c r="A2585" t="s">
        <v>1522</v>
      </c>
      <c r="B2585" t="s">
        <v>3594</v>
      </c>
      <c r="C2585" t="s">
        <v>3595</v>
      </c>
      <c r="D2585" t="str">
        <f>HYPERLINK("http://service.sap.com/sap/support/notes/1625730","1625730")</f>
        <v>1625730</v>
      </c>
      <c r="E2585">
        <v>1</v>
      </c>
      <c r="F2585" t="s">
        <v>3597</v>
      </c>
    </row>
    <row r="2586" spans="1:6" x14ac:dyDescent="0.25">
      <c r="A2586" t="s">
        <v>1522</v>
      </c>
      <c r="B2586" t="s">
        <v>3594</v>
      </c>
      <c r="C2586" t="s">
        <v>3595</v>
      </c>
      <c r="D2586" t="str">
        <f>HYPERLINK("http://service.sap.com/sap/support/notes/1628446","1628446")</f>
        <v>1628446</v>
      </c>
      <c r="E2586">
        <v>1</v>
      </c>
      <c r="F2586" t="s">
        <v>3598</v>
      </c>
    </row>
    <row r="2587" spans="1:6" x14ac:dyDescent="0.25">
      <c r="A2587" t="s">
        <v>1522</v>
      </c>
      <c r="B2587" t="s">
        <v>3594</v>
      </c>
      <c r="C2587" t="s">
        <v>3595</v>
      </c>
      <c r="D2587" t="str">
        <f>HYPERLINK("http://service.sap.com/sap/support/notes/1629422","1629422")</f>
        <v>1629422</v>
      </c>
      <c r="E2587">
        <v>2</v>
      </c>
      <c r="F2587" t="s">
        <v>3599</v>
      </c>
    </row>
    <row r="2588" spans="1:6" x14ac:dyDescent="0.25">
      <c r="A2588" t="s">
        <v>1522</v>
      </c>
      <c r="B2588" t="s">
        <v>729</v>
      </c>
      <c r="C2588" t="s">
        <v>730</v>
      </c>
      <c r="D2588" t="str">
        <f>HYPERLINK("http://service.sap.com/sap/support/notes/1623076","1623076")</f>
        <v>1623076</v>
      </c>
      <c r="E2588">
        <v>3</v>
      </c>
      <c r="F2588" t="s">
        <v>3600</v>
      </c>
    </row>
    <row r="2589" spans="1:6" x14ac:dyDescent="0.25">
      <c r="A2589" t="s">
        <v>1522</v>
      </c>
      <c r="B2589" t="s">
        <v>729</v>
      </c>
      <c r="C2589" t="s">
        <v>730</v>
      </c>
      <c r="D2589" t="str">
        <f>HYPERLINK("http://service.sap.com/sap/support/notes/1623394","1623394")</f>
        <v>1623394</v>
      </c>
      <c r="E2589">
        <v>2</v>
      </c>
      <c r="F2589" t="s">
        <v>3601</v>
      </c>
    </row>
    <row r="2590" spans="1:6" x14ac:dyDescent="0.25">
      <c r="A2590" t="s">
        <v>1522</v>
      </c>
      <c r="B2590" t="s">
        <v>729</v>
      </c>
      <c r="C2590" t="s">
        <v>730</v>
      </c>
      <c r="D2590" t="str">
        <f>HYPERLINK("http://service.sap.com/sap/support/notes/1626188","1626188")</f>
        <v>1626188</v>
      </c>
      <c r="E2590">
        <v>2</v>
      </c>
      <c r="F2590" t="s">
        <v>3602</v>
      </c>
    </row>
    <row r="2591" spans="1:6" x14ac:dyDescent="0.25">
      <c r="A2591" t="s">
        <v>1522</v>
      </c>
      <c r="B2591" t="s">
        <v>729</v>
      </c>
      <c r="C2591" t="s">
        <v>730</v>
      </c>
      <c r="D2591" t="str">
        <f>HYPERLINK("http://service.sap.com/sap/support/notes/1637608","1637608")</f>
        <v>1637608</v>
      </c>
      <c r="E2591">
        <v>1</v>
      </c>
      <c r="F2591" t="s">
        <v>3603</v>
      </c>
    </row>
    <row r="2592" spans="1:6" x14ac:dyDescent="0.25">
      <c r="A2592" t="s">
        <v>1522</v>
      </c>
      <c r="B2592" t="s">
        <v>729</v>
      </c>
      <c r="C2592" t="s">
        <v>730</v>
      </c>
      <c r="D2592" t="str">
        <f>HYPERLINK("http://service.sap.com/sap/support/notes/1651356","1651356")</f>
        <v>1651356</v>
      </c>
      <c r="E2592">
        <v>2</v>
      </c>
      <c r="F2592" t="s">
        <v>3604</v>
      </c>
    </row>
    <row r="2593" spans="1:6" x14ac:dyDescent="0.25">
      <c r="A2593" t="s">
        <v>1522</v>
      </c>
      <c r="B2593" t="s">
        <v>729</v>
      </c>
      <c r="C2593" t="s">
        <v>730</v>
      </c>
      <c r="D2593" t="str">
        <f>HYPERLINK("http://service.sap.com/sap/support/notes/1663467","1663467")</f>
        <v>1663467</v>
      </c>
      <c r="E2593">
        <v>2</v>
      </c>
      <c r="F2593" t="s">
        <v>3605</v>
      </c>
    </row>
    <row r="2594" spans="1:6" x14ac:dyDescent="0.25">
      <c r="A2594" t="s">
        <v>1522</v>
      </c>
      <c r="B2594" t="s">
        <v>729</v>
      </c>
      <c r="C2594" t="s">
        <v>730</v>
      </c>
      <c r="D2594" t="str">
        <f>HYPERLINK("http://service.sap.com/sap/support/notes/1671920","1671920")</f>
        <v>1671920</v>
      </c>
      <c r="E2594">
        <v>2</v>
      </c>
      <c r="F2594" t="s">
        <v>3606</v>
      </c>
    </row>
    <row r="2595" spans="1:6" x14ac:dyDescent="0.25">
      <c r="A2595" t="s">
        <v>1522</v>
      </c>
      <c r="B2595" t="s">
        <v>732</v>
      </c>
      <c r="C2595" t="s">
        <v>733</v>
      </c>
    </row>
    <row r="2596" spans="1:6" x14ac:dyDescent="0.25">
      <c r="A2596" t="s">
        <v>1522</v>
      </c>
      <c r="B2596" t="s">
        <v>3607</v>
      </c>
      <c r="C2596" t="s">
        <v>3608</v>
      </c>
      <c r="D2596" t="str">
        <f>HYPERLINK("http://service.sap.com/sap/support/notes/1653988","1653988")</f>
        <v>1653988</v>
      </c>
      <c r="E2596">
        <v>1</v>
      </c>
      <c r="F2596" t="s">
        <v>3609</v>
      </c>
    </row>
    <row r="2597" spans="1:6" x14ac:dyDescent="0.25">
      <c r="A2597" t="s">
        <v>1522</v>
      </c>
      <c r="B2597" t="s">
        <v>3607</v>
      </c>
      <c r="C2597" t="s">
        <v>3608</v>
      </c>
      <c r="D2597" t="str">
        <f>HYPERLINK("http://service.sap.com/sap/support/notes/1659788","1659788")</f>
        <v>1659788</v>
      </c>
      <c r="E2597">
        <v>1</v>
      </c>
      <c r="F2597" t="s">
        <v>3610</v>
      </c>
    </row>
    <row r="2598" spans="1:6" x14ac:dyDescent="0.25">
      <c r="A2598" t="s">
        <v>1522</v>
      </c>
      <c r="B2598" t="s">
        <v>3607</v>
      </c>
      <c r="C2598" t="s">
        <v>3608</v>
      </c>
      <c r="D2598" t="str">
        <f>HYPERLINK("http://service.sap.com/sap/support/notes/1663826","1663826")</f>
        <v>1663826</v>
      </c>
      <c r="E2598">
        <v>1</v>
      </c>
      <c r="F2598" t="s">
        <v>3611</v>
      </c>
    </row>
    <row r="2599" spans="1:6" x14ac:dyDescent="0.25">
      <c r="A2599" t="s">
        <v>1522</v>
      </c>
      <c r="B2599" t="s">
        <v>3607</v>
      </c>
      <c r="C2599" t="s">
        <v>3608</v>
      </c>
      <c r="D2599" t="str">
        <f>HYPERLINK("http://service.sap.com/sap/support/notes/1663828","1663828")</f>
        <v>1663828</v>
      </c>
      <c r="E2599">
        <v>1</v>
      </c>
      <c r="F2599" t="s">
        <v>3612</v>
      </c>
    </row>
    <row r="2600" spans="1:6" x14ac:dyDescent="0.25">
      <c r="A2600" t="s">
        <v>1522</v>
      </c>
      <c r="B2600" t="s">
        <v>3613</v>
      </c>
      <c r="C2600" t="s">
        <v>3614</v>
      </c>
      <c r="D2600" t="str">
        <f>HYPERLINK("http://service.sap.com/sap/support/notes/1609086","1609086")</f>
        <v>1609086</v>
      </c>
      <c r="E2600">
        <v>1</v>
      </c>
      <c r="F2600" t="s">
        <v>3615</v>
      </c>
    </row>
    <row r="2601" spans="1:6" x14ac:dyDescent="0.25">
      <c r="A2601" t="s">
        <v>1522</v>
      </c>
      <c r="B2601" t="s">
        <v>3613</v>
      </c>
      <c r="C2601" t="s">
        <v>3614</v>
      </c>
      <c r="D2601" t="str">
        <f>HYPERLINK("http://service.sap.com/sap/support/notes/1623742","1623742")</f>
        <v>1623742</v>
      </c>
      <c r="E2601">
        <v>1</v>
      </c>
      <c r="F2601" t="s">
        <v>3616</v>
      </c>
    </row>
    <row r="2602" spans="1:6" x14ac:dyDescent="0.25">
      <c r="A2602" t="s">
        <v>1522</v>
      </c>
      <c r="B2602" t="s">
        <v>3613</v>
      </c>
      <c r="C2602" t="s">
        <v>3614</v>
      </c>
      <c r="D2602" t="str">
        <f>HYPERLINK("http://service.sap.com/sap/support/notes/1625418","1625418")</f>
        <v>1625418</v>
      </c>
      <c r="E2602">
        <v>1</v>
      </c>
      <c r="F2602" t="s">
        <v>3617</v>
      </c>
    </row>
    <row r="2603" spans="1:6" x14ac:dyDescent="0.25">
      <c r="A2603" t="s">
        <v>1522</v>
      </c>
      <c r="B2603" t="s">
        <v>3613</v>
      </c>
      <c r="C2603" t="s">
        <v>3614</v>
      </c>
      <c r="D2603" t="str">
        <f>HYPERLINK("http://service.sap.com/sap/support/notes/1634677","1634677")</f>
        <v>1634677</v>
      </c>
      <c r="E2603">
        <v>1</v>
      </c>
      <c r="F2603" t="s">
        <v>3618</v>
      </c>
    </row>
    <row r="2604" spans="1:6" x14ac:dyDescent="0.25">
      <c r="A2604" t="s">
        <v>1522</v>
      </c>
      <c r="B2604" t="s">
        <v>3613</v>
      </c>
      <c r="C2604" t="s">
        <v>3614</v>
      </c>
      <c r="D2604" t="str">
        <f>HYPERLINK("http://service.sap.com/sap/support/notes/1643306","1643306")</f>
        <v>1643306</v>
      </c>
      <c r="E2604">
        <v>2</v>
      </c>
      <c r="F2604" t="s">
        <v>3619</v>
      </c>
    </row>
    <row r="2605" spans="1:6" x14ac:dyDescent="0.25">
      <c r="A2605" t="s">
        <v>1522</v>
      </c>
      <c r="B2605" t="s">
        <v>3613</v>
      </c>
      <c r="C2605" t="s">
        <v>3614</v>
      </c>
      <c r="D2605" t="str">
        <f>HYPERLINK("http://service.sap.com/sap/support/notes/1647091","1647091")</f>
        <v>1647091</v>
      </c>
      <c r="E2605">
        <v>1</v>
      </c>
      <c r="F2605" t="s">
        <v>3620</v>
      </c>
    </row>
    <row r="2606" spans="1:6" x14ac:dyDescent="0.25">
      <c r="A2606" t="s">
        <v>1522</v>
      </c>
      <c r="B2606" t="s">
        <v>3621</v>
      </c>
      <c r="C2606" t="s">
        <v>672</v>
      </c>
      <c r="D2606" t="str">
        <f>HYPERLINK("http://service.sap.com/sap/support/notes/1671791","1671791")</f>
        <v>1671791</v>
      </c>
      <c r="E2606">
        <v>1</v>
      </c>
      <c r="F2606" t="s">
        <v>3622</v>
      </c>
    </row>
    <row r="2607" spans="1:6" x14ac:dyDescent="0.25">
      <c r="A2607" t="s">
        <v>1522</v>
      </c>
      <c r="B2607" t="s">
        <v>3623</v>
      </c>
      <c r="C2607" t="s">
        <v>859</v>
      </c>
      <c r="D2607" t="str">
        <f>HYPERLINK("http://service.sap.com/sap/support/notes/1656281","1656281")</f>
        <v>1656281</v>
      </c>
      <c r="E2607">
        <v>1</v>
      </c>
      <c r="F2607" t="s">
        <v>3624</v>
      </c>
    </row>
    <row r="2608" spans="1:6" x14ac:dyDescent="0.25">
      <c r="A2608" t="s">
        <v>1522</v>
      </c>
      <c r="B2608" t="s">
        <v>3625</v>
      </c>
      <c r="C2608" t="s">
        <v>651</v>
      </c>
      <c r="D2608" t="str">
        <f>HYPERLINK("http://service.sap.com/sap/support/notes/1635426","1635426")</f>
        <v>1635426</v>
      </c>
      <c r="E2608">
        <v>3</v>
      </c>
      <c r="F2608" t="s">
        <v>3626</v>
      </c>
    </row>
    <row r="2609" spans="1:6" x14ac:dyDescent="0.25">
      <c r="A2609" t="s">
        <v>1522</v>
      </c>
      <c r="B2609" t="s">
        <v>3625</v>
      </c>
      <c r="C2609" t="s">
        <v>651</v>
      </c>
      <c r="D2609" t="str">
        <f>HYPERLINK("http://service.sap.com/sap/support/notes/1643166","1643166")</f>
        <v>1643166</v>
      </c>
      <c r="E2609">
        <v>1</v>
      </c>
      <c r="F2609" t="s">
        <v>3627</v>
      </c>
    </row>
    <row r="2610" spans="1:6" x14ac:dyDescent="0.25">
      <c r="A2610" t="s">
        <v>1522</v>
      </c>
      <c r="B2610" t="s">
        <v>3625</v>
      </c>
      <c r="C2610" t="s">
        <v>651</v>
      </c>
      <c r="D2610" t="str">
        <f>HYPERLINK("http://service.sap.com/sap/support/notes/1643783","1643783")</f>
        <v>1643783</v>
      </c>
      <c r="E2610">
        <v>1</v>
      </c>
      <c r="F2610" t="s">
        <v>3628</v>
      </c>
    </row>
    <row r="2611" spans="1:6" x14ac:dyDescent="0.25">
      <c r="A2611" t="s">
        <v>1522</v>
      </c>
      <c r="B2611" t="s">
        <v>3625</v>
      </c>
      <c r="C2611" t="s">
        <v>651</v>
      </c>
      <c r="D2611" t="str">
        <f>HYPERLINK("http://service.sap.com/sap/support/notes/1658380","1658380")</f>
        <v>1658380</v>
      </c>
      <c r="E2611">
        <v>1</v>
      </c>
      <c r="F2611" t="s">
        <v>3629</v>
      </c>
    </row>
    <row r="2612" spans="1:6" x14ac:dyDescent="0.25">
      <c r="A2612" t="s">
        <v>1522</v>
      </c>
      <c r="B2612" t="s">
        <v>3625</v>
      </c>
      <c r="C2612" t="s">
        <v>651</v>
      </c>
      <c r="D2612" t="str">
        <f>HYPERLINK("http://service.sap.com/sap/support/notes/1658897","1658897")</f>
        <v>1658897</v>
      </c>
      <c r="E2612">
        <v>1</v>
      </c>
      <c r="F2612" t="s">
        <v>3630</v>
      </c>
    </row>
    <row r="2613" spans="1:6" x14ac:dyDescent="0.25">
      <c r="A2613" t="s">
        <v>1522</v>
      </c>
      <c r="B2613" t="s">
        <v>3631</v>
      </c>
      <c r="C2613" t="s">
        <v>170</v>
      </c>
      <c r="D2613" t="str">
        <f>HYPERLINK("http://service.sap.com/sap/support/notes/1626146","1626146")</f>
        <v>1626146</v>
      </c>
      <c r="E2613">
        <v>1</v>
      </c>
      <c r="F2613" t="s">
        <v>3632</v>
      </c>
    </row>
    <row r="2614" spans="1:6" x14ac:dyDescent="0.25">
      <c r="A2614" t="s">
        <v>1522</v>
      </c>
      <c r="B2614" t="s">
        <v>3631</v>
      </c>
      <c r="C2614" t="s">
        <v>170</v>
      </c>
      <c r="D2614" t="str">
        <f>HYPERLINK("http://service.sap.com/sap/support/notes/1666980","1666980")</f>
        <v>1666980</v>
      </c>
      <c r="E2614">
        <v>1</v>
      </c>
      <c r="F2614" t="s">
        <v>3633</v>
      </c>
    </row>
    <row r="2615" spans="1:6" x14ac:dyDescent="0.25">
      <c r="A2615" t="s">
        <v>1522</v>
      </c>
      <c r="B2615" t="s">
        <v>734</v>
      </c>
      <c r="C2615" t="s">
        <v>735</v>
      </c>
      <c r="D2615" t="str">
        <f>HYPERLINK("http://service.sap.com/sap/support/notes/1670822","1670822")</f>
        <v>1670822</v>
      </c>
      <c r="E2615">
        <v>1</v>
      </c>
      <c r="F2615" t="s">
        <v>3634</v>
      </c>
    </row>
    <row r="2616" spans="1:6" x14ac:dyDescent="0.25">
      <c r="A2616" t="s">
        <v>1522</v>
      </c>
      <c r="B2616" t="s">
        <v>3635</v>
      </c>
      <c r="C2616" t="s">
        <v>651</v>
      </c>
      <c r="D2616" t="str">
        <f>HYPERLINK("http://service.sap.com/sap/support/notes/1656088","1656088")</f>
        <v>1656088</v>
      </c>
      <c r="E2616">
        <v>1</v>
      </c>
      <c r="F2616" t="s">
        <v>3636</v>
      </c>
    </row>
    <row r="2617" spans="1:6" x14ac:dyDescent="0.25">
      <c r="A2617" t="s">
        <v>1522</v>
      </c>
      <c r="B2617" t="s">
        <v>3637</v>
      </c>
      <c r="C2617" t="s">
        <v>3638</v>
      </c>
      <c r="D2617" t="str">
        <f>HYPERLINK("http://service.sap.com/sap/support/notes/1653289","1653289")</f>
        <v>1653289</v>
      </c>
      <c r="E2617">
        <v>2</v>
      </c>
      <c r="F2617" t="s">
        <v>3639</v>
      </c>
    </row>
    <row r="2618" spans="1:6" x14ac:dyDescent="0.25">
      <c r="A2618" t="s">
        <v>1522</v>
      </c>
      <c r="B2618" t="s">
        <v>3640</v>
      </c>
      <c r="C2618" t="s">
        <v>3641</v>
      </c>
    </row>
    <row r="2619" spans="1:6" x14ac:dyDescent="0.25">
      <c r="A2619" t="s">
        <v>1522</v>
      </c>
      <c r="B2619" t="s">
        <v>3642</v>
      </c>
      <c r="C2619" t="s">
        <v>3643</v>
      </c>
      <c r="D2619" t="str">
        <f>HYPERLINK("http://service.sap.com/sap/support/notes/1658557","1658557")</f>
        <v>1658557</v>
      </c>
      <c r="E2619">
        <v>1</v>
      </c>
      <c r="F2619" t="s">
        <v>3644</v>
      </c>
    </row>
    <row r="2620" spans="1:6" x14ac:dyDescent="0.25">
      <c r="A2620" t="s">
        <v>1522</v>
      </c>
      <c r="B2620" t="s">
        <v>3645</v>
      </c>
      <c r="C2620" t="s">
        <v>1845</v>
      </c>
      <c r="D2620" t="str">
        <f>HYPERLINK("http://service.sap.com/sap/support/notes/1605127","1605127")</f>
        <v>1605127</v>
      </c>
      <c r="E2620">
        <v>2</v>
      </c>
      <c r="F2620" t="s">
        <v>3646</v>
      </c>
    </row>
    <row r="2621" spans="1:6" x14ac:dyDescent="0.25">
      <c r="A2621" t="s">
        <v>1522</v>
      </c>
      <c r="B2621" t="s">
        <v>3645</v>
      </c>
      <c r="C2621" t="s">
        <v>1845</v>
      </c>
      <c r="D2621" t="str">
        <f>HYPERLINK("http://service.sap.com/sap/support/notes/1607064","1607064")</f>
        <v>1607064</v>
      </c>
      <c r="E2621">
        <v>4</v>
      </c>
      <c r="F2621" t="s">
        <v>3647</v>
      </c>
    </row>
    <row r="2622" spans="1:6" x14ac:dyDescent="0.25">
      <c r="A2622" t="s">
        <v>1522</v>
      </c>
      <c r="B2622" t="s">
        <v>3645</v>
      </c>
      <c r="C2622" t="s">
        <v>1845</v>
      </c>
      <c r="D2622" t="str">
        <f>HYPERLINK("http://service.sap.com/sap/support/notes/1629642","1629642")</f>
        <v>1629642</v>
      </c>
      <c r="E2622">
        <v>2</v>
      </c>
      <c r="F2622" t="s">
        <v>3648</v>
      </c>
    </row>
    <row r="2623" spans="1:6" x14ac:dyDescent="0.25">
      <c r="A2623" t="s">
        <v>1522</v>
      </c>
      <c r="B2623" t="s">
        <v>3645</v>
      </c>
      <c r="C2623" t="s">
        <v>1845</v>
      </c>
      <c r="D2623" t="str">
        <f>HYPERLINK("http://service.sap.com/sap/support/notes/1631471","1631471")</f>
        <v>1631471</v>
      </c>
      <c r="E2623">
        <v>2</v>
      </c>
      <c r="F2623" t="s">
        <v>3649</v>
      </c>
    </row>
    <row r="2624" spans="1:6" x14ac:dyDescent="0.25">
      <c r="A2624" t="s">
        <v>1522</v>
      </c>
      <c r="B2624" t="s">
        <v>3645</v>
      </c>
      <c r="C2624" t="s">
        <v>1845</v>
      </c>
      <c r="D2624" t="str">
        <f>HYPERLINK("http://service.sap.com/sap/support/notes/1661717","1661717")</f>
        <v>1661717</v>
      </c>
      <c r="E2624">
        <v>2</v>
      </c>
      <c r="F2624" t="s">
        <v>3650</v>
      </c>
    </row>
    <row r="2625" spans="1:6" x14ac:dyDescent="0.25">
      <c r="A2625" t="s">
        <v>1522</v>
      </c>
      <c r="B2625" t="s">
        <v>3645</v>
      </c>
      <c r="C2625" t="s">
        <v>1845</v>
      </c>
      <c r="D2625" t="str">
        <f>HYPERLINK("http://service.sap.com/sap/support/notes/1669127","1669127")</f>
        <v>1669127</v>
      </c>
      <c r="E2625">
        <v>2</v>
      </c>
      <c r="F2625" t="s">
        <v>3651</v>
      </c>
    </row>
    <row r="2626" spans="1:6" x14ac:dyDescent="0.25">
      <c r="A2626" t="s">
        <v>1522</v>
      </c>
      <c r="B2626" t="s">
        <v>737</v>
      </c>
      <c r="C2626" t="s">
        <v>738</v>
      </c>
    </row>
    <row r="2627" spans="1:6" x14ac:dyDescent="0.25">
      <c r="A2627" t="s">
        <v>1522</v>
      </c>
      <c r="B2627" t="s">
        <v>739</v>
      </c>
      <c r="C2627" t="s">
        <v>740</v>
      </c>
      <c r="D2627" t="str">
        <f>HYPERLINK("http://service.sap.com/sap/support/notes/1608720","1608720")</f>
        <v>1608720</v>
      </c>
      <c r="E2627">
        <v>2</v>
      </c>
      <c r="F2627" t="s">
        <v>3652</v>
      </c>
    </row>
    <row r="2628" spans="1:6" x14ac:dyDescent="0.25">
      <c r="A2628" t="s">
        <v>1522</v>
      </c>
      <c r="B2628" t="s">
        <v>739</v>
      </c>
      <c r="C2628" t="s">
        <v>740</v>
      </c>
      <c r="D2628" t="str">
        <f>HYPERLINK("http://service.sap.com/sap/support/notes/1615215","1615215")</f>
        <v>1615215</v>
      </c>
      <c r="E2628">
        <v>2</v>
      </c>
      <c r="F2628" t="s">
        <v>3653</v>
      </c>
    </row>
    <row r="2629" spans="1:6" x14ac:dyDescent="0.25">
      <c r="A2629" t="s">
        <v>1522</v>
      </c>
      <c r="B2629" t="s">
        <v>739</v>
      </c>
      <c r="C2629" t="s">
        <v>740</v>
      </c>
      <c r="D2629" t="str">
        <f>HYPERLINK("http://service.sap.com/sap/support/notes/1625895","1625895")</f>
        <v>1625895</v>
      </c>
      <c r="E2629">
        <v>1</v>
      </c>
      <c r="F2629" t="s">
        <v>3654</v>
      </c>
    </row>
    <row r="2630" spans="1:6" x14ac:dyDescent="0.25">
      <c r="A2630" t="s">
        <v>1522</v>
      </c>
      <c r="B2630" t="s">
        <v>739</v>
      </c>
      <c r="C2630" t="s">
        <v>740</v>
      </c>
      <c r="D2630" t="str">
        <f>HYPERLINK("http://service.sap.com/sap/support/notes/1650686","1650686")</f>
        <v>1650686</v>
      </c>
      <c r="E2630">
        <v>2</v>
      </c>
      <c r="F2630" t="s">
        <v>3655</v>
      </c>
    </row>
    <row r="2631" spans="1:6" x14ac:dyDescent="0.25">
      <c r="A2631" t="s">
        <v>1522</v>
      </c>
      <c r="B2631" t="s">
        <v>739</v>
      </c>
      <c r="C2631" t="s">
        <v>740</v>
      </c>
      <c r="D2631" t="str">
        <f>HYPERLINK("http://service.sap.com/sap/support/notes/1664134","1664134")</f>
        <v>1664134</v>
      </c>
      <c r="E2631">
        <v>1</v>
      </c>
      <c r="F2631" t="s">
        <v>3656</v>
      </c>
    </row>
    <row r="2632" spans="1:6" x14ac:dyDescent="0.25">
      <c r="A2632" t="s">
        <v>1522</v>
      </c>
      <c r="B2632" t="s">
        <v>3657</v>
      </c>
      <c r="C2632" t="s">
        <v>284</v>
      </c>
    </row>
    <row r="2633" spans="1:6" x14ac:dyDescent="0.25">
      <c r="A2633" t="s">
        <v>1522</v>
      </c>
      <c r="B2633" t="s">
        <v>3658</v>
      </c>
      <c r="C2633" t="s">
        <v>3659</v>
      </c>
      <c r="D2633" t="str">
        <f>HYPERLINK("http://service.sap.com/sap/support/notes/1605225","1605225")</f>
        <v>1605225</v>
      </c>
      <c r="E2633">
        <v>2</v>
      </c>
      <c r="F2633" t="s">
        <v>3660</v>
      </c>
    </row>
    <row r="2634" spans="1:6" x14ac:dyDescent="0.25">
      <c r="A2634" t="s">
        <v>1522</v>
      </c>
      <c r="B2634" t="s">
        <v>3658</v>
      </c>
      <c r="C2634" t="s">
        <v>3659</v>
      </c>
      <c r="D2634" t="str">
        <f>HYPERLINK("http://service.sap.com/sap/support/notes/1617310","1617310")</f>
        <v>1617310</v>
      </c>
      <c r="E2634">
        <v>2</v>
      </c>
      <c r="F2634" t="s">
        <v>3661</v>
      </c>
    </row>
    <row r="2635" spans="1:6" x14ac:dyDescent="0.25">
      <c r="A2635" t="s">
        <v>1522</v>
      </c>
      <c r="B2635" t="s">
        <v>3658</v>
      </c>
      <c r="C2635" t="s">
        <v>3659</v>
      </c>
      <c r="D2635" t="str">
        <f>HYPERLINK("http://service.sap.com/sap/support/notes/1617557","1617557")</f>
        <v>1617557</v>
      </c>
      <c r="E2635">
        <v>3</v>
      </c>
      <c r="F2635" t="s">
        <v>3662</v>
      </c>
    </row>
    <row r="2636" spans="1:6" x14ac:dyDescent="0.25">
      <c r="A2636" t="s">
        <v>1522</v>
      </c>
      <c r="B2636" t="s">
        <v>3658</v>
      </c>
      <c r="C2636" t="s">
        <v>3659</v>
      </c>
      <c r="D2636" t="str">
        <f>HYPERLINK("http://service.sap.com/sap/support/notes/1621536","1621536")</f>
        <v>1621536</v>
      </c>
      <c r="E2636">
        <v>1</v>
      </c>
      <c r="F2636" t="s">
        <v>3663</v>
      </c>
    </row>
    <row r="2637" spans="1:6" x14ac:dyDescent="0.25">
      <c r="A2637" t="s">
        <v>1522</v>
      </c>
      <c r="B2637" t="s">
        <v>3658</v>
      </c>
      <c r="C2637" t="s">
        <v>3659</v>
      </c>
      <c r="D2637" t="str">
        <f>HYPERLINK("http://service.sap.com/sap/support/notes/1626828","1626828")</f>
        <v>1626828</v>
      </c>
      <c r="E2637">
        <v>1</v>
      </c>
      <c r="F2637" t="s">
        <v>3664</v>
      </c>
    </row>
    <row r="2638" spans="1:6" x14ac:dyDescent="0.25">
      <c r="A2638" t="s">
        <v>1522</v>
      </c>
      <c r="B2638" t="s">
        <v>3658</v>
      </c>
      <c r="C2638" t="s">
        <v>3659</v>
      </c>
      <c r="D2638" t="str">
        <f>HYPERLINK("http://service.sap.com/sap/support/notes/1628053","1628053")</f>
        <v>1628053</v>
      </c>
      <c r="E2638">
        <v>1</v>
      </c>
      <c r="F2638" t="s">
        <v>3665</v>
      </c>
    </row>
    <row r="2639" spans="1:6" x14ac:dyDescent="0.25">
      <c r="A2639" t="s">
        <v>1522</v>
      </c>
      <c r="B2639" t="s">
        <v>3658</v>
      </c>
      <c r="C2639" t="s">
        <v>3659</v>
      </c>
      <c r="D2639" t="str">
        <f>HYPERLINK("http://service.sap.com/sap/support/notes/1640624","1640624")</f>
        <v>1640624</v>
      </c>
      <c r="E2639">
        <v>1</v>
      </c>
      <c r="F2639" t="s">
        <v>3666</v>
      </c>
    </row>
    <row r="2640" spans="1:6" x14ac:dyDescent="0.25">
      <c r="A2640" t="s">
        <v>1522</v>
      </c>
      <c r="B2640" t="s">
        <v>3658</v>
      </c>
      <c r="C2640" t="s">
        <v>3659</v>
      </c>
      <c r="D2640" t="str">
        <f>HYPERLINK("http://service.sap.com/sap/support/notes/1641778","1641778")</f>
        <v>1641778</v>
      </c>
      <c r="E2640">
        <v>2</v>
      </c>
      <c r="F2640" t="s">
        <v>3667</v>
      </c>
    </row>
    <row r="2641" spans="1:6" x14ac:dyDescent="0.25">
      <c r="A2641" t="s">
        <v>1522</v>
      </c>
      <c r="B2641" t="s">
        <v>3658</v>
      </c>
      <c r="C2641" t="s">
        <v>3659</v>
      </c>
      <c r="D2641" t="str">
        <f>HYPERLINK("http://service.sap.com/sap/support/notes/1652544","1652544")</f>
        <v>1652544</v>
      </c>
      <c r="E2641">
        <v>1</v>
      </c>
      <c r="F2641" t="s">
        <v>3668</v>
      </c>
    </row>
    <row r="2642" spans="1:6" x14ac:dyDescent="0.25">
      <c r="A2642" t="s">
        <v>1522</v>
      </c>
      <c r="B2642" t="s">
        <v>3658</v>
      </c>
      <c r="C2642" t="s">
        <v>3659</v>
      </c>
      <c r="D2642" t="str">
        <f>HYPERLINK("http://service.sap.com/sap/support/notes/1654386","1654386")</f>
        <v>1654386</v>
      </c>
      <c r="E2642">
        <v>3</v>
      </c>
      <c r="F2642" t="s">
        <v>3669</v>
      </c>
    </row>
    <row r="2643" spans="1:6" x14ac:dyDescent="0.25">
      <c r="A2643" t="s">
        <v>1522</v>
      </c>
      <c r="B2643" t="s">
        <v>3658</v>
      </c>
      <c r="C2643" t="s">
        <v>3659</v>
      </c>
      <c r="D2643" t="str">
        <f>HYPERLINK("http://service.sap.com/sap/support/notes/1658871","1658871")</f>
        <v>1658871</v>
      </c>
      <c r="E2643">
        <v>2</v>
      </c>
      <c r="F2643" t="s">
        <v>3670</v>
      </c>
    </row>
    <row r="2644" spans="1:6" x14ac:dyDescent="0.25">
      <c r="A2644" t="s">
        <v>1522</v>
      </c>
      <c r="B2644" t="s">
        <v>3658</v>
      </c>
      <c r="C2644" t="s">
        <v>3659</v>
      </c>
      <c r="D2644" t="str">
        <f>HYPERLINK("http://service.sap.com/sap/support/notes/1660869","1660869")</f>
        <v>1660869</v>
      </c>
      <c r="E2644">
        <v>2</v>
      </c>
      <c r="F2644" t="s">
        <v>3671</v>
      </c>
    </row>
    <row r="2645" spans="1:6" x14ac:dyDescent="0.25">
      <c r="A2645" t="s">
        <v>1522</v>
      </c>
      <c r="B2645" t="s">
        <v>3672</v>
      </c>
      <c r="C2645" t="s">
        <v>869</v>
      </c>
      <c r="D2645" t="str">
        <f>HYPERLINK("http://service.sap.com/sap/support/notes/1664445","1664445")</f>
        <v>1664445</v>
      </c>
      <c r="E2645">
        <v>1</v>
      </c>
      <c r="F2645" t="s">
        <v>3673</v>
      </c>
    </row>
    <row r="2646" spans="1:6" x14ac:dyDescent="0.25">
      <c r="A2646" t="s">
        <v>1522</v>
      </c>
      <c r="B2646" t="s">
        <v>3674</v>
      </c>
      <c r="C2646" t="s">
        <v>3675</v>
      </c>
      <c r="D2646" t="str">
        <f>HYPERLINK("http://service.sap.com/sap/support/notes/1621771","1621771")</f>
        <v>1621771</v>
      </c>
      <c r="E2646">
        <v>3</v>
      </c>
      <c r="F2646" t="s">
        <v>3676</v>
      </c>
    </row>
    <row r="2647" spans="1:6" x14ac:dyDescent="0.25">
      <c r="A2647" t="s">
        <v>1522</v>
      </c>
      <c r="B2647" t="s">
        <v>3674</v>
      </c>
      <c r="C2647" t="s">
        <v>3675</v>
      </c>
      <c r="D2647" t="str">
        <f>HYPERLINK("http://service.sap.com/sap/support/notes/1632666","1632666")</f>
        <v>1632666</v>
      </c>
      <c r="E2647">
        <v>1</v>
      </c>
      <c r="F2647" t="s">
        <v>3677</v>
      </c>
    </row>
    <row r="2648" spans="1:6" x14ac:dyDescent="0.25">
      <c r="A2648" t="s">
        <v>1522</v>
      </c>
      <c r="B2648" t="s">
        <v>3674</v>
      </c>
      <c r="C2648" t="s">
        <v>3675</v>
      </c>
      <c r="D2648" t="str">
        <f>HYPERLINK("http://service.sap.com/sap/support/notes/1642277","1642277")</f>
        <v>1642277</v>
      </c>
      <c r="E2648">
        <v>1</v>
      </c>
      <c r="F2648" t="s">
        <v>3678</v>
      </c>
    </row>
    <row r="2649" spans="1:6" x14ac:dyDescent="0.25">
      <c r="A2649" t="s">
        <v>1522</v>
      </c>
      <c r="B2649" t="s">
        <v>3674</v>
      </c>
      <c r="C2649" t="s">
        <v>3675</v>
      </c>
      <c r="D2649" t="str">
        <f>HYPERLINK("http://service.sap.com/sap/support/notes/1649076","1649076")</f>
        <v>1649076</v>
      </c>
      <c r="E2649">
        <v>2</v>
      </c>
      <c r="F2649" t="s">
        <v>3679</v>
      </c>
    </row>
    <row r="2650" spans="1:6" x14ac:dyDescent="0.25">
      <c r="A2650" t="s">
        <v>1522</v>
      </c>
      <c r="B2650" t="s">
        <v>3674</v>
      </c>
      <c r="C2650" t="s">
        <v>3675</v>
      </c>
      <c r="D2650" t="str">
        <f>HYPERLINK("http://service.sap.com/sap/support/notes/1649600","1649600")</f>
        <v>1649600</v>
      </c>
      <c r="E2650">
        <v>1</v>
      </c>
      <c r="F2650" t="s">
        <v>3680</v>
      </c>
    </row>
    <row r="2651" spans="1:6" x14ac:dyDescent="0.25">
      <c r="A2651" t="s">
        <v>1522</v>
      </c>
      <c r="B2651" t="s">
        <v>3674</v>
      </c>
      <c r="C2651" t="s">
        <v>3675</v>
      </c>
      <c r="D2651" t="str">
        <f>HYPERLINK("http://service.sap.com/sap/support/notes/1658337","1658337")</f>
        <v>1658337</v>
      </c>
      <c r="E2651">
        <v>1</v>
      </c>
      <c r="F2651" t="s">
        <v>3681</v>
      </c>
    </row>
    <row r="2652" spans="1:6" x14ac:dyDescent="0.25">
      <c r="A2652" t="s">
        <v>1522</v>
      </c>
      <c r="B2652" t="s">
        <v>3674</v>
      </c>
      <c r="C2652" t="s">
        <v>3675</v>
      </c>
      <c r="D2652" t="str">
        <f>HYPERLINK("http://service.sap.com/sap/support/notes/1660807","1660807")</f>
        <v>1660807</v>
      </c>
      <c r="E2652">
        <v>5</v>
      </c>
      <c r="F2652" t="s">
        <v>3682</v>
      </c>
    </row>
    <row r="2653" spans="1:6" x14ac:dyDescent="0.25">
      <c r="A2653" t="s">
        <v>1522</v>
      </c>
      <c r="B2653" t="s">
        <v>3674</v>
      </c>
      <c r="C2653" t="s">
        <v>3675</v>
      </c>
      <c r="D2653" t="str">
        <f>HYPERLINK("http://service.sap.com/sap/support/notes/1662151","1662151")</f>
        <v>1662151</v>
      </c>
      <c r="E2653">
        <v>2</v>
      </c>
      <c r="F2653" t="s">
        <v>3683</v>
      </c>
    </row>
    <row r="2654" spans="1:6" x14ac:dyDescent="0.25">
      <c r="A2654" t="s">
        <v>1522</v>
      </c>
      <c r="B2654" t="s">
        <v>3674</v>
      </c>
      <c r="C2654" t="s">
        <v>3675</v>
      </c>
      <c r="D2654" t="str">
        <f>HYPERLINK("http://service.sap.com/sap/support/notes/1666581","1666581")</f>
        <v>1666581</v>
      </c>
      <c r="E2654">
        <v>3</v>
      </c>
      <c r="F2654" t="s">
        <v>3684</v>
      </c>
    </row>
    <row r="2655" spans="1:6" x14ac:dyDescent="0.25">
      <c r="A2655" t="s">
        <v>1522</v>
      </c>
      <c r="B2655" t="s">
        <v>3674</v>
      </c>
      <c r="C2655" t="s">
        <v>3675</v>
      </c>
      <c r="D2655" t="str">
        <f>HYPERLINK("http://service.sap.com/sap/support/notes/1667980","1667980")</f>
        <v>1667980</v>
      </c>
      <c r="E2655">
        <v>1</v>
      </c>
      <c r="F2655" t="s">
        <v>3685</v>
      </c>
    </row>
    <row r="2656" spans="1:6" x14ac:dyDescent="0.25">
      <c r="A2656" t="s">
        <v>1522</v>
      </c>
      <c r="B2656" t="s">
        <v>3674</v>
      </c>
      <c r="C2656" t="s">
        <v>3675</v>
      </c>
      <c r="D2656" t="str">
        <f>HYPERLINK("http://service.sap.com/sap/support/notes/1673543","1673543")</f>
        <v>1673543</v>
      </c>
      <c r="E2656">
        <v>1</v>
      </c>
      <c r="F2656" t="s">
        <v>3686</v>
      </c>
    </row>
    <row r="2657" spans="1:6" x14ac:dyDescent="0.25">
      <c r="A2657" t="s">
        <v>1522</v>
      </c>
      <c r="B2657" t="s">
        <v>3687</v>
      </c>
      <c r="C2657" t="s">
        <v>3688</v>
      </c>
      <c r="D2657" t="str">
        <f>HYPERLINK("http://service.sap.com/sap/support/notes/1311618","1311618")</f>
        <v>1311618</v>
      </c>
      <c r="E2657">
        <v>4</v>
      </c>
      <c r="F2657" t="s">
        <v>3689</v>
      </c>
    </row>
    <row r="2658" spans="1:6" x14ac:dyDescent="0.25">
      <c r="A2658" t="s">
        <v>1522</v>
      </c>
      <c r="B2658" t="s">
        <v>3687</v>
      </c>
      <c r="C2658" t="s">
        <v>3688</v>
      </c>
      <c r="D2658" t="str">
        <f>HYPERLINK("http://service.sap.com/sap/support/notes/1475825","1475825")</f>
        <v>1475825</v>
      </c>
      <c r="E2658">
        <v>6</v>
      </c>
      <c r="F2658" t="s">
        <v>3690</v>
      </c>
    </row>
    <row r="2659" spans="1:6" x14ac:dyDescent="0.25">
      <c r="A2659" t="s">
        <v>1522</v>
      </c>
      <c r="B2659" t="s">
        <v>3687</v>
      </c>
      <c r="C2659" t="s">
        <v>3688</v>
      </c>
      <c r="D2659" t="str">
        <f>HYPERLINK("http://service.sap.com/sap/support/notes/1614409","1614409")</f>
        <v>1614409</v>
      </c>
      <c r="E2659">
        <v>1</v>
      </c>
      <c r="F2659" t="s">
        <v>3691</v>
      </c>
    </row>
    <row r="2660" spans="1:6" x14ac:dyDescent="0.25">
      <c r="A2660" t="s">
        <v>1522</v>
      </c>
      <c r="B2660" t="s">
        <v>3687</v>
      </c>
      <c r="C2660" t="s">
        <v>3688</v>
      </c>
      <c r="D2660" t="str">
        <f>HYPERLINK("http://service.sap.com/sap/support/notes/1622504","1622504")</f>
        <v>1622504</v>
      </c>
      <c r="E2660">
        <v>2</v>
      </c>
      <c r="F2660" t="s">
        <v>3692</v>
      </c>
    </row>
    <row r="2661" spans="1:6" x14ac:dyDescent="0.25">
      <c r="A2661" t="s">
        <v>1522</v>
      </c>
      <c r="B2661" t="s">
        <v>3687</v>
      </c>
      <c r="C2661" t="s">
        <v>3688</v>
      </c>
      <c r="D2661" t="str">
        <f>HYPERLINK("http://service.sap.com/sap/support/notes/1622855","1622855")</f>
        <v>1622855</v>
      </c>
      <c r="E2661">
        <v>2</v>
      </c>
      <c r="F2661" t="s">
        <v>3693</v>
      </c>
    </row>
    <row r="2662" spans="1:6" x14ac:dyDescent="0.25">
      <c r="A2662" t="s">
        <v>1522</v>
      </c>
      <c r="B2662" t="s">
        <v>3687</v>
      </c>
      <c r="C2662" t="s">
        <v>3688</v>
      </c>
      <c r="D2662" t="str">
        <f>HYPERLINK("http://service.sap.com/sap/support/notes/1624517","1624517")</f>
        <v>1624517</v>
      </c>
      <c r="E2662">
        <v>1</v>
      </c>
      <c r="F2662" t="s">
        <v>3694</v>
      </c>
    </row>
    <row r="2663" spans="1:6" x14ac:dyDescent="0.25">
      <c r="A2663" t="s">
        <v>1522</v>
      </c>
      <c r="B2663" t="s">
        <v>3687</v>
      </c>
      <c r="C2663" t="s">
        <v>3688</v>
      </c>
      <c r="D2663" t="str">
        <f>HYPERLINK("http://service.sap.com/sap/support/notes/1641365","1641365")</f>
        <v>1641365</v>
      </c>
      <c r="E2663">
        <v>2</v>
      </c>
      <c r="F2663" t="s">
        <v>3695</v>
      </c>
    </row>
    <row r="2664" spans="1:6" x14ac:dyDescent="0.25">
      <c r="A2664" t="s">
        <v>1522</v>
      </c>
      <c r="B2664" t="s">
        <v>3687</v>
      </c>
      <c r="C2664" t="s">
        <v>3688</v>
      </c>
      <c r="D2664" t="str">
        <f>HYPERLINK("http://service.sap.com/sap/support/notes/1648486","1648486")</f>
        <v>1648486</v>
      </c>
      <c r="E2664">
        <v>1</v>
      </c>
      <c r="F2664" t="s">
        <v>3696</v>
      </c>
    </row>
    <row r="2665" spans="1:6" x14ac:dyDescent="0.25">
      <c r="A2665" t="s">
        <v>1522</v>
      </c>
      <c r="B2665" t="s">
        <v>3687</v>
      </c>
      <c r="C2665" t="s">
        <v>3688</v>
      </c>
      <c r="D2665" t="str">
        <f>HYPERLINK("http://service.sap.com/sap/support/notes/1649943","1649943")</f>
        <v>1649943</v>
      </c>
      <c r="E2665">
        <v>1</v>
      </c>
      <c r="F2665" t="s">
        <v>3697</v>
      </c>
    </row>
    <row r="2666" spans="1:6" x14ac:dyDescent="0.25">
      <c r="A2666" t="s">
        <v>1522</v>
      </c>
      <c r="B2666" t="s">
        <v>3687</v>
      </c>
      <c r="C2666" t="s">
        <v>3688</v>
      </c>
      <c r="D2666" t="str">
        <f>HYPERLINK("http://service.sap.com/sap/support/notes/1654989","1654989")</f>
        <v>1654989</v>
      </c>
      <c r="E2666">
        <v>3</v>
      </c>
      <c r="F2666" t="s">
        <v>3698</v>
      </c>
    </row>
    <row r="2667" spans="1:6" x14ac:dyDescent="0.25">
      <c r="A2667" t="s">
        <v>1522</v>
      </c>
      <c r="B2667" t="s">
        <v>3687</v>
      </c>
      <c r="C2667" t="s">
        <v>3688</v>
      </c>
      <c r="D2667" t="str">
        <f>HYPERLINK("http://service.sap.com/sap/support/notes/1661392","1661392")</f>
        <v>1661392</v>
      </c>
      <c r="E2667">
        <v>3</v>
      </c>
      <c r="F2667" t="s">
        <v>3699</v>
      </c>
    </row>
    <row r="2668" spans="1:6" x14ac:dyDescent="0.25">
      <c r="A2668" t="s">
        <v>1522</v>
      </c>
      <c r="B2668" t="s">
        <v>3687</v>
      </c>
      <c r="C2668" t="s">
        <v>3688</v>
      </c>
      <c r="D2668" t="str">
        <f>HYPERLINK("http://service.sap.com/sap/support/notes/1665746","1665746")</f>
        <v>1665746</v>
      </c>
      <c r="E2668">
        <v>3</v>
      </c>
      <c r="F2668" t="s">
        <v>3700</v>
      </c>
    </row>
    <row r="2669" spans="1:6" x14ac:dyDescent="0.25">
      <c r="A2669" t="s">
        <v>1522</v>
      </c>
      <c r="B2669" t="s">
        <v>3687</v>
      </c>
      <c r="C2669" t="s">
        <v>3688</v>
      </c>
      <c r="D2669" t="str">
        <f>HYPERLINK("http://service.sap.com/sap/support/notes/1673063","1673063")</f>
        <v>1673063</v>
      </c>
      <c r="E2669">
        <v>2</v>
      </c>
      <c r="F2669" t="s">
        <v>3701</v>
      </c>
    </row>
    <row r="2670" spans="1:6" x14ac:dyDescent="0.25">
      <c r="A2670" t="s">
        <v>1522</v>
      </c>
      <c r="B2670" t="s">
        <v>743</v>
      </c>
      <c r="C2670" t="s">
        <v>744</v>
      </c>
      <c r="D2670" t="str">
        <f>HYPERLINK("http://service.sap.com/sap/support/notes/1603716","1603716")</f>
        <v>1603716</v>
      </c>
      <c r="E2670">
        <v>4</v>
      </c>
      <c r="F2670" t="s">
        <v>3702</v>
      </c>
    </row>
    <row r="2671" spans="1:6" x14ac:dyDescent="0.25">
      <c r="A2671" t="s">
        <v>1522</v>
      </c>
      <c r="B2671" t="s">
        <v>743</v>
      </c>
      <c r="C2671" t="s">
        <v>744</v>
      </c>
      <c r="D2671" t="str">
        <f>HYPERLINK("http://service.sap.com/sap/support/notes/1610159","1610159")</f>
        <v>1610159</v>
      </c>
      <c r="E2671">
        <v>2</v>
      </c>
      <c r="F2671" t="s">
        <v>3703</v>
      </c>
    </row>
    <row r="2672" spans="1:6" x14ac:dyDescent="0.25">
      <c r="A2672" t="s">
        <v>1522</v>
      </c>
      <c r="B2672" t="s">
        <v>743</v>
      </c>
      <c r="C2672" t="s">
        <v>744</v>
      </c>
      <c r="D2672" t="str">
        <f>HYPERLINK("http://service.sap.com/sap/support/notes/1611251","1611251")</f>
        <v>1611251</v>
      </c>
      <c r="E2672">
        <v>2</v>
      </c>
      <c r="F2672" t="s">
        <v>3704</v>
      </c>
    </row>
    <row r="2673" spans="1:6" x14ac:dyDescent="0.25">
      <c r="A2673" t="s">
        <v>1522</v>
      </c>
      <c r="B2673" t="s">
        <v>743</v>
      </c>
      <c r="C2673" t="s">
        <v>744</v>
      </c>
      <c r="D2673" t="str">
        <f>HYPERLINK("http://service.sap.com/sap/support/notes/1622231","1622231")</f>
        <v>1622231</v>
      </c>
      <c r="E2673">
        <v>3</v>
      </c>
      <c r="F2673" t="s">
        <v>3705</v>
      </c>
    </row>
    <row r="2674" spans="1:6" x14ac:dyDescent="0.25">
      <c r="A2674" t="s">
        <v>1522</v>
      </c>
      <c r="B2674" t="s">
        <v>743</v>
      </c>
      <c r="C2674" t="s">
        <v>744</v>
      </c>
      <c r="D2674" t="str">
        <f>HYPERLINK("http://service.sap.com/sap/support/notes/1624621","1624621")</f>
        <v>1624621</v>
      </c>
      <c r="E2674">
        <v>1</v>
      </c>
      <c r="F2674" t="s">
        <v>3706</v>
      </c>
    </row>
    <row r="2675" spans="1:6" x14ac:dyDescent="0.25">
      <c r="A2675" t="s">
        <v>1522</v>
      </c>
      <c r="B2675" t="s">
        <v>743</v>
      </c>
      <c r="C2675" t="s">
        <v>744</v>
      </c>
      <c r="D2675" t="str">
        <f>HYPERLINK("http://service.sap.com/sap/support/notes/1628702","1628702")</f>
        <v>1628702</v>
      </c>
      <c r="E2675">
        <v>2</v>
      </c>
      <c r="F2675" t="s">
        <v>3707</v>
      </c>
    </row>
    <row r="2676" spans="1:6" x14ac:dyDescent="0.25">
      <c r="A2676" t="s">
        <v>1522</v>
      </c>
      <c r="B2676" t="s">
        <v>743</v>
      </c>
      <c r="C2676" t="s">
        <v>744</v>
      </c>
      <c r="D2676" t="str">
        <f>HYPERLINK("http://service.sap.com/sap/support/notes/1634524","1634524")</f>
        <v>1634524</v>
      </c>
      <c r="E2676">
        <v>1</v>
      </c>
      <c r="F2676" t="s">
        <v>3708</v>
      </c>
    </row>
    <row r="2677" spans="1:6" x14ac:dyDescent="0.25">
      <c r="A2677" t="s">
        <v>1522</v>
      </c>
      <c r="B2677" t="s">
        <v>743</v>
      </c>
      <c r="C2677" t="s">
        <v>744</v>
      </c>
      <c r="D2677" t="str">
        <f>HYPERLINK("http://service.sap.com/sap/support/notes/1636832","1636832")</f>
        <v>1636832</v>
      </c>
      <c r="E2677">
        <v>2</v>
      </c>
      <c r="F2677" t="s">
        <v>3709</v>
      </c>
    </row>
    <row r="2678" spans="1:6" x14ac:dyDescent="0.25">
      <c r="A2678" t="s">
        <v>1522</v>
      </c>
      <c r="B2678" t="s">
        <v>743</v>
      </c>
      <c r="C2678" t="s">
        <v>744</v>
      </c>
      <c r="D2678" t="str">
        <f>HYPERLINK("http://service.sap.com/sap/support/notes/1639834","1639834")</f>
        <v>1639834</v>
      </c>
      <c r="E2678">
        <v>2</v>
      </c>
      <c r="F2678" t="s">
        <v>3710</v>
      </c>
    </row>
    <row r="2679" spans="1:6" x14ac:dyDescent="0.25">
      <c r="A2679" t="s">
        <v>1522</v>
      </c>
      <c r="B2679" t="s">
        <v>743</v>
      </c>
      <c r="C2679" t="s">
        <v>744</v>
      </c>
      <c r="D2679" t="str">
        <f>HYPERLINK("http://service.sap.com/sap/support/notes/1642022","1642022")</f>
        <v>1642022</v>
      </c>
      <c r="E2679">
        <v>1</v>
      </c>
      <c r="F2679" t="s">
        <v>3711</v>
      </c>
    </row>
    <row r="2680" spans="1:6" x14ac:dyDescent="0.25">
      <c r="A2680" t="s">
        <v>1522</v>
      </c>
      <c r="B2680" t="s">
        <v>743</v>
      </c>
      <c r="C2680" t="s">
        <v>744</v>
      </c>
      <c r="D2680" t="str">
        <f>HYPERLINK("http://service.sap.com/sap/support/notes/1642266","1642266")</f>
        <v>1642266</v>
      </c>
      <c r="E2680">
        <v>2</v>
      </c>
      <c r="F2680" t="s">
        <v>3712</v>
      </c>
    </row>
    <row r="2681" spans="1:6" x14ac:dyDescent="0.25">
      <c r="A2681" t="s">
        <v>1522</v>
      </c>
      <c r="B2681" t="s">
        <v>743</v>
      </c>
      <c r="C2681" t="s">
        <v>744</v>
      </c>
      <c r="D2681" t="str">
        <f>HYPERLINK("http://service.sap.com/sap/support/notes/1642890","1642890")</f>
        <v>1642890</v>
      </c>
      <c r="E2681">
        <v>3</v>
      </c>
      <c r="F2681" t="s">
        <v>3713</v>
      </c>
    </row>
    <row r="2682" spans="1:6" x14ac:dyDescent="0.25">
      <c r="A2682" t="s">
        <v>1522</v>
      </c>
      <c r="B2682" t="s">
        <v>743</v>
      </c>
      <c r="C2682" t="s">
        <v>744</v>
      </c>
      <c r="D2682" t="str">
        <f>HYPERLINK("http://service.sap.com/sap/support/notes/1645304","1645304")</f>
        <v>1645304</v>
      </c>
      <c r="E2682">
        <v>1</v>
      </c>
      <c r="F2682" t="s">
        <v>3714</v>
      </c>
    </row>
    <row r="2683" spans="1:6" x14ac:dyDescent="0.25">
      <c r="A2683" t="s">
        <v>1522</v>
      </c>
      <c r="B2683" t="s">
        <v>743</v>
      </c>
      <c r="C2683" t="s">
        <v>744</v>
      </c>
      <c r="D2683" t="str">
        <f>HYPERLINK("http://service.sap.com/sap/support/notes/1649493","1649493")</f>
        <v>1649493</v>
      </c>
      <c r="E2683">
        <v>1</v>
      </c>
      <c r="F2683" t="s">
        <v>3715</v>
      </c>
    </row>
    <row r="2684" spans="1:6" x14ac:dyDescent="0.25">
      <c r="A2684" t="s">
        <v>1522</v>
      </c>
      <c r="B2684" t="s">
        <v>743</v>
      </c>
      <c r="C2684" t="s">
        <v>744</v>
      </c>
      <c r="D2684" t="str">
        <f>HYPERLINK("http://service.sap.com/sap/support/notes/1650360","1650360")</f>
        <v>1650360</v>
      </c>
      <c r="E2684">
        <v>3</v>
      </c>
      <c r="F2684" t="s">
        <v>3716</v>
      </c>
    </row>
    <row r="2685" spans="1:6" x14ac:dyDescent="0.25">
      <c r="A2685" t="s">
        <v>1522</v>
      </c>
      <c r="B2685" t="s">
        <v>743</v>
      </c>
      <c r="C2685" t="s">
        <v>744</v>
      </c>
      <c r="D2685" t="str">
        <f>HYPERLINK("http://service.sap.com/sap/support/notes/1655423","1655423")</f>
        <v>1655423</v>
      </c>
      <c r="E2685">
        <v>2</v>
      </c>
      <c r="F2685" t="s">
        <v>3717</v>
      </c>
    </row>
    <row r="2686" spans="1:6" x14ac:dyDescent="0.25">
      <c r="A2686" t="s">
        <v>1522</v>
      </c>
      <c r="B2686" t="s">
        <v>743</v>
      </c>
      <c r="C2686" t="s">
        <v>744</v>
      </c>
      <c r="D2686" t="str">
        <f>HYPERLINK("http://service.sap.com/sap/support/notes/1659340","1659340")</f>
        <v>1659340</v>
      </c>
      <c r="E2686">
        <v>3</v>
      </c>
      <c r="F2686" t="s">
        <v>3718</v>
      </c>
    </row>
    <row r="2687" spans="1:6" x14ac:dyDescent="0.25">
      <c r="A2687" t="s">
        <v>1522</v>
      </c>
      <c r="B2687" t="s">
        <v>743</v>
      </c>
      <c r="C2687" t="s">
        <v>744</v>
      </c>
      <c r="D2687" t="str">
        <f>HYPERLINK("http://service.sap.com/sap/support/notes/1661733","1661733")</f>
        <v>1661733</v>
      </c>
      <c r="E2687">
        <v>2</v>
      </c>
      <c r="F2687" t="s">
        <v>3719</v>
      </c>
    </row>
    <row r="2688" spans="1:6" x14ac:dyDescent="0.25">
      <c r="A2688" t="s">
        <v>1522</v>
      </c>
      <c r="B2688" t="s">
        <v>743</v>
      </c>
      <c r="C2688" t="s">
        <v>744</v>
      </c>
      <c r="D2688" t="str">
        <f>HYPERLINK("http://service.sap.com/sap/support/notes/1663080","1663080")</f>
        <v>1663080</v>
      </c>
      <c r="E2688">
        <v>2</v>
      </c>
      <c r="F2688" t="s">
        <v>3720</v>
      </c>
    </row>
    <row r="2689" spans="1:6" x14ac:dyDescent="0.25">
      <c r="A2689" t="s">
        <v>1522</v>
      </c>
      <c r="B2689" t="s">
        <v>743</v>
      </c>
      <c r="C2689" t="s">
        <v>744</v>
      </c>
      <c r="D2689" t="str">
        <f>HYPERLINK("http://service.sap.com/sap/support/notes/1666546","1666546")</f>
        <v>1666546</v>
      </c>
      <c r="E2689">
        <v>2</v>
      </c>
      <c r="F2689" t="s">
        <v>3721</v>
      </c>
    </row>
    <row r="2690" spans="1:6" x14ac:dyDescent="0.25">
      <c r="A2690" t="s">
        <v>1522</v>
      </c>
      <c r="B2690" t="s">
        <v>743</v>
      </c>
      <c r="C2690" t="s">
        <v>744</v>
      </c>
      <c r="D2690" t="str">
        <f>HYPERLINK("http://service.sap.com/sap/support/notes/1668586","1668586")</f>
        <v>1668586</v>
      </c>
      <c r="E2690">
        <v>2</v>
      </c>
      <c r="F2690" t="s">
        <v>3722</v>
      </c>
    </row>
    <row r="2691" spans="1:6" x14ac:dyDescent="0.25">
      <c r="A2691" t="s">
        <v>1522</v>
      </c>
      <c r="B2691" t="s">
        <v>743</v>
      </c>
      <c r="C2691" t="s">
        <v>744</v>
      </c>
      <c r="D2691" t="str">
        <f>HYPERLINK("http://service.sap.com/sap/support/notes/1668620","1668620")</f>
        <v>1668620</v>
      </c>
      <c r="E2691">
        <v>2</v>
      </c>
      <c r="F2691" t="s">
        <v>3723</v>
      </c>
    </row>
    <row r="2692" spans="1:6" x14ac:dyDescent="0.25">
      <c r="A2692" t="s">
        <v>1522</v>
      </c>
      <c r="B2692" t="s">
        <v>743</v>
      </c>
      <c r="C2692" t="s">
        <v>744</v>
      </c>
      <c r="D2692" t="str">
        <f>HYPERLINK("http://service.sap.com/sap/support/notes/1669821","1669821")</f>
        <v>1669821</v>
      </c>
      <c r="E2692">
        <v>1</v>
      </c>
      <c r="F2692" t="s">
        <v>3724</v>
      </c>
    </row>
    <row r="2693" spans="1:6" x14ac:dyDescent="0.25">
      <c r="A2693" t="s">
        <v>1522</v>
      </c>
      <c r="B2693" t="s">
        <v>743</v>
      </c>
      <c r="C2693" t="s">
        <v>744</v>
      </c>
      <c r="D2693" t="str">
        <f>HYPERLINK("http://service.sap.com/sap/support/notes/1672172","1672172")</f>
        <v>1672172</v>
      </c>
      <c r="E2693">
        <v>1</v>
      </c>
      <c r="F2693" t="s">
        <v>3725</v>
      </c>
    </row>
    <row r="2694" spans="1:6" x14ac:dyDescent="0.25">
      <c r="A2694" t="s">
        <v>1522</v>
      </c>
      <c r="B2694" t="s">
        <v>3726</v>
      </c>
      <c r="C2694" t="s">
        <v>3727</v>
      </c>
      <c r="D2694" t="str">
        <f>HYPERLINK("http://service.sap.com/sap/support/notes/1295287","1295287")</f>
        <v>1295287</v>
      </c>
      <c r="E2694">
        <v>2</v>
      </c>
      <c r="F2694" t="s">
        <v>3728</v>
      </c>
    </row>
    <row r="2695" spans="1:6" x14ac:dyDescent="0.25">
      <c r="A2695" t="s">
        <v>1522</v>
      </c>
      <c r="B2695" t="s">
        <v>752</v>
      </c>
      <c r="C2695" t="s">
        <v>753</v>
      </c>
      <c r="D2695" t="str">
        <f>HYPERLINK("http://service.sap.com/sap/support/notes/1599477","1599477")</f>
        <v>1599477</v>
      </c>
      <c r="E2695">
        <v>2</v>
      </c>
      <c r="F2695" t="s">
        <v>3729</v>
      </c>
    </row>
    <row r="2696" spans="1:6" x14ac:dyDescent="0.25">
      <c r="A2696" t="s">
        <v>1522</v>
      </c>
      <c r="B2696" t="s">
        <v>752</v>
      </c>
      <c r="C2696" t="s">
        <v>753</v>
      </c>
      <c r="D2696" t="str">
        <f>HYPERLINK("http://service.sap.com/sap/support/notes/1639389","1639389")</f>
        <v>1639389</v>
      </c>
      <c r="E2696">
        <v>2</v>
      </c>
      <c r="F2696" t="s">
        <v>3730</v>
      </c>
    </row>
    <row r="2697" spans="1:6" x14ac:dyDescent="0.25">
      <c r="A2697" t="s">
        <v>1522</v>
      </c>
      <c r="B2697" t="s">
        <v>752</v>
      </c>
      <c r="C2697" t="s">
        <v>753</v>
      </c>
      <c r="D2697" t="str">
        <f>HYPERLINK("http://service.sap.com/sap/support/notes/1644566","1644566")</f>
        <v>1644566</v>
      </c>
      <c r="E2697">
        <v>1</v>
      </c>
      <c r="F2697" t="s">
        <v>3731</v>
      </c>
    </row>
    <row r="2698" spans="1:6" x14ac:dyDescent="0.25">
      <c r="A2698" t="s">
        <v>1522</v>
      </c>
      <c r="B2698" t="s">
        <v>752</v>
      </c>
      <c r="C2698" t="s">
        <v>753</v>
      </c>
      <c r="D2698" t="str">
        <f>HYPERLINK("http://service.sap.com/sap/support/notes/1649144","1649144")</f>
        <v>1649144</v>
      </c>
      <c r="E2698">
        <v>1</v>
      </c>
      <c r="F2698" t="s">
        <v>3732</v>
      </c>
    </row>
    <row r="2699" spans="1:6" x14ac:dyDescent="0.25">
      <c r="A2699" t="s">
        <v>1522</v>
      </c>
      <c r="B2699" t="s">
        <v>752</v>
      </c>
      <c r="C2699" t="s">
        <v>753</v>
      </c>
      <c r="D2699" t="str">
        <f>HYPERLINK("http://service.sap.com/sap/support/notes/1649595","1649595")</f>
        <v>1649595</v>
      </c>
      <c r="E2699">
        <v>1</v>
      </c>
      <c r="F2699" t="s">
        <v>3733</v>
      </c>
    </row>
    <row r="2700" spans="1:6" x14ac:dyDescent="0.25">
      <c r="A2700" t="s">
        <v>1522</v>
      </c>
      <c r="B2700" t="s">
        <v>752</v>
      </c>
      <c r="C2700" t="s">
        <v>753</v>
      </c>
      <c r="D2700" t="str">
        <f>HYPERLINK("http://service.sap.com/sap/support/notes/1653363","1653363")</f>
        <v>1653363</v>
      </c>
      <c r="E2700">
        <v>1</v>
      </c>
      <c r="F2700" t="s">
        <v>3734</v>
      </c>
    </row>
    <row r="2701" spans="1:6" x14ac:dyDescent="0.25">
      <c r="A2701" t="s">
        <v>1522</v>
      </c>
      <c r="B2701" t="s">
        <v>752</v>
      </c>
      <c r="C2701" t="s">
        <v>753</v>
      </c>
      <c r="D2701" t="str">
        <f>HYPERLINK("http://service.sap.com/sap/support/notes/1654970","1654970")</f>
        <v>1654970</v>
      </c>
      <c r="E2701">
        <v>1</v>
      </c>
      <c r="F2701" t="s">
        <v>3735</v>
      </c>
    </row>
    <row r="2702" spans="1:6" x14ac:dyDescent="0.25">
      <c r="A2702" t="s">
        <v>1522</v>
      </c>
      <c r="B2702" t="s">
        <v>752</v>
      </c>
      <c r="C2702" t="s">
        <v>753</v>
      </c>
      <c r="D2702" t="str">
        <f>HYPERLINK("http://service.sap.com/sap/support/notes/1655239","1655239")</f>
        <v>1655239</v>
      </c>
      <c r="E2702">
        <v>1</v>
      </c>
      <c r="F2702" t="s">
        <v>3736</v>
      </c>
    </row>
    <row r="2703" spans="1:6" x14ac:dyDescent="0.25">
      <c r="A2703" t="s">
        <v>1522</v>
      </c>
      <c r="B2703" t="s">
        <v>752</v>
      </c>
      <c r="C2703" t="s">
        <v>753</v>
      </c>
      <c r="D2703" t="str">
        <f>HYPERLINK("http://service.sap.com/sap/support/notes/1671561","1671561")</f>
        <v>1671561</v>
      </c>
      <c r="E2703">
        <v>1</v>
      </c>
      <c r="F2703" t="s">
        <v>3737</v>
      </c>
    </row>
    <row r="2704" spans="1:6" x14ac:dyDescent="0.25">
      <c r="A2704" t="s">
        <v>1522</v>
      </c>
      <c r="B2704" t="s">
        <v>3738</v>
      </c>
      <c r="C2704" t="s">
        <v>3739</v>
      </c>
      <c r="D2704" t="str">
        <f>HYPERLINK("http://service.sap.com/sap/support/notes/1623804","1623804")</f>
        <v>1623804</v>
      </c>
      <c r="E2704">
        <v>1</v>
      </c>
      <c r="F2704" t="s">
        <v>3740</v>
      </c>
    </row>
    <row r="2705" spans="1:6" x14ac:dyDescent="0.25">
      <c r="A2705" t="s">
        <v>1522</v>
      </c>
      <c r="B2705" t="s">
        <v>755</v>
      </c>
      <c r="C2705" t="s">
        <v>756</v>
      </c>
      <c r="D2705" t="str">
        <f>HYPERLINK("http://service.sap.com/sap/support/notes/1382970","1382970")</f>
        <v>1382970</v>
      </c>
      <c r="E2705">
        <v>4</v>
      </c>
      <c r="F2705" t="s">
        <v>3741</v>
      </c>
    </row>
    <row r="2706" spans="1:6" x14ac:dyDescent="0.25">
      <c r="A2706" t="s">
        <v>1522</v>
      </c>
      <c r="B2706" t="s">
        <v>755</v>
      </c>
      <c r="C2706" t="s">
        <v>756</v>
      </c>
      <c r="D2706" t="str">
        <f>HYPERLINK("http://service.sap.com/sap/support/notes/1503490","1503490")</f>
        <v>1503490</v>
      </c>
      <c r="E2706">
        <v>7</v>
      </c>
      <c r="F2706" t="s">
        <v>3742</v>
      </c>
    </row>
    <row r="2707" spans="1:6" x14ac:dyDescent="0.25">
      <c r="A2707" t="s">
        <v>1522</v>
      </c>
      <c r="B2707" t="s">
        <v>755</v>
      </c>
      <c r="C2707" t="s">
        <v>756</v>
      </c>
      <c r="D2707" t="str">
        <f>HYPERLINK("http://service.sap.com/sap/support/notes/1511710","1511710")</f>
        <v>1511710</v>
      </c>
      <c r="E2707">
        <v>2</v>
      </c>
      <c r="F2707" t="s">
        <v>3743</v>
      </c>
    </row>
    <row r="2708" spans="1:6" x14ac:dyDescent="0.25">
      <c r="A2708" t="s">
        <v>1522</v>
      </c>
      <c r="B2708" t="s">
        <v>755</v>
      </c>
      <c r="C2708" t="s">
        <v>756</v>
      </c>
      <c r="D2708" t="str">
        <f>HYPERLINK("http://service.sap.com/sap/support/notes/1533140","1533140")</f>
        <v>1533140</v>
      </c>
      <c r="E2708">
        <v>2</v>
      </c>
      <c r="F2708" t="s">
        <v>3744</v>
      </c>
    </row>
    <row r="2709" spans="1:6" x14ac:dyDescent="0.25">
      <c r="A2709" t="s">
        <v>1522</v>
      </c>
      <c r="B2709" t="s">
        <v>755</v>
      </c>
      <c r="C2709" t="s">
        <v>756</v>
      </c>
      <c r="D2709" t="str">
        <f>HYPERLINK("http://service.sap.com/sap/support/notes/1536154","1536154")</f>
        <v>1536154</v>
      </c>
      <c r="E2709">
        <v>3</v>
      </c>
      <c r="F2709" t="s">
        <v>3745</v>
      </c>
    </row>
    <row r="2710" spans="1:6" x14ac:dyDescent="0.25">
      <c r="A2710" t="s">
        <v>1522</v>
      </c>
      <c r="B2710" t="s">
        <v>755</v>
      </c>
      <c r="C2710" t="s">
        <v>756</v>
      </c>
      <c r="D2710" t="str">
        <f>HYPERLINK("http://service.sap.com/sap/support/notes/1538219","1538219")</f>
        <v>1538219</v>
      </c>
      <c r="E2710">
        <v>2</v>
      </c>
      <c r="F2710" t="s">
        <v>3746</v>
      </c>
    </row>
    <row r="2711" spans="1:6" x14ac:dyDescent="0.25">
      <c r="A2711" t="s">
        <v>1522</v>
      </c>
      <c r="B2711" t="s">
        <v>755</v>
      </c>
      <c r="C2711" t="s">
        <v>756</v>
      </c>
      <c r="D2711" t="str">
        <f>HYPERLINK("http://service.sap.com/sap/support/notes/1593282","1593282")</f>
        <v>1593282</v>
      </c>
      <c r="E2711">
        <v>2</v>
      </c>
      <c r="F2711" t="s">
        <v>3747</v>
      </c>
    </row>
    <row r="2712" spans="1:6" x14ac:dyDescent="0.25">
      <c r="A2712" t="s">
        <v>1522</v>
      </c>
      <c r="B2712" t="s">
        <v>755</v>
      </c>
      <c r="C2712" t="s">
        <v>756</v>
      </c>
      <c r="D2712" t="str">
        <f>HYPERLINK("http://service.sap.com/sap/support/notes/1640731","1640731")</f>
        <v>1640731</v>
      </c>
      <c r="E2712">
        <v>2</v>
      </c>
      <c r="F2712" t="s">
        <v>3748</v>
      </c>
    </row>
    <row r="2713" spans="1:6" x14ac:dyDescent="0.25">
      <c r="A2713" t="s">
        <v>1522</v>
      </c>
      <c r="B2713" t="s">
        <v>761</v>
      </c>
      <c r="C2713" t="s">
        <v>762</v>
      </c>
      <c r="D2713" t="str">
        <f>HYPERLINK("http://service.sap.com/sap/support/notes/1647427","1647427")</f>
        <v>1647427</v>
      </c>
      <c r="E2713">
        <v>3</v>
      </c>
      <c r="F2713" t="s">
        <v>3749</v>
      </c>
    </row>
    <row r="2714" spans="1:6" x14ac:dyDescent="0.25">
      <c r="A2714" t="s">
        <v>1522</v>
      </c>
      <c r="B2714" t="s">
        <v>764</v>
      </c>
      <c r="C2714" t="s">
        <v>765</v>
      </c>
      <c r="D2714" t="str">
        <f>HYPERLINK("http://service.sap.com/sap/support/notes/1329659","1329659")</f>
        <v>1329659</v>
      </c>
      <c r="E2714">
        <v>3</v>
      </c>
      <c r="F2714" t="s">
        <v>3750</v>
      </c>
    </row>
    <row r="2715" spans="1:6" x14ac:dyDescent="0.25">
      <c r="A2715" t="s">
        <v>1522</v>
      </c>
      <c r="B2715" t="s">
        <v>764</v>
      </c>
      <c r="C2715" t="s">
        <v>765</v>
      </c>
      <c r="D2715" t="str">
        <f>HYPERLINK("http://service.sap.com/sap/support/notes/1333057","1333057")</f>
        <v>1333057</v>
      </c>
      <c r="E2715">
        <v>5</v>
      </c>
      <c r="F2715" t="s">
        <v>3751</v>
      </c>
    </row>
    <row r="2716" spans="1:6" x14ac:dyDescent="0.25">
      <c r="A2716" t="s">
        <v>1522</v>
      </c>
      <c r="B2716" t="s">
        <v>764</v>
      </c>
      <c r="C2716" t="s">
        <v>765</v>
      </c>
      <c r="D2716" t="str">
        <f>HYPERLINK("http://service.sap.com/sap/support/notes/1521691","1521691")</f>
        <v>1521691</v>
      </c>
      <c r="E2716">
        <v>5</v>
      </c>
      <c r="F2716" t="s">
        <v>3752</v>
      </c>
    </row>
    <row r="2717" spans="1:6" x14ac:dyDescent="0.25">
      <c r="A2717" t="s">
        <v>1522</v>
      </c>
      <c r="B2717" t="s">
        <v>764</v>
      </c>
      <c r="C2717" t="s">
        <v>765</v>
      </c>
      <c r="D2717" t="str">
        <f>HYPERLINK("http://service.sap.com/sap/support/notes/1630477","1630477")</f>
        <v>1630477</v>
      </c>
      <c r="E2717">
        <v>1</v>
      </c>
      <c r="F2717" t="s">
        <v>3753</v>
      </c>
    </row>
    <row r="2718" spans="1:6" x14ac:dyDescent="0.25">
      <c r="A2718" t="s">
        <v>1522</v>
      </c>
      <c r="B2718" t="s">
        <v>3754</v>
      </c>
      <c r="C2718" t="s">
        <v>3755</v>
      </c>
      <c r="D2718" t="str">
        <f>HYPERLINK("http://service.sap.com/sap/support/notes/1626411","1626411")</f>
        <v>1626411</v>
      </c>
      <c r="E2718">
        <v>3</v>
      </c>
      <c r="F2718" t="s">
        <v>3756</v>
      </c>
    </row>
    <row r="2719" spans="1:6" x14ac:dyDescent="0.25">
      <c r="A2719" t="s">
        <v>1522</v>
      </c>
      <c r="B2719" t="s">
        <v>3754</v>
      </c>
      <c r="C2719" t="s">
        <v>3755</v>
      </c>
      <c r="D2719" t="str">
        <f>HYPERLINK("http://service.sap.com/sap/support/notes/1642838","1642838")</f>
        <v>1642838</v>
      </c>
      <c r="E2719">
        <v>2</v>
      </c>
      <c r="F2719" t="s">
        <v>3757</v>
      </c>
    </row>
    <row r="2720" spans="1:6" x14ac:dyDescent="0.25">
      <c r="A2720" t="s">
        <v>1522</v>
      </c>
      <c r="B2720" t="s">
        <v>3754</v>
      </c>
      <c r="C2720" t="s">
        <v>3755</v>
      </c>
      <c r="D2720" t="str">
        <f>HYPERLINK("http://service.sap.com/sap/support/notes/1643950","1643950")</f>
        <v>1643950</v>
      </c>
      <c r="E2720">
        <v>1</v>
      </c>
      <c r="F2720" t="s">
        <v>3758</v>
      </c>
    </row>
    <row r="2721" spans="1:6" x14ac:dyDescent="0.25">
      <c r="A2721" t="s">
        <v>1522</v>
      </c>
      <c r="B2721" t="s">
        <v>3759</v>
      </c>
      <c r="C2721" t="s">
        <v>3760</v>
      </c>
      <c r="D2721" t="str">
        <f>HYPERLINK("http://service.sap.com/sap/support/notes/1649249","1649249")</f>
        <v>1649249</v>
      </c>
      <c r="E2721">
        <v>1</v>
      </c>
      <c r="F2721" t="s">
        <v>3761</v>
      </c>
    </row>
    <row r="2722" spans="1:6" x14ac:dyDescent="0.25">
      <c r="A2722" t="s">
        <v>1522</v>
      </c>
      <c r="B2722" t="s">
        <v>3762</v>
      </c>
      <c r="C2722" t="s">
        <v>3763</v>
      </c>
    </row>
    <row r="2723" spans="1:6" x14ac:dyDescent="0.25">
      <c r="A2723" t="s">
        <v>1522</v>
      </c>
      <c r="B2723" t="s">
        <v>3764</v>
      </c>
      <c r="C2723" t="s">
        <v>3765</v>
      </c>
      <c r="D2723" t="str">
        <f>HYPERLINK("http://service.sap.com/sap/support/notes/1502224","1502224")</f>
        <v>1502224</v>
      </c>
      <c r="E2723">
        <v>2</v>
      </c>
      <c r="F2723" t="s">
        <v>3766</v>
      </c>
    </row>
    <row r="2724" spans="1:6" x14ac:dyDescent="0.25">
      <c r="A2724" t="s">
        <v>1522</v>
      </c>
      <c r="B2724" t="s">
        <v>3764</v>
      </c>
      <c r="C2724" t="s">
        <v>3765</v>
      </c>
      <c r="D2724" t="str">
        <f>HYPERLINK("http://service.sap.com/sap/support/notes/1613712","1613712")</f>
        <v>1613712</v>
      </c>
      <c r="E2724">
        <v>5</v>
      </c>
      <c r="F2724" t="s">
        <v>3767</v>
      </c>
    </row>
    <row r="2725" spans="1:6" x14ac:dyDescent="0.25">
      <c r="A2725" t="s">
        <v>1522</v>
      </c>
      <c r="B2725" t="s">
        <v>3764</v>
      </c>
      <c r="C2725" t="s">
        <v>3765</v>
      </c>
      <c r="D2725" t="str">
        <f>HYPERLINK("http://service.sap.com/sap/support/notes/1646585","1646585")</f>
        <v>1646585</v>
      </c>
      <c r="E2725">
        <v>2</v>
      </c>
      <c r="F2725" t="s">
        <v>3768</v>
      </c>
    </row>
    <row r="2726" spans="1:6" x14ac:dyDescent="0.25">
      <c r="A2726" t="s">
        <v>1522</v>
      </c>
      <c r="B2726" t="s">
        <v>3769</v>
      </c>
      <c r="C2726" t="s">
        <v>3770</v>
      </c>
      <c r="D2726" t="str">
        <f>HYPERLINK("http://service.sap.com/sap/support/notes/1651216","1651216")</f>
        <v>1651216</v>
      </c>
      <c r="E2726">
        <v>1</v>
      </c>
      <c r="F2726" t="s">
        <v>3771</v>
      </c>
    </row>
    <row r="2727" spans="1:6" x14ac:dyDescent="0.25">
      <c r="A2727" t="s">
        <v>1522</v>
      </c>
      <c r="B2727" t="s">
        <v>3772</v>
      </c>
      <c r="C2727" t="s">
        <v>3773</v>
      </c>
      <c r="D2727" t="str">
        <f>HYPERLINK("http://service.sap.com/sap/support/notes/518091","518091")</f>
        <v>518091</v>
      </c>
      <c r="E2727">
        <v>1</v>
      </c>
      <c r="F2727" t="s">
        <v>3774</v>
      </c>
    </row>
    <row r="2728" spans="1:6" x14ac:dyDescent="0.25">
      <c r="A2728" t="s">
        <v>1522</v>
      </c>
      <c r="B2728" t="s">
        <v>3775</v>
      </c>
      <c r="C2728" t="s">
        <v>3776</v>
      </c>
    </row>
    <row r="2729" spans="1:6" x14ac:dyDescent="0.25">
      <c r="A2729" t="s">
        <v>1522</v>
      </c>
      <c r="B2729" t="s">
        <v>3777</v>
      </c>
      <c r="C2729" t="s">
        <v>3778</v>
      </c>
      <c r="D2729" t="str">
        <f>HYPERLINK("http://service.sap.com/sap/support/notes/1643791","1643791")</f>
        <v>1643791</v>
      </c>
      <c r="E2729">
        <v>1</v>
      </c>
      <c r="F2729" t="s">
        <v>3779</v>
      </c>
    </row>
    <row r="2730" spans="1:6" x14ac:dyDescent="0.25">
      <c r="A2730" t="s">
        <v>1522</v>
      </c>
      <c r="B2730" t="s">
        <v>3780</v>
      </c>
      <c r="C2730" t="s">
        <v>3781</v>
      </c>
      <c r="D2730" t="str">
        <f>HYPERLINK("http://service.sap.com/sap/support/notes/1401498","1401498")</f>
        <v>1401498</v>
      </c>
      <c r="E2730">
        <v>3</v>
      </c>
      <c r="F2730" t="s">
        <v>3782</v>
      </c>
    </row>
    <row r="2731" spans="1:6" x14ac:dyDescent="0.25">
      <c r="A2731" t="s">
        <v>1522</v>
      </c>
      <c r="B2731" t="s">
        <v>769</v>
      </c>
      <c r="C2731" t="s">
        <v>770</v>
      </c>
    </row>
    <row r="2732" spans="1:6" x14ac:dyDescent="0.25">
      <c r="A2732" t="s">
        <v>1522</v>
      </c>
      <c r="B2732" t="s">
        <v>771</v>
      </c>
      <c r="C2732" t="s">
        <v>772</v>
      </c>
      <c r="D2732" t="str">
        <f>HYPERLINK("http://service.sap.com/sap/support/notes/1620935","1620935")</f>
        <v>1620935</v>
      </c>
      <c r="E2732">
        <v>1</v>
      </c>
      <c r="F2732" t="s">
        <v>3783</v>
      </c>
    </row>
    <row r="2733" spans="1:6" x14ac:dyDescent="0.25">
      <c r="A2733" t="s">
        <v>1522</v>
      </c>
      <c r="B2733" t="s">
        <v>771</v>
      </c>
      <c r="C2733" t="s">
        <v>772</v>
      </c>
      <c r="D2733" t="str">
        <f>HYPERLINK("http://service.sap.com/sap/support/notes/1636320","1636320")</f>
        <v>1636320</v>
      </c>
      <c r="E2733">
        <v>1</v>
      </c>
      <c r="F2733" t="s">
        <v>3784</v>
      </c>
    </row>
    <row r="2734" spans="1:6" x14ac:dyDescent="0.25">
      <c r="A2734" t="s">
        <v>1522</v>
      </c>
      <c r="B2734" t="s">
        <v>771</v>
      </c>
      <c r="C2734" t="s">
        <v>772</v>
      </c>
      <c r="D2734" t="str">
        <f>HYPERLINK("http://service.sap.com/sap/support/notes/1637044","1637044")</f>
        <v>1637044</v>
      </c>
      <c r="E2734">
        <v>1</v>
      </c>
      <c r="F2734" t="s">
        <v>3785</v>
      </c>
    </row>
    <row r="2735" spans="1:6" x14ac:dyDescent="0.25">
      <c r="A2735" t="s">
        <v>1522</v>
      </c>
      <c r="B2735" t="s">
        <v>771</v>
      </c>
      <c r="C2735" t="s">
        <v>772</v>
      </c>
      <c r="D2735" t="str">
        <f>HYPERLINK("http://service.sap.com/sap/support/notes/1652615","1652615")</f>
        <v>1652615</v>
      </c>
      <c r="E2735">
        <v>1</v>
      </c>
      <c r="F2735" t="s">
        <v>3786</v>
      </c>
    </row>
    <row r="2736" spans="1:6" x14ac:dyDescent="0.25">
      <c r="A2736" t="s">
        <v>1522</v>
      </c>
      <c r="B2736" t="s">
        <v>774</v>
      </c>
      <c r="C2736" t="s">
        <v>775</v>
      </c>
      <c r="D2736" t="str">
        <f>HYPERLINK("http://service.sap.com/sap/support/notes/1616087","1616087")</f>
        <v>1616087</v>
      </c>
      <c r="E2736">
        <v>2</v>
      </c>
      <c r="F2736" t="s">
        <v>3787</v>
      </c>
    </row>
    <row r="2737" spans="1:6" x14ac:dyDescent="0.25">
      <c r="A2737" t="s">
        <v>1522</v>
      </c>
      <c r="B2737" t="s">
        <v>774</v>
      </c>
      <c r="C2737" t="s">
        <v>775</v>
      </c>
      <c r="D2737" t="str">
        <f>HYPERLINK("http://service.sap.com/sap/support/notes/1641495","1641495")</f>
        <v>1641495</v>
      </c>
      <c r="E2737">
        <v>1</v>
      </c>
      <c r="F2737" t="s">
        <v>3788</v>
      </c>
    </row>
    <row r="2738" spans="1:6" x14ac:dyDescent="0.25">
      <c r="A2738" t="s">
        <v>1522</v>
      </c>
      <c r="B2738" t="s">
        <v>774</v>
      </c>
      <c r="C2738" t="s">
        <v>775</v>
      </c>
      <c r="D2738" t="str">
        <f>HYPERLINK("http://service.sap.com/sap/support/notes/1659360","1659360")</f>
        <v>1659360</v>
      </c>
      <c r="E2738">
        <v>1</v>
      </c>
      <c r="F2738" t="s">
        <v>3789</v>
      </c>
    </row>
    <row r="2739" spans="1:6" x14ac:dyDescent="0.25">
      <c r="A2739" t="s">
        <v>1522</v>
      </c>
      <c r="B2739" t="s">
        <v>777</v>
      </c>
      <c r="C2739" t="s">
        <v>778</v>
      </c>
      <c r="D2739" t="str">
        <f>HYPERLINK("http://service.sap.com/sap/support/notes/1082908","1082908")</f>
        <v>1082908</v>
      </c>
      <c r="E2739">
        <v>2</v>
      </c>
      <c r="F2739" t="s">
        <v>3790</v>
      </c>
    </row>
    <row r="2740" spans="1:6" x14ac:dyDescent="0.25">
      <c r="A2740" t="s">
        <v>1522</v>
      </c>
      <c r="B2740" t="s">
        <v>777</v>
      </c>
      <c r="C2740" t="s">
        <v>778</v>
      </c>
      <c r="D2740" t="str">
        <f>HYPERLINK("http://service.sap.com/sap/support/notes/1591747","1591747")</f>
        <v>1591747</v>
      </c>
      <c r="E2740">
        <v>4</v>
      </c>
      <c r="F2740" t="s">
        <v>3791</v>
      </c>
    </row>
    <row r="2741" spans="1:6" x14ac:dyDescent="0.25">
      <c r="A2741" t="s">
        <v>1522</v>
      </c>
      <c r="B2741" t="s">
        <v>777</v>
      </c>
      <c r="C2741" t="s">
        <v>778</v>
      </c>
      <c r="D2741" t="str">
        <f>HYPERLINK("http://service.sap.com/sap/support/notes/1610108","1610108")</f>
        <v>1610108</v>
      </c>
      <c r="E2741">
        <v>1</v>
      </c>
      <c r="F2741" t="s">
        <v>3792</v>
      </c>
    </row>
    <row r="2742" spans="1:6" x14ac:dyDescent="0.25">
      <c r="A2742" t="s">
        <v>1522</v>
      </c>
      <c r="B2742" t="s">
        <v>777</v>
      </c>
      <c r="C2742" t="s">
        <v>778</v>
      </c>
      <c r="D2742" t="str">
        <f>HYPERLINK("http://service.sap.com/sap/support/notes/1614286","1614286")</f>
        <v>1614286</v>
      </c>
      <c r="E2742">
        <v>1</v>
      </c>
      <c r="F2742" t="s">
        <v>3793</v>
      </c>
    </row>
    <row r="2743" spans="1:6" x14ac:dyDescent="0.25">
      <c r="A2743" t="s">
        <v>1522</v>
      </c>
      <c r="B2743" t="s">
        <v>777</v>
      </c>
      <c r="C2743" t="s">
        <v>778</v>
      </c>
      <c r="D2743" t="str">
        <f>HYPERLINK("http://service.sap.com/sap/support/notes/1615428","1615428")</f>
        <v>1615428</v>
      </c>
      <c r="E2743">
        <v>1</v>
      </c>
      <c r="F2743" t="s">
        <v>3794</v>
      </c>
    </row>
    <row r="2744" spans="1:6" x14ac:dyDescent="0.25">
      <c r="A2744" t="s">
        <v>1522</v>
      </c>
      <c r="B2744" t="s">
        <v>777</v>
      </c>
      <c r="C2744" t="s">
        <v>778</v>
      </c>
      <c r="D2744" t="str">
        <f>HYPERLINK("http://service.sap.com/sap/support/notes/1619076","1619076")</f>
        <v>1619076</v>
      </c>
      <c r="E2744">
        <v>1</v>
      </c>
      <c r="F2744" t="s">
        <v>3795</v>
      </c>
    </row>
    <row r="2745" spans="1:6" x14ac:dyDescent="0.25">
      <c r="A2745" t="s">
        <v>1522</v>
      </c>
      <c r="B2745" t="s">
        <v>777</v>
      </c>
      <c r="C2745" t="s">
        <v>778</v>
      </c>
      <c r="D2745" t="str">
        <f>HYPERLINK("http://service.sap.com/sap/support/notes/1620676","1620676")</f>
        <v>1620676</v>
      </c>
      <c r="E2745">
        <v>1</v>
      </c>
      <c r="F2745" t="s">
        <v>3796</v>
      </c>
    </row>
    <row r="2746" spans="1:6" x14ac:dyDescent="0.25">
      <c r="A2746" t="s">
        <v>1522</v>
      </c>
      <c r="B2746" t="s">
        <v>777</v>
      </c>
      <c r="C2746" t="s">
        <v>778</v>
      </c>
      <c r="D2746" t="str">
        <f>HYPERLINK("http://service.sap.com/sap/support/notes/1620724","1620724")</f>
        <v>1620724</v>
      </c>
      <c r="E2746">
        <v>2</v>
      </c>
      <c r="F2746" t="s">
        <v>3797</v>
      </c>
    </row>
    <row r="2747" spans="1:6" x14ac:dyDescent="0.25">
      <c r="A2747" t="s">
        <v>1522</v>
      </c>
      <c r="B2747" t="s">
        <v>777</v>
      </c>
      <c r="C2747" t="s">
        <v>778</v>
      </c>
      <c r="D2747" t="str">
        <f>HYPERLINK("http://service.sap.com/sap/support/notes/1622805","1622805")</f>
        <v>1622805</v>
      </c>
      <c r="E2747">
        <v>2</v>
      </c>
      <c r="F2747" t="s">
        <v>3798</v>
      </c>
    </row>
    <row r="2748" spans="1:6" x14ac:dyDescent="0.25">
      <c r="A2748" t="s">
        <v>1522</v>
      </c>
      <c r="B2748" t="s">
        <v>777</v>
      </c>
      <c r="C2748" t="s">
        <v>778</v>
      </c>
      <c r="D2748" t="str">
        <f>HYPERLINK("http://service.sap.com/sap/support/notes/1624652","1624652")</f>
        <v>1624652</v>
      </c>
      <c r="E2748">
        <v>1</v>
      </c>
      <c r="F2748" t="s">
        <v>3799</v>
      </c>
    </row>
    <row r="2749" spans="1:6" x14ac:dyDescent="0.25">
      <c r="A2749" t="s">
        <v>1522</v>
      </c>
      <c r="B2749" t="s">
        <v>777</v>
      </c>
      <c r="C2749" t="s">
        <v>778</v>
      </c>
      <c r="D2749" t="str">
        <f>HYPERLINK("http://service.sap.com/sap/support/notes/1625924","1625924")</f>
        <v>1625924</v>
      </c>
      <c r="E2749">
        <v>1</v>
      </c>
      <c r="F2749" t="s">
        <v>3800</v>
      </c>
    </row>
    <row r="2750" spans="1:6" x14ac:dyDescent="0.25">
      <c r="A2750" t="s">
        <v>1522</v>
      </c>
      <c r="B2750" t="s">
        <v>777</v>
      </c>
      <c r="C2750" t="s">
        <v>778</v>
      </c>
      <c r="D2750" t="str">
        <f>HYPERLINK("http://service.sap.com/sap/support/notes/1630637","1630637")</f>
        <v>1630637</v>
      </c>
      <c r="E2750">
        <v>2</v>
      </c>
      <c r="F2750" t="s">
        <v>3801</v>
      </c>
    </row>
    <row r="2751" spans="1:6" x14ac:dyDescent="0.25">
      <c r="A2751" t="s">
        <v>1522</v>
      </c>
      <c r="B2751" t="s">
        <v>777</v>
      </c>
      <c r="C2751" t="s">
        <v>778</v>
      </c>
      <c r="D2751" t="str">
        <f>HYPERLINK("http://service.sap.com/sap/support/notes/1631595","1631595")</f>
        <v>1631595</v>
      </c>
      <c r="E2751">
        <v>2</v>
      </c>
      <c r="F2751" t="s">
        <v>3802</v>
      </c>
    </row>
    <row r="2752" spans="1:6" x14ac:dyDescent="0.25">
      <c r="A2752" t="s">
        <v>1522</v>
      </c>
      <c r="B2752" t="s">
        <v>777</v>
      </c>
      <c r="C2752" t="s">
        <v>778</v>
      </c>
      <c r="D2752" t="str">
        <f>HYPERLINK("http://service.sap.com/sap/support/notes/1631607","1631607")</f>
        <v>1631607</v>
      </c>
      <c r="E2752">
        <v>1</v>
      </c>
      <c r="F2752" t="s">
        <v>3803</v>
      </c>
    </row>
    <row r="2753" spans="1:6" x14ac:dyDescent="0.25">
      <c r="A2753" t="s">
        <v>1522</v>
      </c>
      <c r="B2753" t="s">
        <v>777</v>
      </c>
      <c r="C2753" t="s">
        <v>778</v>
      </c>
      <c r="D2753" t="str">
        <f>HYPERLINK("http://service.sap.com/sap/support/notes/1636253","1636253")</f>
        <v>1636253</v>
      </c>
      <c r="E2753">
        <v>1</v>
      </c>
      <c r="F2753" t="s">
        <v>3804</v>
      </c>
    </row>
    <row r="2754" spans="1:6" x14ac:dyDescent="0.25">
      <c r="A2754" t="s">
        <v>1522</v>
      </c>
      <c r="B2754" t="s">
        <v>777</v>
      </c>
      <c r="C2754" t="s">
        <v>778</v>
      </c>
      <c r="D2754" t="str">
        <f>HYPERLINK("http://service.sap.com/sap/support/notes/1637267","1637267")</f>
        <v>1637267</v>
      </c>
      <c r="E2754">
        <v>1</v>
      </c>
      <c r="F2754" t="s">
        <v>3805</v>
      </c>
    </row>
    <row r="2755" spans="1:6" x14ac:dyDescent="0.25">
      <c r="A2755" t="s">
        <v>1522</v>
      </c>
      <c r="B2755" t="s">
        <v>777</v>
      </c>
      <c r="C2755" t="s">
        <v>778</v>
      </c>
      <c r="D2755" t="str">
        <f>HYPERLINK("http://service.sap.com/sap/support/notes/1637271","1637271")</f>
        <v>1637271</v>
      </c>
      <c r="E2755">
        <v>1</v>
      </c>
      <c r="F2755" t="s">
        <v>3806</v>
      </c>
    </row>
    <row r="2756" spans="1:6" x14ac:dyDescent="0.25">
      <c r="A2756" t="s">
        <v>1522</v>
      </c>
      <c r="B2756" t="s">
        <v>777</v>
      </c>
      <c r="C2756" t="s">
        <v>778</v>
      </c>
      <c r="D2756" t="str">
        <f>HYPERLINK("http://service.sap.com/sap/support/notes/1642198","1642198")</f>
        <v>1642198</v>
      </c>
      <c r="E2756">
        <v>1</v>
      </c>
      <c r="F2756" t="s">
        <v>3807</v>
      </c>
    </row>
    <row r="2757" spans="1:6" x14ac:dyDescent="0.25">
      <c r="A2757" t="s">
        <v>1522</v>
      </c>
      <c r="B2757" t="s">
        <v>777</v>
      </c>
      <c r="C2757" t="s">
        <v>778</v>
      </c>
      <c r="D2757" t="str">
        <f>HYPERLINK("http://service.sap.com/sap/support/notes/1643398","1643398")</f>
        <v>1643398</v>
      </c>
      <c r="E2757">
        <v>2</v>
      </c>
      <c r="F2757" t="s">
        <v>3808</v>
      </c>
    </row>
    <row r="2758" spans="1:6" x14ac:dyDescent="0.25">
      <c r="A2758" t="s">
        <v>1522</v>
      </c>
      <c r="B2758" t="s">
        <v>777</v>
      </c>
      <c r="C2758" t="s">
        <v>778</v>
      </c>
      <c r="D2758" t="str">
        <f>HYPERLINK("http://service.sap.com/sap/support/notes/1647775","1647775")</f>
        <v>1647775</v>
      </c>
      <c r="E2758">
        <v>1</v>
      </c>
      <c r="F2758" t="s">
        <v>3809</v>
      </c>
    </row>
    <row r="2759" spans="1:6" x14ac:dyDescent="0.25">
      <c r="A2759" t="s">
        <v>1522</v>
      </c>
      <c r="B2759" t="s">
        <v>777</v>
      </c>
      <c r="C2759" t="s">
        <v>778</v>
      </c>
      <c r="D2759" t="str">
        <f>HYPERLINK("http://service.sap.com/sap/support/notes/1650854","1650854")</f>
        <v>1650854</v>
      </c>
      <c r="E2759">
        <v>1</v>
      </c>
      <c r="F2759" t="s">
        <v>3810</v>
      </c>
    </row>
    <row r="2760" spans="1:6" x14ac:dyDescent="0.25">
      <c r="A2760" t="s">
        <v>1522</v>
      </c>
      <c r="B2760" t="s">
        <v>777</v>
      </c>
      <c r="C2760" t="s">
        <v>778</v>
      </c>
      <c r="D2760" t="str">
        <f>HYPERLINK("http://service.sap.com/sap/support/notes/1653036","1653036")</f>
        <v>1653036</v>
      </c>
      <c r="E2760">
        <v>1</v>
      </c>
      <c r="F2760" t="s">
        <v>3811</v>
      </c>
    </row>
    <row r="2761" spans="1:6" x14ac:dyDescent="0.25">
      <c r="A2761" t="s">
        <v>1522</v>
      </c>
      <c r="B2761" t="s">
        <v>777</v>
      </c>
      <c r="C2761" t="s">
        <v>778</v>
      </c>
      <c r="D2761" t="str">
        <f>HYPERLINK("http://service.sap.com/sap/support/notes/1654557","1654557")</f>
        <v>1654557</v>
      </c>
      <c r="E2761">
        <v>2</v>
      </c>
      <c r="F2761" t="s">
        <v>3812</v>
      </c>
    </row>
    <row r="2762" spans="1:6" x14ac:dyDescent="0.25">
      <c r="A2762" t="s">
        <v>1522</v>
      </c>
      <c r="B2762" t="s">
        <v>777</v>
      </c>
      <c r="C2762" t="s">
        <v>778</v>
      </c>
      <c r="D2762" t="str">
        <f>HYPERLINK("http://service.sap.com/sap/support/notes/1654727","1654727")</f>
        <v>1654727</v>
      </c>
      <c r="E2762">
        <v>2</v>
      </c>
      <c r="F2762" t="s">
        <v>3813</v>
      </c>
    </row>
    <row r="2763" spans="1:6" x14ac:dyDescent="0.25">
      <c r="A2763" t="s">
        <v>1522</v>
      </c>
      <c r="B2763" t="s">
        <v>777</v>
      </c>
      <c r="C2763" t="s">
        <v>778</v>
      </c>
      <c r="D2763" t="str">
        <f>HYPERLINK("http://service.sap.com/sap/support/notes/1655160","1655160")</f>
        <v>1655160</v>
      </c>
      <c r="E2763">
        <v>1</v>
      </c>
      <c r="F2763" t="s">
        <v>3814</v>
      </c>
    </row>
    <row r="2764" spans="1:6" x14ac:dyDescent="0.25">
      <c r="A2764" t="s">
        <v>1522</v>
      </c>
      <c r="B2764" t="s">
        <v>777</v>
      </c>
      <c r="C2764" t="s">
        <v>778</v>
      </c>
      <c r="D2764" t="str">
        <f>HYPERLINK("http://service.sap.com/sap/support/notes/1657089","1657089")</f>
        <v>1657089</v>
      </c>
      <c r="E2764">
        <v>1</v>
      </c>
      <c r="F2764" t="s">
        <v>3815</v>
      </c>
    </row>
    <row r="2765" spans="1:6" x14ac:dyDescent="0.25">
      <c r="A2765" t="s">
        <v>1522</v>
      </c>
      <c r="B2765" t="s">
        <v>777</v>
      </c>
      <c r="C2765" t="s">
        <v>778</v>
      </c>
      <c r="D2765" t="str">
        <f>HYPERLINK("http://service.sap.com/sap/support/notes/1657091","1657091")</f>
        <v>1657091</v>
      </c>
      <c r="E2765">
        <v>1</v>
      </c>
      <c r="F2765" t="s">
        <v>3816</v>
      </c>
    </row>
    <row r="2766" spans="1:6" x14ac:dyDescent="0.25">
      <c r="A2766" t="s">
        <v>1522</v>
      </c>
      <c r="B2766" t="s">
        <v>777</v>
      </c>
      <c r="C2766" t="s">
        <v>778</v>
      </c>
      <c r="D2766" t="str">
        <f>HYPERLINK("http://service.sap.com/sap/support/notes/1662673","1662673")</f>
        <v>1662673</v>
      </c>
      <c r="E2766">
        <v>1</v>
      </c>
      <c r="F2766" t="s">
        <v>3817</v>
      </c>
    </row>
    <row r="2767" spans="1:6" x14ac:dyDescent="0.25">
      <c r="A2767" t="s">
        <v>1522</v>
      </c>
      <c r="B2767" t="s">
        <v>777</v>
      </c>
      <c r="C2767" t="s">
        <v>778</v>
      </c>
      <c r="D2767" t="str">
        <f>HYPERLINK("http://service.sap.com/sap/support/notes/1663396","1663396")</f>
        <v>1663396</v>
      </c>
      <c r="E2767">
        <v>1</v>
      </c>
      <c r="F2767" t="s">
        <v>3818</v>
      </c>
    </row>
    <row r="2768" spans="1:6" x14ac:dyDescent="0.25">
      <c r="A2768" t="s">
        <v>1522</v>
      </c>
      <c r="B2768" t="s">
        <v>777</v>
      </c>
      <c r="C2768" t="s">
        <v>778</v>
      </c>
      <c r="D2768" t="str">
        <f>HYPERLINK("http://service.sap.com/sap/support/notes/1665815","1665815")</f>
        <v>1665815</v>
      </c>
      <c r="E2768">
        <v>1</v>
      </c>
      <c r="F2768" t="s">
        <v>3819</v>
      </c>
    </row>
    <row r="2769" spans="1:6" x14ac:dyDescent="0.25">
      <c r="A2769" t="s">
        <v>1522</v>
      </c>
      <c r="B2769" t="s">
        <v>777</v>
      </c>
      <c r="C2769" t="s">
        <v>778</v>
      </c>
      <c r="D2769" t="str">
        <f>HYPERLINK("http://service.sap.com/sap/support/notes/1668425","1668425")</f>
        <v>1668425</v>
      </c>
      <c r="E2769">
        <v>1</v>
      </c>
      <c r="F2769" t="s">
        <v>3820</v>
      </c>
    </row>
    <row r="2770" spans="1:6" x14ac:dyDescent="0.25">
      <c r="A2770" t="s">
        <v>1522</v>
      </c>
      <c r="B2770" t="s">
        <v>3821</v>
      </c>
      <c r="C2770" t="s">
        <v>3822</v>
      </c>
      <c r="D2770" t="str">
        <f>HYPERLINK("http://service.sap.com/sap/support/notes/1649885","1649885")</f>
        <v>1649885</v>
      </c>
      <c r="E2770">
        <v>1</v>
      </c>
      <c r="F2770" t="s">
        <v>3823</v>
      </c>
    </row>
    <row r="2771" spans="1:6" x14ac:dyDescent="0.25">
      <c r="A2771" t="s">
        <v>1522</v>
      </c>
      <c r="B2771" t="s">
        <v>786</v>
      </c>
      <c r="C2771" t="s">
        <v>660</v>
      </c>
      <c r="D2771" t="str">
        <f>HYPERLINK("http://service.sap.com/sap/support/notes/1627193","1627193")</f>
        <v>1627193</v>
      </c>
      <c r="E2771">
        <v>1</v>
      </c>
      <c r="F2771" t="s">
        <v>3824</v>
      </c>
    </row>
    <row r="2772" spans="1:6" x14ac:dyDescent="0.25">
      <c r="A2772" t="s">
        <v>1522</v>
      </c>
      <c r="B2772" t="s">
        <v>786</v>
      </c>
      <c r="C2772" t="s">
        <v>660</v>
      </c>
      <c r="D2772" t="str">
        <f>HYPERLINK("http://service.sap.com/sap/support/notes/1653518","1653518")</f>
        <v>1653518</v>
      </c>
      <c r="E2772">
        <v>2</v>
      </c>
      <c r="F2772" t="s">
        <v>3825</v>
      </c>
    </row>
    <row r="2773" spans="1:6" x14ac:dyDescent="0.25">
      <c r="A2773" t="s">
        <v>1522</v>
      </c>
      <c r="B2773" t="s">
        <v>786</v>
      </c>
      <c r="C2773" t="s">
        <v>660</v>
      </c>
      <c r="D2773" t="str">
        <f>HYPERLINK("http://service.sap.com/sap/support/notes/1668783","1668783")</f>
        <v>1668783</v>
      </c>
      <c r="E2773">
        <v>2</v>
      </c>
      <c r="F2773" t="s">
        <v>3826</v>
      </c>
    </row>
    <row r="2774" spans="1:6" x14ac:dyDescent="0.25">
      <c r="A2774" t="s">
        <v>1522</v>
      </c>
      <c r="B2774" t="s">
        <v>788</v>
      </c>
      <c r="C2774" t="s">
        <v>789</v>
      </c>
      <c r="D2774" t="str">
        <f>HYPERLINK("http://service.sap.com/sap/support/notes/1620662","1620662")</f>
        <v>1620662</v>
      </c>
      <c r="E2774">
        <v>1</v>
      </c>
      <c r="F2774" t="s">
        <v>3827</v>
      </c>
    </row>
    <row r="2775" spans="1:6" x14ac:dyDescent="0.25">
      <c r="A2775" t="s">
        <v>1522</v>
      </c>
      <c r="B2775" t="s">
        <v>788</v>
      </c>
      <c r="C2775" t="s">
        <v>789</v>
      </c>
      <c r="D2775" t="str">
        <f>HYPERLINK("http://service.sap.com/sap/support/notes/1643990","1643990")</f>
        <v>1643990</v>
      </c>
      <c r="E2775">
        <v>4</v>
      </c>
      <c r="F2775" t="s">
        <v>3828</v>
      </c>
    </row>
    <row r="2776" spans="1:6" x14ac:dyDescent="0.25">
      <c r="A2776" t="s">
        <v>1522</v>
      </c>
      <c r="B2776" t="s">
        <v>791</v>
      </c>
      <c r="C2776" t="s">
        <v>792</v>
      </c>
      <c r="D2776" t="str">
        <f>HYPERLINK("http://service.sap.com/sap/support/notes/1625273","1625273")</f>
        <v>1625273</v>
      </c>
      <c r="E2776">
        <v>2</v>
      </c>
      <c r="F2776" t="s">
        <v>3829</v>
      </c>
    </row>
    <row r="2777" spans="1:6" x14ac:dyDescent="0.25">
      <c r="A2777" t="s">
        <v>1522</v>
      </c>
      <c r="B2777" t="s">
        <v>791</v>
      </c>
      <c r="C2777" t="s">
        <v>792</v>
      </c>
      <c r="D2777" t="str">
        <f>HYPERLINK("http://service.sap.com/sap/support/notes/1626829","1626829")</f>
        <v>1626829</v>
      </c>
      <c r="E2777">
        <v>2</v>
      </c>
      <c r="F2777" t="s">
        <v>3830</v>
      </c>
    </row>
    <row r="2778" spans="1:6" x14ac:dyDescent="0.25">
      <c r="A2778" t="s">
        <v>1522</v>
      </c>
      <c r="B2778" t="s">
        <v>791</v>
      </c>
      <c r="C2778" t="s">
        <v>792</v>
      </c>
      <c r="D2778" t="str">
        <f>HYPERLINK("http://service.sap.com/sap/support/notes/1631112","1631112")</f>
        <v>1631112</v>
      </c>
      <c r="E2778">
        <v>2</v>
      </c>
      <c r="F2778" t="s">
        <v>3831</v>
      </c>
    </row>
    <row r="2779" spans="1:6" x14ac:dyDescent="0.25">
      <c r="A2779" t="s">
        <v>1522</v>
      </c>
      <c r="B2779" t="s">
        <v>791</v>
      </c>
      <c r="C2779" t="s">
        <v>792</v>
      </c>
      <c r="D2779" t="str">
        <f>HYPERLINK("http://service.sap.com/sap/support/notes/1633785","1633785")</f>
        <v>1633785</v>
      </c>
      <c r="E2779">
        <v>2</v>
      </c>
      <c r="F2779" t="s">
        <v>3832</v>
      </c>
    </row>
    <row r="2780" spans="1:6" x14ac:dyDescent="0.25">
      <c r="A2780" t="s">
        <v>1522</v>
      </c>
      <c r="B2780" t="s">
        <v>791</v>
      </c>
      <c r="C2780" t="s">
        <v>792</v>
      </c>
      <c r="D2780" t="str">
        <f>HYPERLINK("http://service.sap.com/sap/support/notes/1653772","1653772")</f>
        <v>1653772</v>
      </c>
      <c r="E2780">
        <v>2</v>
      </c>
      <c r="F2780" t="s">
        <v>3833</v>
      </c>
    </row>
    <row r="2781" spans="1:6" x14ac:dyDescent="0.25">
      <c r="A2781" t="s">
        <v>1522</v>
      </c>
      <c r="B2781" t="s">
        <v>791</v>
      </c>
      <c r="C2781" t="s">
        <v>792</v>
      </c>
      <c r="D2781" t="str">
        <f>HYPERLINK("http://service.sap.com/sap/support/notes/1662522","1662522")</f>
        <v>1662522</v>
      </c>
      <c r="E2781">
        <v>1</v>
      </c>
      <c r="F2781" t="s">
        <v>3834</v>
      </c>
    </row>
    <row r="2782" spans="1:6" x14ac:dyDescent="0.25">
      <c r="A2782" t="s">
        <v>1522</v>
      </c>
      <c r="B2782" t="s">
        <v>794</v>
      </c>
      <c r="C2782" t="s">
        <v>795</v>
      </c>
      <c r="D2782" t="str">
        <f>HYPERLINK("http://service.sap.com/sap/support/notes/1605156","1605156")</f>
        <v>1605156</v>
      </c>
      <c r="E2782">
        <v>1</v>
      </c>
      <c r="F2782" t="s">
        <v>3835</v>
      </c>
    </row>
    <row r="2783" spans="1:6" x14ac:dyDescent="0.25">
      <c r="A2783" t="s">
        <v>1522</v>
      </c>
      <c r="B2783" t="s">
        <v>794</v>
      </c>
      <c r="C2783" t="s">
        <v>795</v>
      </c>
      <c r="D2783" t="str">
        <f>HYPERLINK("http://service.sap.com/sap/support/notes/1627284","1627284")</f>
        <v>1627284</v>
      </c>
      <c r="E2783">
        <v>1</v>
      </c>
      <c r="F2783" t="s">
        <v>3836</v>
      </c>
    </row>
    <row r="2784" spans="1:6" x14ac:dyDescent="0.25">
      <c r="A2784" t="s">
        <v>1522</v>
      </c>
      <c r="B2784" t="s">
        <v>794</v>
      </c>
      <c r="C2784" t="s">
        <v>795</v>
      </c>
      <c r="D2784" t="str">
        <f>HYPERLINK("http://service.sap.com/sap/support/notes/1647172","1647172")</f>
        <v>1647172</v>
      </c>
      <c r="E2784">
        <v>3</v>
      </c>
      <c r="F2784" t="s">
        <v>3837</v>
      </c>
    </row>
    <row r="2785" spans="1:6" x14ac:dyDescent="0.25">
      <c r="A2785" t="s">
        <v>1522</v>
      </c>
      <c r="B2785" t="s">
        <v>26</v>
      </c>
      <c r="C2785" t="s">
        <v>798</v>
      </c>
      <c r="D2785" t="str">
        <f>HYPERLINK("http://service.sap.com/sap/support/notes/1617128","1617128")</f>
        <v>1617128</v>
      </c>
      <c r="E2785">
        <v>2</v>
      </c>
      <c r="F2785" t="s">
        <v>3838</v>
      </c>
    </row>
    <row r="2786" spans="1:6" x14ac:dyDescent="0.25">
      <c r="A2786" t="s">
        <v>1522</v>
      </c>
      <c r="B2786" t="s">
        <v>26</v>
      </c>
      <c r="C2786" t="s">
        <v>798</v>
      </c>
      <c r="D2786" t="str">
        <f>HYPERLINK("http://service.sap.com/sap/support/notes/1618616","1618616")</f>
        <v>1618616</v>
      </c>
      <c r="E2786">
        <v>3</v>
      </c>
      <c r="F2786" t="s">
        <v>3839</v>
      </c>
    </row>
    <row r="2787" spans="1:6" x14ac:dyDescent="0.25">
      <c r="A2787" t="s">
        <v>1522</v>
      </c>
      <c r="B2787" t="s">
        <v>26</v>
      </c>
      <c r="C2787" t="s">
        <v>798</v>
      </c>
      <c r="D2787" t="str">
        <f>HYPERLINK("http://service.sap.com/sap/support/notes/1619456","1619456")</f>
        <v>1619456</v>
      </c>
      <c r="E2787">
        <v>2</v>
      </c>
      <c r="F2787" t="s">
        <v>3840</v>
      </c>
    </row>
    <row r="2788" spans="1:6" x14ac:dyDescent="0.25">
      <c r="A2788" t="s">
        <v>1522</v>
      </c>
      <c r="B2788" t="s">
        <v>26</v>
      </c>
      <c r="C2788" t="s">
        <v>798</v>
      </c>
      <c r="D2788" t="str">
        <f>HYPERLINK("http://service.sap.com/sap/support/notes/1620640","1620640")</f>
        <v>1620640</v>
      </c>
      <c r="E2788">
        <v>3</v>
      </c>
      <c r="F2788" t="s">
        <v>3841</v>
      </c>
    </row>
    <row r="2789" spans="1:6" x14ac:dyDescent="0.25">
      <c r="A2789" t="s">
        <v>1522</v>
      </c>
      <c r="B2789" t="s">
        <v>26</v>
      </c>
      <c r="C2789" t="s">
        <v>798</v>
      </c>
      <c r="D2789" t="str">
        <f>HYPERLINK("http://service.sap.com/sap/support/notes/1623704","1623704")</f>
        <v>1623704</v>
      </c>
      <c r="E2789">
        <v>2</v>
      </c>
      <c r="F2789" t="s">
        <v>3842</v>
      </c>
    </row>
    <row r="2790" spans="1:6" x14ac:dyDescent="0.25">
      <c r="A2790" t="s">
        <v>1522</v>
      </c>
      <c r="B2790" t="s">
        <v>26</v>
      </c>
      <c r="C2790" t="s">
        <v>798</v>
      </c>
      <c r="D2790" t="str">
        <f>HYPERLINK("http://service.sap.com/sap/support/notes/1626993","1626993")</f>
        <v>1626993</v>
      </c>
      <c r="E2790">
        <v>1</v>
      </c>
      <c r="F2790" t="s">
        <v>3843</v>
      </c>
    </row>
    <row r="2791" spans="1:6" x14ac:dyDescent="0.25">
      <c r="A2791" t="s">
        <v>1522</v>
      </c>
      <c r="B2791" t="s">
        <v>26</v>
      </c>
      <c r="C2791" t="s">
        <v>798</v>
      </c>
      <c r="D2791" t="str">
        <f>HYPERLINK("http://service.sap.com/sap/support/notes/1627381","1627381")</f>
        <v>1627381</v>
      </c>
      <c r="E2791">
        <v>1</v>
      </c>
      <c r="F2791" t="s">
        <v>3844</v>
      </c>
    </row>
    <row r="2792" spans="1:6" x14ac:dyDescent="0.25">
      <c r="A2792" t="s">
        <v>1522</v>
      </c>
      <c r="B2792" t="s">
        <v>26</v>
      </c>
      <c r="C2792" t="s">
        <v>798</v>
      </c>
      <c r="D2792" t="str">
        <f>HYPERLINK("http://service.sap.com/sap/support/notes/1629374","1629374")</f>
        <v>1629374</v>
      </c>
      <c r="E2792">
        <v>1</v>
      </c>
      <c r="F2792" t="s">
        <v>3845</v>
      </c>
    </row>
    <row r="2793" spans="1:6" x14ac:dyDescent="0.25">
      <c r="A2793" t="s">
        <v>1522</v>
      </c>
      <c r="B2793" t="s">
        <v>26</v>
      </c>
      <c r="C2793" t="s">
        <v>798</v>
      </c>
      <c r="D2793" t="str">
        <f>HYPERLINK("http://service.sap.com/sap/support/notes/1635638","1635638")</f>
        <v>1635638</v>
      </c>
      <c r="E2793">
        <v>2</v>
      </c>
      <c r="F2793" t="s">
        <v>3846</v>
      </c>
    </row>
    <row r="2794" spans="1:6" x14ac:dyDescent="0.25">
      <c r="A2794" t="s">
        <v>1522</v>
      </c>
      <c r="B2794" t="s">
        <v>26</v>
      </c>
      <c r="C2794" t="s">
        <v>798</v>
      </c>
      <c r="D2794" t="str">
        <f>HYPERLINK("http://service.sap.com/sap/support/notes/1637063","1637063")</f>
        <v>1637063</v>
      </c>
      <c r="E2794">
        <v>2</v>
      </c>
      <c r="F2794" t="s">
        <v>3847</v>
      </c>
    </row>
    <row r="2795" spans="1:6" x14ac:dyDescent="0.25">
      <c r="A2795" t="s">
        <v>1522</v>
      </c>
      <c r="B2795" t="s">
        <v>26</v>
      </c>
      <c r="C2795" t="s">
        <v>798</v>
      </c>
      <c r="D2795" t="str">
        <f>HYPERLINK("http://service.sap.com/sap/support/notes/1638237","1638237")</f>
        <v>1638237</v>
      </c>
      <c r="E2795">
        <v>1</v>
      </c>
      <c r="F2795" t="s">
        <v>3848</v>
      </c>
    </row>
    <row r="2796" spans="1:6" x14ac:dyDescent="0.25">
      <c r="A2796" t="s">
        <v>1522</v>
      </c>
      <c r="B2796" t="s">
        <v>26</v>
      </c>
      <c r="C2796" t="s">
        <v>798</v>
      </c>
      <c r="D2796" t="str">
        <f>HYPERLINK("http://service.sap.com/sap/support/notes/1638901","1638901")</f>
        <v>1638901</v>
      </c>
      <c r="E2796">
        <v>1</v>
      </c>
      <c r="F2796" t="s">
        <v>3849</v>
      </c>
    </row>
    <row r="2797" spans="1:6" x14ac:dyDescent="0.25">
      <c r="A2797" t="s">
        <v>1522</v>
      </c>
      <c r="B2797" t="s">
        <v>26</v>
      </c>
      <c r="C2797" t="s">
        <v>798</v>
      </c>
      <c r="D2797" t="str">
        <f>HYPERLINK("http://service.sap.com/sap/support/notes/1642951","1642951")</f>
        <v>1642951</v>
      </c>
      <c r="E2797">
        <v>1</v>
      </c>
      <c r="F2797" t="s">
        <v>3850</v>
      </c>
    </row>
    <row r="2798" spans="1:6" x14ac:dyDescent="0.25">
      <c r="A2798" t="s">
        <v>1522</v>
      </c>
      <c r="B2798" t="s">
        <v>26</v>
      </c>
      <c r="C2798" t="s">
        <v>798</v>
      </c>
      <c r="D2798" t="str">
        <f>HYPERLINK("http://service.sap.com/sap/support/notes/1644054","1644054")</f>
        <v>1644054</v>
      </c>
      <c r="E2798">
        <v>1</v>
      </c>
      <c r="F2798" t="s">
        <v>3851</v>
      </c>
    </row>
    <row r="2799" spans="1:6" x14ac:dyDescent="0.25">
      <c r="A2799" t="s">
        <v>1522</v>
      </c>
      <c r="B2799" t="s">
        <v>26</v>
      </c>
      <c r="C2799" t="s">
        <v>798</v>
      </c>
      <c r="D2799" t="str">
        <f>HYPERLINK("http://service.sap.com/sap/support/notes/1647110","1647110")</f>
        <v>1647110</v>
      </c>
      <c r="E2799">
        <v>2</v>
      </c>
      <c r="F2799" t="s">
        <v>3852</v>
      </c>
    </row>
    <row r="2800" spans="1:6" x14ac:dyDescent="0.25">
      <c r="A2800" t="s">
        <v>1522</v>
      </c>
      <c r="B2800" t="s">
        <v>26</v>
      </c>
      <c r="C2800" t="s">
        <v>798</v>
      </c>
      <c r="D2800" t="str">
        <f>HYPERLINK("http://service.sap.com/sap/support/notes/1647533","1647533")</f>
        <v>1647533</v>
      </c>
      <c r="E2800">
        <v>2</v>
      </c>
      <c r="F2800" t="s">
        <v>3853</v>
      </c>
    </row>
    <row r="2801" spans="1:6" x14ac:dyDescent="0.25">
      <c r="A2801" t="s">
        <v>1522</v>
      </c>
      <c r="B2801" t="s">
        <v>26</v>
      </c>
      <c r="C2801" t="s">
        <v>798</v>
      </c>
      <c r="D2801" t="str">
        <f>HYPERLINK("http://service.sap.com/sap/support/notes/1649916","1649916")</f>
        <v>1649916</v>
      </c>
      <c r="E2801">
        <v>1</v>
      </c>
      <c r="F2801" t="s">
        <v>3854</v>
      </c>
    </row>
    <row r="2802" spans="1:6" x14ac:dyDescent="0.25">
      <c r="A2802" t="s">
        <v>1522</v>
      </c>
      <c r="B2802" t="s">
        <v>26</v>
      </c>
      <c r="C2802" t="s">
        <v>798</v>
      </c>
      <c r="D2802" t="str">
        <f>HYPERLINK("http://service.sap.com/sap/support/notes/1650893","1650893")</f>
        <v>1650893</v>
      </c>
      <c r="E2802">
        <v>2</v>
      </c>
      <c r="F2802" t="s">
        <v>3855</v>
      </c>
    </row>
    <row r="2803" spans="1:6" x14ac:dyDescent="0.25">
      <c r="A2803" t="s">
        <v>1522</v>
      </c>
      <c r="B2803" t="s">
        <v>26</v>
      </c>
      <c r="C2803" t="s">
        <v>798</v>
      </c>
      <c r="D2803" t="str">
        <f>HYPERLINK("http://service.sap.com/sap/support/notes/1652622","1652622")</f>
        <v>1652622</v>
      </c>
      <c r="E2803">
        <v>1</v>
      </c>
      <c r="F2803" t="s">
        <v>3856</v>
      </c>
    </row>
    <row r="2804" spans="1:6" x14ac:dyDescent="0.25">
      <c r="A2804" t="s">
        <v>1522</v>
      </c>
      <c r="B2804" t="s">
        <v>26</v>
      </c>
      <c r="C2804" t="s">
        <v>798</v>
      </c>
      <c r="D2804" t="str">
        <f>HYPERLINK("http://service.sap.com/sap/support/notes/1654532","1654532")</f>
        <v>1654532</v>
      </c>
      <c r="E2804">
        <v>2</v>
      </c>
      <c r="F2804" t="s">
        <v>3857</v>
      </c>
    </row>
    <row r="2805" spans="1:6" x14ac:dyDescent="0.25">
      <c r="A2805" t="s">
        <v>1522</v>
      </c>
      <c r="B2805" t="s">
        <v>26</v>
      </c>
      <c r="C2805" t="s">
        <v>798</v>
      </c>
      <c r="D2805" t="str">
        <f>HYPERLINK("http://service.sap.com/sap/support/notes/1658223","1658223")</f>
        <v>1658223</v>
      </c>
      <c r="E2805">
        <v>2</v>
      </c>
      <c r="F2805" t="s">
        <v>3858</v>
      </c>
    </row>
    <row r="2806" spans="1:6" x14ac:dyDescent="0.25">
      <c r="A2806" t="s">
        <v>1522</v>
      </c>
      <c r="B2806" t="s">
        <v>26</v>
      </c>
      <c r="C2806" t="s">
        <v>798</v>
      </c>
      <c r="D2806" t="str">
        <f>HYPERLINK("http://service.sap.com/sap/support/notes/1668945","1668945")</f>
        <v>1668945</v>
      </c>
      <c r="E2806">
        <v>1</v>
      </c>
      <c r="F2806" t="s">
        <v>3859</v>
      </c>
    </row>
    <row r="2807" spans="1:6" x14ac:dyDescent="0.25">
      <c r="A2807" t="s">
        <v>1522</v>
      </c>
      <c r="B2807" t="s">
        <v>26</v>
      </c>
      <c r="C2807" t="s">
        <v>798</v>
      </c>
      <c r="D2807" t="str">
        <f>HYPERLINK("http://service.sap.com/sap/support/notes/1672203","1672203")</f>
        <v>1672203</v>
      </c>
      <c r="E2807">
        <v>1</v>
      </c>
      <c r="F2807" t="s">
        <v>3860</v>
      </c>
    </row>
    <row r="2808" spans="1:6" x14ac:dyDescent="0.25">
      <c r="A2808" t="s">
        <v>1522</v>
      </c>
      <c r="B2808" t="s">
        <v>26</v>
      </c>
      <c r="C2808" t="s">
        <v>798</v>
      </c>
      <c r="D2808" t="str">
        <f>HYPERLINK("http://service.sap.com/sap/support/notes/1672361","1672361")</f>
        <v>1672361</v>
      </c>
      <c r="E2808">
        <v>3</v>
      </c>
      <c r="F2808" t="s">
        <v>3861</v>
      </c>
    </row>
    <row r="2809" spans="1:6" x14ac:dyDescent="0.25">
      <c r="A2809" t="s">
        <v>1522</v>
      </c>
      <c r="B2809" t="s">
        <v>26</v>
      </c>
      <c r="C2809" t="s">
        <v>798</v>
      </c>
      <c r="D2809" t="str">
        <f>HYPERLINK("http://service.sap.com/sap/support/notes/1673416","1673416")</f>
        <v>1673416</v>
      </c>
      <c r="E2809">
        <v>1</v>
      </c>
      <c r="F2809" t="s">
        <v>3862</v>
      </c>
    </row>
    <row r="2810" spans="1:6" x14ac:dyDescent="0.25">
      <c r="A2810" t="s">
        <v>1522</v>
      </c>
      <c r="B2810" t="s">
        <v>26</v>
      </c>
      <c r="C2810" t="s">
        <v>798</v>
      </c>
      <c r="D2810" t="str">
        <f>HYPERLINK("http://service.sap.com/sap/support/notes/1673683","1673683")</f>
        <v>1673683</v>
      </c>
      <c r="E2810">
        <v>2</v>
      </c>
      <c r="F2810" t="s">
        <v>3863</v>
      </c>
    </row>
    <row r="2811" spans="1:6" x14ac:dyDescent="0.25">
      <c r="A2811" t="s">
        <v>1522</v>
      </c>
      <c r="B2811" t="s">
        <v>804</v>
      </c>
      <c r="C2811" t="s">
        <v>805</v>
      </c>
      <c r="D2811" t="str">
        <f>HYPERLINK("http://service.sap.com/sap/support/notes/1622796","1622796")</f>
        <v>1622796</v>
      </c>
      <c r="E2811">
        <v>2</v>
      </c>
      <c r="F2811" t="s">
        <v>3864</v>
      </c>
    </row>
    <row r="2812" spans="1:6" x14ac:dyDescent="0.25">
      <c r="A2812" t="s">
        <v>1522</v>
      </c>
      <c r="B2812" t="s">
        <v>804</v>
      </c>
      <c r="C2812" t="s">
        <v>805</v>
      </c>
      <c r="D2812" t="str">
        <f>HYPERLINK("http://service.sap.com/sap/support/notes/1632387","1632387")</f>
        <v>1632387</v>
      </c>
      <c r="E2812">
        <v>1</v>
      </c>
      <c r="F2812" t="s">
        <v>3865</v>
      </c>
    </row>
    <row r="2813" spans="1:6" x14ac:dyDescent="0.25">
      <c r="A2813" t="s">
        <v>1522</v>
      </c>
      <c r="B2813" t="s">
        <v>804</v>
      </c>
      <c r="C2813" t="s">
        <v>805</v>
      </c>
      <c r="D2813" t="str">
        <f>HYPERLINK("http://service.sap.com/sap/support/notes/1638897","1638897")</f>
        <v>1638897</v>
      </c>
      <c r="E2813">
        <v>2</v>
      </c>
      <c r="F2813" t="s">
        <v>3866</v>
      </c>
    </row>
    <row r="2814" spans="1:6" x14ac:dyDescent="0.25">
      <c r="A2814" t="s">
        <v>1522</v>
      </c>
      <c r="B2814" t="s">
        <v>3867</v>
      </c>
      <c r="C2814" t="s">
        <v>3868</v>
      </c>
      <c r="D2814" t="str">
        <f>HYPERLINK("http://service.sap.com/sap/support/notes/1644670","1644670")</f>
        <v>1644670</v>
      </c>
      <c r="E2814">
        <v>1</v>
      </c>
      <c r="F2814" t="s">
        <v>3869</v>
      </c>
    </row>
    <row r="2815" spans="1:6" x14ac:dyDescent="0.25">
      <c r="A2815" t="s">
        <v>1522</v>
      </c>
      <c r="B2815" t="s">
        <v>3870</v>
      </c>
      <c r="C2815" t="s">
        <v>3871</v>
      </c>
      <c r="D2815" t="str">
        <f>HYPERLINK("http://service.sap.com/sap/support/notes/1619545","1619545")</f>
        <v>1619545</v>
      </c>
      <c r="E2815">
        <v>3</v>
      </c>
      <c r="F2815" t="s">
        <v>3872</v>
      </c>
    </row>
    <row r="2816" spans="1:6" x14ac:dyDescent="0.25">
      <c r="A2816" t="s">
        <v>1522</v>
      </c>
      <c r="B2816" t="s">
        <v>3870</v>
      </c>
      <c r="C2816" t="s">
        <v>3871</v>
      </c>
      <c r="D2816" t="str">
        <f>HYPERLINK("http://service.sap.com/sap/support/notes/1639081","1639081")</f>
        <v>1639081</v>
      </c>
      <c r="E2816">
        <v>2</v>
      </c>
      <c r="F2816" t="s">
        <v>3873</v>
      </c>
    </row>
    <row r="2817" spans="1:6" x14ac:dyDescent="0.25">
      <c r="A2817" t="s">
        <v>1522</v>
      </c>
      <c r="B2817" t="s">
        <v>3870</v>
      </c>
      <c r="C2817" t="s">
        <v>3871</v>
      </c>
      <c r="D2817" t="str">
        <f>HYPERLINK("http://service.sap.com/sap/support/notes/1646836","1646836")</f>
        <v>1646836</v>
      </c>
      <c r="E2817">
        <v>1</v>
      </c>
      <c r="F2817" t="s">
        <v>3874</v>
      </c>
    </row>
    <row r="2818" spans="1:6" x14ac:dyDescent="0.25">
      <c r="A2818" t="s">
        <v>1522</v>
      </c>
      <c r="B2818" t="s">
        <v>3870</v>
      </c>
      <c r="C2818" t="s">
        <v>3871</v>
      </c>
      <c r="D2818" t="str">
        <f>HYPERLINK("http://service.sap.com/sap/support/notes/1649199","1649199")</f>
        <v>1649199</v>
      </c>
      <c r="E2818">
        <v>3</v>
      </c>
      <c r="F2818" t="s">
        <v>3875</v>
      </c>
    </row>
    <row r="2819" spans="1:6" x14ac:dyDescent="0.25">
      <c r="A2819" t="s">
        <v>1522</v>
      </c>
      <c r="B2819" t="s">
        <v>3870</v>
      </c>
      <c r="C2819" t="s">
        <v>3871</v>
      </c>
      <c r="D2819" t="str">
        <f>HYPERLINK("http://service.sap.com/sap/support/notes/1654024","1654024")</f>
        <v>1654024</v>
      </c>
      <c r="E2819">
        <v>1</v>
      </c>
      <c r="F2819" t="s">
        <v>3876</v>
      </c>
    </row>
    <row r="2820" spans="1:6" x14ac:dyDescent="0.25">
      <c r="A2820" t="s">
        <v>1522</v>
      </c>
      <c r="B2820" t="s">
        <v>3870</v>
      </c>
      <c r="C2820" t="s">
        <v>3871</v>
      </c>
      <c r="D2820" t="str">
        <f>HYPERLINK("http://service.sap.com/sap/support/notes/1660217","1660217")</f>
        <v>1660217</v>
      </c>
      <c r="E2820">
        <v>2</v>
      </c>
      <c r="F2820" t="s">
        <v>3877</v>
      </c>
    </row>
    <row r="2821" spans="1:6" x14ac:dyDescent="0.25">
      <c r="A2821" t="s">
        <v>1522</v>
      </c>
      <c r="B2821" t="s">
        <v>3870</v>
      </c>
      <c r="C2821" t="s">
        <v>3871</v>
      </c>
      <c r="D2821" t="str">
        <f>HYPERLINK("http://service.sap.com/sap/support/notes/1660265","1660265")</f>
        <v>1660265</v>
      </c>
      <c r="E2821">
        <v>3</v>
      </c>
      <c r="F2821" t="s">
        <v>3877</v>
      </c>
    </row>
    <row r="2822" spans="1:6" x14ac:dyDescent="0.25">
      <c r="A2822" t="s">
        <v>1522</v>
      </c>
      <c r="B2822" t="s">
        <v>3870</v>
      </c>
      <c r="C2822" t="s">
        <v>3871</v>
      </c>
      <c r="D2822" t="str">
        <f>HYPERLINK("http://service.sap.com/sap/support/notes/1663654","1663654")</f>
        <v>1663654</v>
      </c>
      <c r="E2822">
        <v>1</v>
      </c>
      <c r="F2822" t="s">
        <v>3878</v>
      </c>
    </row>
    <row r="2823" spans="1:6" x14ac:dyDescent="0.25">
      <c r="A2823" t="s">
        <v>1522</v>
      </c>
      <c r="B2823" t="s">
        <v>3870</v>
      </c>
      <c r="C2823" t="s">
        <v>3871</v>
      </c>
      <c r="D2823" t="str">
        <f>HYPERLINK("http://service.sap.com/sap/support/notes/1666288","1666288")</f>
        <v>1666288</v>
      </c>
      <c r="E2823">
        <v>1</v>
      </c>
      <c r="F2823" t="s">
        <v>3879</v>
      </c>
    </row>
    <row r="2824" spans="1:6" x14ac:dyDescent="0.25">
      <c r="A2824" t="s">
        <v>1522</v>
      </c>
      <c r="B2824" t="s">
        <v>3870</v>
      </c>
      <c r="C2824" t="s">
        <v>3871</v>
      </c>
      <c r="D2824" t="str">
        <f>HYPERLINK("http://service.sap.com/sap/support/notes/1668260","1668260")</f>
        <v>1668260</v>
      </c>
      <c r="E2824">
        <v>1</v>
      </c>
      <c r="F2824" t="s">
        <v>3880</v>
      </c>
    </row>
    <row r="2825" spans="1:6" x14ac:dyDescent="0.25">
      <c r="A2825" t="s">
        <v>1522</v>
      </c>
      <c r="B2825" t="s">
        <v>3881</v>
      </c>
      <c r="C2825" t="s">
        <v>3882</v>
      </c>
      <c r="D2825" t="str">
        <f>HYPERLINK("http://service.sap.com/sap/support/notes/1658262","1658262")</f>
        <v>1658262</v>
      </c>
      <c r="E2825">
        <v>3</v>
      </c>
      <c r="F2825" t="s">
        <v>3883</v>
      </c>
    </row>
    <row r="2826" spans="1:6" x14ac:dyDescent="0.25">
      <c r="A2826" t="s">
        <v>1522</v>
      </c>
      <c r="B2826" t="s">
        <v>3884</v>
      </c>
      <c r="C2826" t="s">
        <v>3885</v>
      </c>
      <c r="D2826" t="str">
        <f>HYPERLINK("http://service.sap.com/sap/support/notes/1637543","1637543")</f>
        <v>1637543</v>
      </c>
      <c r="E2826">
        <v>1</v>
      </c>
      <c r="F2826" t="s">
        <v>3886</v>
      </c>
    </row>
    <row r="2827" spans="1:6" x14ac:dyDescent="0.25">
      <c r="A2827" t="s">
        <v>1522</v>
      </c>
      <c r="B2827" t="s">
        <v>3884</v>
      </c>
      <c r="C2827" t="s">
        <v>3885</v>
      </c>
      <c r="D2827" t="str">
        <f>HYPERLINK("http://service.sap.com/sap/support/notes/1644666","1644666")</f>
        <v>1644666</v>
      </c>
      <c r="E2827">
        <v>2</v>
      </c>
      <c r="F2827" t="s">
        <v>3887</v>
      </c>
    </row>
    <row r="2828" spans="1:6" x14ac:dyDescent="0.25">
      <c r="A2828" t="s">
        <v>1522</v>
      </c>
      <c r="B2828" t="s">
        <v>3884</v>
      </c>
      <c r="C2828" t="s">
        <v>3885</v>
      </c>
      <c r="D2828" t="str">
        <f>HYPERLINK("http://service.sap.com/sap/support/notes/1646165","1646165")</f>
        <v>1646165</v>
      </c>
      <c r="E2828">
        <v>1</v>
      </c>
      <c r="F2828" t="s">
        <v>3888</v>
      </c>
    </row>
    <row r="2829" spans="1:6" x14ac:dyDescent="0.25">
      <c r="A2829" t="s">
        <v>1522</v>
      </c>
      <c r="B2829" t="s">
        <v>3884</v>
      </c>
      <c r="C2829" t="s">
        <v>3885</v>
      </c>
      <c r="D2829" t="str">
        <f>HYPERLINK("http://service.sap.com/sap/support/notes/1650700","1650700")</f>
        <v>1650700</v>
      </c>
      <c r="E2829">
        <v>1</v>
      </c>
      <c r="F2829" t="s">
        <v>3889</v>
      </c>
    </row>
    <row r="2830" spans="1:6" x14ac:dyDescent="0.25">
      <c r="A2830" t="s">
        <v>1522</v>
      </c>
      <c r="B2830" t="s">
        <v>810</v>
      </c>
      <c r="C2830" t="s">
        <v>811</v>
      </c>
      <c r="D2830" t="str">
        <f>HYPERLINK("http://service.sap.com/sap/support/notes/1623137","1623137")</f>
        <v>1623137</v>
      </c>
      <c r="E2830">
        <v>1</v>
      </c>
      <c r="F2830" t="s">
        <v>3890</v>
      </c>
    </row>
    <row r="2831" spans="1:6" x14ac:dyDescent="0.25">
      <c r="A2831" t="s">
        <v>1522</v>
      </c>
      <c r="B2831" t="s">
        <v>810</v>
      </c>
      <c r="C2831" t="s">
        <v>811</v>
      </c>
      <c r="D2831" t="str">
        <f>HYPERLINK("http://service.sap.com/sap/support/notes/1628974","1628974")</f>
        <v>1628974</v>
      </c>
      <c r="E2831">
        <v>1</v>
      </c>
      <c r="F2831" t="s">
        <v>3891</v>
      </c>
    </row>
    <row r="2832" spans="1:6" x14ac:dyDescent="0.25">
      <c r="A2832" t="s">
        <v>1522</v>
      </c>
      <c r="B2832" t="s">
        <v>810</v>
      </c>
      <c r="C2832" t="s">
        <v>811</v>
      </c>
      <c r="D2832" t="str">
        <f>HYPERLINK("http://service.sap.com/sap/support/notes/1642002","1642002")</f>
        <v>1642002</v>
      </c>
      <c r="E2832">
        <v>1</v>
      </c>
      <c r="F2832" t="s">
        <v>3892</v>
      </c>
    </row>
    <row r="2833" spans="1:6" x14ac:dyDescent="0.25">
      <c r="A2833" t="s">
        <v>1522</v>
      </c>
      <c r="B2833" t="s">
        <v>810</v>
      </c>
      <c r="C2833" t="s">
        <v>811</v>
      </c>
      <c r="D2833" t="str">
        <f>HYPERLINK("http://service.sap.com/sap/support/notes/1650768","1650768")</f>
        <v>1650768</v>
      </c>
      <c r="E2833">
        <v>1</v>
      </c>
      <c r="F2833" t="s">
        <v>3893</v>
      </c>
    </row>
    <row r="2834" spans="1:6" x14ac:dyDescent="0.25">
      <c r="A2834" t="s">
        <v>1522</v>
      </c>
      <c r="B2834" t="s">
        <v>810</v>
      </c>
      <c r="C2834" t="s">
        <v>811</v>
      </c>
      <c r="D2834" t="str">
        <f>HYPERLINK("http://service.sap.com/sap/support/notes/1651494","1651494")</f>
        <v>1651494</v>
      </c>
      <c r="E2834">
        <v>1</v>
      </c>
      <c r="F2834" t="s">
        <v>3894</v>
      </c>
    </row>
    <row r="2835" spans="1:6" x14ac:dyDescent="0.25">
      <c r="A2835" t="s">
        <v>1522</v>
      </c>
      <c r="B2835" t="s">
        <v>810</v>
      </c>
      <c r="C2835" t="s">
        <v>811</v>
      </c>
      <c r="D2835" t="str">
        <f>HYPERLINK("http://service.sap.com/sap/support/notes/1666239","1666239")</f>
        <v>1666239</v>
      </c>
      <c r="E2835">
        <v>1</v>
      </c>
      <c r="F2835" t="s">
        <v>3895</v>
      </c>
    </row>
    <row r="2836" spans="1:6" x14ac:dyDescent="0.25">
      <c r="A2836" t="s">
        <v>1522</v>
      </c>
      <c r="B2836" t="s">
        <v>3896</v>
      </c>
      <c r="C2836" t="s">
        <v>3897</v>
      </c>
    </row>
    <row r="2837" spans="1:6" x14ac:dyDescent="0.25">
      <c r="A2837" t="s">
        <v>1522</v>
      </c>
      <c r="B2837" t="s">
        <v>3898</v>
      </c>
      <c r="C2837" t="s">
        <v>3899</v>
      </c>
    </row>
    <row r="2838" spans="1:6" x14ac:dyDescent="0.25">
      <c r="A2838" t="s">
        <v>1522</v>
      </c>
      <c r="B2838" t="s">
        <v>3900</v>
      </c>
      <c r="C2838" t="s">
        <v>3900</v>
      </c>
      <c r="D2838" t="str">
        <f>HYPERLINK("http://service.sap.com/sap/support/notes/1603163","1603163")</f>
        <v>1603163</v>
      </c>
      <c r="E2838">
        <v>1</v>
      </c>
      <c r="F2838" t="s">
        <v>3901</v>
      </c>
    </row>
    <row r="2839" spans="1:6" x14ac:dyDescent="0.25">
      <c r="A2839" t="s">
        <v>1522</v>
      </c>
      <c r="B2839" t="s">
        <v>3900</v>
      </c>
      <c r="C2839" t="s">
        <v>3900</v>
      </c>
      <c r="D2839" t="str">
        <f>HYPERLINK("http://service.sap.com/sap/support/notes/1623973","1623973")</f>
        <v>1623973</v>
      </c>
      <c r="E2839">
        <v>1</v>
      </c>
      <c r="F2839" t="s">
        <v>3902</v>
      </c>
    </row>
    <row r="2840" spans="1:6" x14ac:dyDescent="0.25">
      <c r="A2840" t="s">
        <v>1522</v>
      </c>
      <c r="B2840" t="s">
        <v>3900</v>
      </c>
      <c r="C2840" t="s">
        <v>3900</v>
      </c>
      <c r="D2840" t="str">
        <f>HYPERLINK("http://service.sap.com/sap/support/notes/1647043","1647043")</f>
        <v>1647043</v>
      </c>
      <c r="E2840">
        <v>1</v>
      </c>
      <c r="F2840" t="s">
        <v>3903</v>
      </c>
    </row>
    <row r="2841" spans="1:6" x14ac:dyDescent="0.25">
      <c r="A2841" t="s">
        <v>1522</v>
      </c>
      <c r="B2841" t="s">
        <v>3904</v>
      </c>
      <c r="C2841" t="s">
        <v>3905</v>
      </c>
    </row>
    <row r="2842" spans="1:6" x14ac:dyDescent="0.25">
      <c r="A2842" t="s">
        <v>1522</v>
      </c>
      <c r="B2842" t="s">
        <v>3906</v>
      </c>
      <c r="C2842" t="s">
        <v>3907</v>
      </c>
      <c r="D2842" t="str">
        <f>HYPERLINK("http://service.sap.com/sap/support/notes/1643187","1643187")</f>
        <v>1643187</v>
      </c>
      <c r="E2842">
        <v>1</v>
      </c>
      <c r="F2842" t="s">
        <v>3908</v>
      </c>
    </row>
    <row r="2843" spans="1:6" x14ac:dyDescent="0.25">
      <c r="A2843" t="s">
        <v>1522</v>
      </c>
      <c r="B2843" t="s">
        <v>813</v>
      </c>
      <c r="C2843" t="s">
        <v>141</v>
      </c>
    </row>
    <row r="2844" spans="1:6" x14ac:dyDescent="0.25">
      <c r="A2844" t="s">
        <v>1522</v>
      </c>
      <c r="B2844" t="s">
        <v>3909</v>
      </c>
      <c r="C2844" t="s">
        <v>1296</v>
      </c>
    </row>
    <row r="2845" spans="1:6" x14ac:dyDescent="0.25">
      <c r="A2845" t="s">
        <v>1522</v>
      </c>
      <c r="B2845" t="s">
        <v>3910</v>
      </c>
      <c r="C2845" t="s">
        <v>1301</v>
      </c>
      <c r="D2845" t="str">
        <f>HYPERLINK("http://service.sap.com/sap/support/notes/1612926","1612926")</f>
        <v>1612926</v>
      </c>
      <c r="E2845">
        <v>1</v>
      </c>
      <c r="F2845" t="s">
        <v>3911</v>
      </c>
    </row>
    <row r="2846" spans="1:6" x14ac:dyDescent="0.25">
      <c r="A2846" t="s">
        <v>1522</v>
      </c>
      <c r="B2846" t="s">
        <v>3910</v>
      </c>
      <c r="C2846" t="s">
        <v>1301</v>
      </c>
      <c r="D2846" t="str">
        <f>HYPERLINK("http://service.sap.com/sap/support/notes/1620389","1620389")</f>
        <v>1620389</v>
      </c>
      <c r="E2846">
        <v>2</v>
      </c>
      <c r="F2846" t="s">
        <v>3912</v>
      </c>
    </row>
    <row r="2847" spans="1:6" x14ac:dyDescent="0.25">
      <c r="A2847" t="s">
        <v>1522</v>
      </c>
      <c r="B2847" t="s">
        <v>814</v>
      </c>
      <c r="C2847" t="s">
        <v>143</v>
      </c>
    </row>
    <row r="2848" spans="1:6" x14ac:dyDescent="0.25">
      <c r="A2848" t="s">
        <v>1522</v>
      </c>
      <c r="B2848" t="s">
        <v>815</v>
      </c>
      <c r="C2848" t="s">
        <v>337</v>
      </c>
      <c r="D2848" t="str">
        <f>HYPERLINK("http://service.sap.com/sap/support/notes/1553776","1553776")</f>
        <v>1553776</v>
      </c>
      <c r="E2848">
        <v>2</v>
      </c>
      <c r="F2848" t="s">
        <v>3913</v>
      </c>
    </row>
    <row r="2849" spans="1:6" x14ac:dyDescent="0.25">
      <c r="A2849" t="s">
        <v>1522</v>
      </c>
      <c r="B2849" t="s">
        <v>815</v>
      </c>
      <c r="C2849" t="s">
        <v>337</v>
      </c>
      <c r="D2849" t="str">
        <f>HYPERLINK("http://service.sap.com/sap/support/notes/1668550","1668550")</f>
        <v>1668550</v>
      </c>
      <c r="E2849">
        <v>2</v>
      </c>
      <c r="F2849" t="s">
        <v>3914</v>
      </c>
    </row>
    <row r="2850" spans="1:6" x14ac:dyDescent="0.25">
      <c r="A2850" t="s">
        <v>1522</v>
      </c>
      <c r="B2850" t="s">
        <v>3915</v>
      </c>
      <c r="C2850" t="s">
        <v>3916</v>
      </c>
      <c r="D2850" t="str">
        <f>HYPERLINK("http://service.sap.com/sap/support/notes/1660570","1660570")</f>
        <v>1660570</v>
      </c>
      <c r="E2850">
        <v>1</v>
      </c>
      <c r="F2850" t="s">
        <v>3917</v>
      </c>
    </row>
    <row r="2851" spans="1:6" x14ac:dyDescent="0.25">
      <c r="A2851" t="s">
        <v>1522</v>
      </c>
      <c r="B2851" t="s">
        <v>3918</v>
      </c>
      <c r="C2851" t="s">
        <v>3919</v>
      </c>
      <c r="D2851" t="str">
        <f>HYPERLINK("http://service.sap.com/sap/support/notes/1624064","1624064")</f>
        <v>1624064</v>
      </c>
      <c r="E2851">
        <v>3</v>
      </c>
      <c r="F2851" t="s">
        <v>3920</v>
      </c>
    </row>
    <row r="2852" spans="1:6" x14ac:dyDescent="0.25">
      <c r="A2852" t="s">
        <v>1522</v>
      </c>
      <c r="B2852" t="s">
        <v>3921</v>
      </c>
      <c r="C2852" t="s">
        <v>3922</v>
      </c>
      <c r="D2852" t="str">
        <f>HYPERLINK("http://service.sap.com/sap/support/notes/1620944","1620944")</f>
        <v>1620944</v>
      </c>
      <c r="E2852">
        <v>1</v>
      </c>
      <c r="F2852" t="s">
        <v>3923</v>
      </c>
    </row>
    <row r="2853" spans="1:6" x14ac:dyDescent="0.25">
      <c r="A2853" t="s">
        <v>1522</v>
      </c>
      <c r="B2853" t="s">
        <v>816</v>
      </c>
      <c r="C2853" t="s">
        <v>817</v>
      </c>
      <c r="D2853" t="str">
        <f>HYPERLINK("http://service.sap.com/sap/support/notes/1621998","1621998")</f>
        <v>1621998</v>
      </c>
      <c r="E2853">
        <v>3</v>
      </c>
      <c r="F2853" t="s">
        <v>3924</v>
      </c>
    </row>
    <row r="2854" spans="1:6" x14ac:dyDescent="0.25">
      <c r="A2854" t="s">
        <v>1522</v>
      </c>
      <c r="B2854" t="s">
        <v>816</v>
      </c>
      <c r="C2854" t="s">
        <v>817</v>
      </c>
      <c r="D2854" t="str">
        <f>HYPERLINK("http://service.sap.com/sap/support/notes/1629952","1629952")</f>
        <v>1629952</v>
      </c>
      <c r="E2854">
        <v>2</v>
      </c>
      <c r="F2854" t="s">
        <v>3925</v>
      </c>
    </row>
    <row r="2855" spans="1:6" x14ac:dyDescent="0.25">
      <c r="A2855" t="s">
        <v>1522</v>
      </c>
      <c r="B2855" t="s">
        <v>816</v>
      </c>
      <c r="C2855" t="s">
        <v>817</v>
      </c>
      <c r="D2855" t="str">
        <f>HYPERLINK("http://service.sap.com/sap/support/notes/1646397","1646397")</f>
        <v>1646397</v>
      </c>
      <c r="E2855">
        <v>2</v>
      </c>
      <c r="F2855" t="s">
        <v>3926</v>
      </c>
    </row>
    <row r="2856" spans="1:6" x14ac:dyDescent="0.25">
      <c r="A2856" t="s">
        <v>1522</v>
      </c>
      <c r="B2856" t="s">
        <v>819</v>
      </c>
      <c r="C2856" t="s">
        <v>820</v>
      </c>
      <c r="D2856" t="str">
        <f>HYPERLINK("http://service.sap.com/sap/support/notes/1673244","1673244")</f>
        <v>1673244</v>
      </c>
      <c r="E2856">
        <v>2</v>
      </c>
      <c r="F2856" t="s">
        <v>3927</v>
      </c>
    </row>
    <row r="2857" spans="1:6" x14ac:dyDescent="0.25">
      <c r="A2857" t="s">
        <v>1522</v>
      </c>
      <c r="B2857" t="s">
        <v>3928</v>
      </c>
      <c r="C2857" t="s">
        <v>3929</v>
      </c>
      <c r="D2857" t="str">
        <f>HYPERLINK("http://service.sap.com/sap/support/notes/1634641","1634641")</f>
        <v>1634641</v>
      </c>
      <c r="E2857">
        <v>1</v>
      </c>
      <c r="F2857" t="s">
        <v>3930</v>
      </c>
    </row>
    <row r="2858" spans="1:6" x14ac:dyDescent="0.25">
      <c r="A2858" t="s">
        <v>1522</v>
      </c>
      <c r="B2858" t="s">
        <v>3928</v>
      </c>
      <c r="C2858" t="s">
        <v>3929</v>
      </c>
      <c r="D2858" t="str">
        <f>HYPERLINK("http://service.sap.com/sap/support/notes/1641106","1641106")</f>
        <v>1641106</v>
      </c>
      <c r="E2858">
        <v>2</v>
      </c>
      <c r="F2858" t="s">
        <v>3931</v>
      </c>
    </row>
    <row r="2859" spans="1:6" x14ac:dyDescent="0.25">
      <c r="A2859" t="s">
        <v>1522</v>
      </c>
      <c r="B2859" t="s">
        <v>3932</v>
      </c>
      <c r="C2859" t="s">
        <v>3933</v>
      </c>
      <c r="D2859" t="str">
        <f>HYPERLINK("http://service.sap.com/sap/support/notes/1647160","1647160")</f>
        <v>1647160</v>
      </c>
      <c r="E2859">
        <v>4</v>
      </c>
      <c r="F2859" t="s">
        <v>3934</v>
      </c>
    </row>
    <row r="2860" spans="1:6" x14ac:dyDescent="0.25">
      <c r="A2860" t="s">
        <v>1522</v>
      </c>
      <c r="B2860" t="s">
        <v>3935</v>
      </c>
      <c r="C2860" t="s">
        <v>3936</v>
      </c>
      <c r="D2860" t="str">
        <f>HYPERLINK("http://service.sap.com/sap/support/notes/1516684","1516684")</f>
        <v>1516684</v>
      </c>
      <c r="E2860">
        <v>13</v>
      </c>
      <c r="F2860" t="s">
        <v>3937</v>
      </c>
    </row>
    <row r="2861" spans="1:6" x14ac:dyDescent="0.25">
      <c r="A2861" t="s">
        <v>1522</v>
      </c>
      <c r="B2861" t="s">
        <v>3935</v>
      </c>
      <c r="C2861" t="s">
        <v>3936</v>
      </c>
      <c r="D2861" t="str">
        <f>HYPERLINK("http://service.sap.com/sap/support/notes/1655643","1655643")</f>
        <v>1655643</v>
      </c>
      <c r="E2861">
        <v>1</v>
      </c>
      <c r="F2861" t="s">
        <v>3938</v>
      </c>
    </row>
    <row r="2862" spans="1:6" x14ac:dyDescent="0.25">
      <c r="A2862" t="s">
        <v>1522</v>
      </c>
      <c r="B2862" t="s">
        <v>822</v>
      </c>
      <c r="C2862" t="s">
        <v>823</v>
      </c>
      <c r="D2862" t="str">
        <f>HYPERLINK("http://service.sap.com/sap/support/notes/1620153","1620153")</f>
        <v>1620153</v>
      </c>
      <c r="E2862">
        <v>3</v>
      </c>
      <c r="F2862" t="s">
        <v>3939</v>
      </c>
    </row>
    <row r="2863" spans="1:6" x14ac:dyDescent="0.25">
      <c r="A2863" t="s">
        <v>1522</v>
      </c>
      <c r="B2863" t="s">
        <v>822</v>
      </c>
      <c r="C2863" t="s">
        <v>823</v>
      </c>
      <c r="D2863" t="str">
        <f>HYPERLINK("http://service.sap.com/sap/support/notes/1626562","1626562")</f>
        <v>1626562</v>
      </c>
      <c r="E2863">
        <v>2</v>
      </c>
      <c r="F2863" t="s">
        <v>3940</v>
      </c>
    </row>
    <row r="2864" spans="1:6" x14ac:dyDescent="0.25">
      <c r="A2864" t="s">
        <v>1522</v>
      </c>
      <c r="B2864" t="s">
        <v>822</v>
      </c>
      <c r="C2864" t="s">
        <v>823</v>
      </c>
      <c r="D2864" t="str">
        <f>HYPERLINK("http://service.sap.com/sap/support/notes/1644326","1644326")</f>
        <v>1644326</v>
      </c>
      <c r="E2864">
        <v>4</v>
      </c>
      <c r="F2864" t="s">
        <v>3941</v>
      </c>
    </row>
    <row r="2865" spans="1:6" x14ac:dyDescent="0.25">
      <c r="A2865" t="s">
        <v>1522</v>
      </c>
      <c r="B2865" t="s">
        <v>822</v>
      </c>
      <c r="C2865" t="s">
        <v>823</v>
      </c>
      <c r="D2865" t="str">
        <f>HYPERLINK("http://service.sap.com/sap/support/notes/1646357","1646357")</f>
        <v>1646357</v>
      </c>
      <c r="E2865">
        <v>1</v>
      </c>
      <c r="F2865" t="s">
        <v>3942</v>
      </c>
    </row>
    <row r="2866" spans="1:6" x14ac:dyDescent="0.25">
      <c r="A2866" t="s">
        <v>1522</v>
      </c>
      <c r="B2866" t="s">
        <v>822</v>
      </c>
      <c r="C2866" t="s">
        <v>823</v>
      </c>
      <c r="D2866" t="str">
        <f>HYPERLINK("http://service.sap.com/sap/support/notes/1655738","1655738")</f>
        <v>1655738</v>
      </c>
      <c r="E2866">
        <v>1</v>
      </c>
      <c r="F2866" t="s">
        <v>3943</v>
      </c>
    </row>
    <row r="2867" spans="1:6" x14ac:dyDescent="0.25">
      <c r="A2867" t="s">
        <v>1522</v>
      </c>
      <c r="B2867" t="s">
        <v>822</v>
      </c>
      <c r="C2867" t="s">
        <v>823</v>
      </c>
      <c r="D2867" t="str">
        <f>HYPERLINK("http://service.sap.com/sap/support/notes/1659600","1659600")</f>
        <v>1659600</v>
      </c>
      <c r="E2867">
        <v>3</v>
      </c>
      <c r="F2867" t="s">
        <v>3944</v>
      </c>
    </row>
    <row r="2868" spans="1:6" x14ac:dyDescent="0.25">
      <c r="A2868" t="s">
        <v>1522</v>
      </c>
      <c r="B2868" t="s">
        <v>822</v>
      </c>
      <c r="C2868" t="s">
        <v>823</v>
      </c>
      <c r="D2868" t="str">
        <f>HYPERLINK("http://service.sap.com/sap/support/notes/1661466","1661466")</f>
        <v>1661466</v>
      </c>
      <c r="E2868">
        <v>2</v>
      </c>
      <c r="F2868" t="s">
        <v>3945</v>
      </c>
    </row>
    <row r="2869" spans="1:6" x14ac:dyDescent="0.25">
      <c r="A2869" t="s">
        <v>1522</v>
      </c>
      <c r="B2869" t="s">
        <v>822</v>
      </c>
      <c r="C2869" t="s">
        <v>823</v>
      </c>
      <c r="D2869" t="str">
        <f>HYPERLINK("http://service.sap.com/sap/support/notes/1664965","1664965")</f>
        <v>1664965</v>
      </c>
      <c r="E2869">
        <v>2</v>
      </c>
      <c r="F2869" t="s">
        <v>3946</v>
      </c>
    </row>
    <row r="2870" spans="1:6" x14ac:dyDescent="0.25">
      <c r="A2870" t="s">
        <v>1522</v>
      </c>
      <c r="B2870" t="s">
        <v>822</v>
      </c>
      <c r="C2870" t="s">
        <v>823</v>
      </c>
      <c r="D2870" t="str">
        <f>HYPERLINK("http://service.sap.com/sap/support/notes/1667310","1667310")</f>
        <v>1667310</v>
      </c>
      <c r="E2870">
        <v>3</v>
      </c>
      <c r="F2870" t="s">
        <v>3947</v>
      </c>
    </row>
    <row r="2871" spans="1:6" x14ac:dyDescent="0.25">
      <c r="A2871" t="s">
        <v>1522</v>
      </c>
      <c r="B2871" t="s">
        <v>832</v>
      </c>
      <c r="C2871" t="s">
        <v>833</v>
      </c>
      <c r="D2871" t="str">
        <f>HYPERLINK("http://service.sap.com/sap/support/notes/1550000","1550000")</f>
        <v>1550000</v>
      </c>
      <c r="E2871">
        <v>12</v>
      </c>
      <c r="F2871" t="s">
        <v>3948</v>
      </c>
    </row>
    <row r="2872" spans="1:6" x14ac:dyDescent="0.25">
      <c r="A2872" t="s">
        <v>1522</v>
      </c>
      <c r="B2872" t="s">
        <v>832</v>
      </c>
      <c r="C2872" t="s">
        <v>833</v>
      </c>
      <c r="D2872" t="str">
        <f>HYPERLINK("http://service.sap.com/sap/support/notes/1558298","1558298")</f>
        <v>1558298</v>
      </c>
      <c r="E2872">
        <v>4</v>
      </c>
      <c r="F2872" t="s">
        <v>3949</v>
      </c>
    </row>
    <row r="2873" spans="1:6" x14ac:dyDescent="0.25">
      <c r="A2873" t="s">
        <v>1522</v>
      </c>
      <c r="B2873" t="s">
        <v>832</v>
      </c>
      <c r="C2873" t="s">
        <v>833</v>
      </c>
      <c r="D2873" t="str">
        <f>HYPERLINK("http://service.sap.com/sap/support/notes/1623901","1623901")</f>
        <v>1623901</v>
      </c>
      <c r="E2873">
        <v>1</v>
      </c>
      <c r="F2873" t="s">
        <v>3950</v>
      </c>
    </row>
    <row r="2874" spans="1:6" x14ac:dyDescent="0.25">
      <c r="A2874" t="s">
        <v>1522</v>
      </c>
      <c r="B2874" t="s">
        <v>832</v>
      </c>
      <c r="C2874" t="s">
        <v>833</v>
      </c>
      <c r="D2874" t="str">
        <f>HYPERLINK("http://service.sap.com/sap/support/notes/1635211","1635211")</f>
        <v>1635211</v>
      </c>
      <c r="E2874">
        <v>3</v>
      </c>
      <c r="F2874" t="s">
        <v>3951</v>
      </c>
    </row>
    <row r="2875" spans="1:6" x14ac:dyDescent="0.25">
      <c r="A2875" t="s">
        <v>1522</v>
      </c>
      <c r="B2875" t="s">
        <v>832</v>
      </c>
      <c r="C2875" t="s">
        <v>833</v>
      </c>
      <c r="D2875" t="str">
        <f>HYPERLINK("http://service.sap.com/sap/support/notes/1649740","1649740")</f>
        <v>1649740</v>
      </c>
      <c r="E2875">
        <v>1</v>
      </c>
      <c r="F2875" t="s">
        <v>3952</v>
      </c>
    </row>
    <row r="2876" spans="1:6" x14ac:dyDescent="0.25">
      <c r="A2876" t="s">
        <v>1522</v>
      </c>
      <c r="B2876" t="s">
        <v>3953</v>
      </c>
      <c r="C2876" t="s">
        <v>3954</v>
      </c>
      <c r="D2876" t="str">
        <f>HYPERLINK("http://service.sap.com/sap/support/notes/1639087","1639087")</f>
        <v>1639087</v>
      </c>
      <c r="E2876">
        <v>1</v>
      </c>
      <c r="F2876" t="s">
        <v>3955</v>
      </c>
    </row>
    <row r="2877" spans="1:6" x14ac:dyDescent="0.25">
      <c r="A2877" t="s">
        <v>1522</v>
      </c>
      <c r="B2877" t="s">
        <v>3953</v>
      </c>
      <c r="C2877" t="s">
        <v>3954</v>
      </c>
      <c r="D2877" t="str">
        <f>HYPERLINK("http://service.sap.com/sap/support/notes/1647055","1647055")</f>
        <v>1647055</v>
      </c>
      <c r="E2877">
        <v>2</v>
      </c>
      <c r="F2877" t="s">
        <v>3956</v>
      </c>
    </row>
    <row r="2878" spans="1:6" x14ac:dyDescent="0.25">
      <c r="A2878" t="s">
        <v>1522</v>
      </c>
      <c r="B2878" t="s">
        <v>3957</v>
      </c>
      <c r="C2878" t="s">
        <v>3958</v>
      </c>
      <c r="D2878" t="str">
        <f>HYPERLINK("http://service.sap.com/sap/support/notes/929666","929666")</f>
        <v>929666</v>
      </c>
      <c r="E2878">
        <v>3</v>
      </c>
      <c r="F2878" t="s">
        <v>3959</v>
      </c>
    </row>
    <row r="2879" spans="1:6" x14ac:dyDescent="0.25">
      <c r="A2879" t="s">
        <v>1522</v>
      </c>
      <c r="B2879" t="s">
        <v>3960</v>
      </c>
      <c r="C2879" t="s">
        <v>3961</v>
      </c>
      <c r="D2879" t="str">
        <f>HYPERLINK("http://service.sap.com/sap/support/notes/1619583","1619583")</f>
        <v>1619583</v>
      </c>
      <c r="E2879">
        <v>3</v>
      </c>
      <c r="F2879" t="s">
        <v>3962</v>
      </c>
    </row>
    <row r="2880" spans="1:6" x14ac:dyDescent="0.25">
      <c r="A2880" t="s">
        <v>1522</v>
      </c>
      <c r="B2880" t="s">
        <v>3960</v>
      </c>
      <c r="C2880" t="s">
        <v>3961</v>
      </c>
      <c r="D2880" t="str">
        <f>HYPERLINK("http://service.sap.com/sap/support/notes/1626658","1626658")</f>
        <v>1626658</v>
      </c>
      <c r="E2880">
        <v>3</v>
      </c>
      <c r="F2880" t="s">
        <v>3963</v>
      </c>
    </row>
    <row r="2881" spans="1:6" x14ac:dyDescent="0.25">
      <c r="A2881" t="s">
        <v>1522</v>
      </c>
      <c r="B2881" t="s">
        <v>3960</v>
      </c>
      <c r="C2881" t="s">
        <v>3961</v>
      </c>
      <c r="D2881" t="str">
        <f>HYPERLINK("http://service.sap.com/sap/support/notes/1636694","1636694")</f>
        <v>1636694</v>
      </c>
      <c r="E2881">
        <v>2</v>
      </c>
      <c r="F2881" t="s">
        <v>3964</v>
      </c>
    </row>
    <row r="2882" spans="1:6" x14ac:dyDescent="0.25">
      <c r="A2882" t="s">
        <v>1522</v>
      </c>
      <c r="B2882" t="s">
        <v>835</v>
      </c>
      <c r="C2882" t="s">
        <v>836</v>
      </c>
    </row>
    <row r="2883" spans="1:6" x14ac:dyDescent="0.25">
      <c r="A2883" t="s">
        <v>1522</v>
      </c>
      <c r="B2883" t="s">
        <v>3965</v>
      </c>
      <c r="C2883" t="s">
        <v>1239</v>
      </c>
      <c r="D2883" t="str">
        <f>HYPERLINK("http://service.sap.com/sap/support/notes/1651476","1651476")</f>
        <v>1651476</v>
      </c>
      <c r="E2883">
        <v>1</v>
      </c>
      <c r="F2883" t="s">
        <v>3966</v>
      </c>
    </row>
    <row r="2884" spans="1:6" x14ac:dyDescent="0.25">
      <c r="A2884" t="s">
        <v>1522</v>
      </c>
      <c r="B2884" t="s">
        <v>840</v>
      </c>
      <c r="C2884" t="s">
        <v>602</v>
      </c>
      <c r="D2884" t="str">
        <f>HYPERLINK("http://service.sap.com/sap/support/notes/1610275","1610275")</f>
        <v>1610275</v>
      </c>
      <c r="E2884">
        <v>2</v>
      </c>
      <c r="F2884" t="s">
        <v>3967</v>
      </c>
    </row>
    <row r="2885" spans="1:6" x14ac:dyDescent="0.25">
      <c r="A2885" t="s">
        <v>1522</v>
      </c>
      <c r="B2885" t="s">
        <v>840</v>
      </c>
      <c r="C2885" t="s">
        <v>602</v>
      </c>
      <c r="D2885" t="str">
        <f>HYPERLINK("http://service.sap.com/sap/support/notes/1636844","1636844")</f>
        <v>1636844</v>
      </c>
      <c r="E2885">
        <v>1</v>
      </c>
      <c r="F2885" t="s">
        <v>3968</v>
      </c>
    </row>
    <row r="2886" spans="1:6" x14ac:dyDescent="0.25">
      <c r="A2886" t="s">
        <v>1522</v>
      </c>
      <c r="B2886" t="s">
        <v>842</v>
      </c>
      <c r="C2886" t="s">
        <v>843</v>
      </c>
      <c r="D2886" t="str">
        <f>HYPERLINK("http://service.sap.com/sap/support/notes/1617602","1617602")</f>
        <v>1617602</v>
      </c>
      <c r="E2886">
        <v>2</v>
      </c>
      <c r="F2886" t="s">
        <v>3969</v>
      </c>
    </row>
    <row r="2887" spans="1:6" x14ac:dyDescent="0.25">
      <c r="A2887" t="s">
        <v>1522</v>
      </c>
      <c r="B2887" t="s">
        <v>842</v>
      </c>
      <c r="C2887" t="s">
        <v>843</v>
      </c>
      <c r="D2887" t="str">
        <f>HYPERLINK("http://service.sap.com/sap/support/notes/1618250","1618250")</f>
        <v>1618250</v>
      </c>
      <c r="E2887">
        <v>4</v>
      </c>
      <c r="F2887" t="s">
        <v>3970</v>
      </c>
    </row>
    <row r="2888" spans="1:6" x14ac:dyDescent="0.25">
      <c r="A2888" t="s">
        <v>1522</v>
      </c>
      <c r="B2888" t="s">
        <v>842</v>
      </c>
      <c r="C2888" t="s">
        <v>843</v>
      </c>
      <c r="D2888" t="str">
        <f>HYPERLINK("http://service.sap.com/sap/support/notes/1623225","1623225")</f>
        <v>1623225</v>
      </c>
      <c r="E2888">
        <v>3</v>
      </c>
      <c r="F2888" t="s">
        <v>3971</v>
      </c>
    </row>
    <row r="2889" spans="1:6" x14ac:dyDescent="0.25">
      <c r="A2889" t="s">
        <v>1522</v>
      </c>
      <c r="B2889" t="s">
        <v>842</v>
      </c>
      <c r="C2889" t="s">
        <v>843</v>
      </c>
      <c r="D2889" t="str">
        <f>HYPERLINK("http://service.sap.com/sap/support/notes/1625205","1625205")</f>
        <v>1625205</v>
      </c>
      <c r="E2889">
        <v>2</v>
      </c>
      <c r="F2889" t="s">
        <v>3972</v>
      </c>
    </row>
    <row r="2890" spans="1:6" x14ac:dyDescent="0.25">
      <c r="A2890" t="s">
        <v>1522</v>
      </c>
      <c r="B2890" t="s">
        <v>842</v>
      </c>
      <c r="C2890" t="s">
        <v>843</v>
      </c>
      <c r="D2890" t="str">
        <f>HYPERLINK("http://service.sap.com/sap/support/notes/1630942","1630942")</f>
        <v>1630942</v>
      </c>
      <c r="E2890">
        <v>2</v>
      </c>
      <c r="F2890" t="s">
        <v>3973</v>
      </c>
    </row>
    <row r="2891" spans="1:6" x14ac:dyDescent="0.25">
      <c r="A2891" t="s">
        <v>1522</v>
      </c>
      <c r="B2891" t="s">
        <v>842</v>
      </c>
      <c r="C2891" t="s">
        <v>843</v>
      </c>
      <c r="D2891" t="str">
        <f>HYPERLINK("http://service.sap.com/sap/support/notes/1633165","1633165")</f>
        <v>1633165</v>
      </c>
      <c r="E2891">
        <v>1</v>
      </c>
      <c r="F2891" t="s">
        <v>3974</v>
      </c>
    </row>
    <row r="2892" spans="1:6" x14ac:dyDescent="0.25">
      <c r="A2892" t="s">
        <v>1522</v>
      </c>
      <c r="B2892" t="s">
        <v>842</v>
      </c>
      <c r="C2892" t="s">
        <v>843</v>
      </c>
      <c r="D2892" t="str">
        <f>HYPERLINK("http://service.sap.com/sap/support/notes/1641588","1641588")</f>
        <v>1641588</v>
      </c>
      <c r="E2892">
        <v>1</v>
      </c>
      <c r="F2892" t="s">
        <v>3975</v>
      </c>
    </row>
    <row r="2893" spans="1:6" x14ac:dyDescent="0.25">
      <c r="A2893" t="s">
        <v>1522</v>
      </c>
      <c r="B2893" t="s">
        <v>842</v>
      </c>
      <c r="C2893" t="s">
        <v>843</v>
      </c>
      <c r="D2893" t="str">
        <f>HYPERLINK("http://service.sap.com/sap/support/notes/1658469","1658469")</f>
        <v>1658469</v>
      </c>
      <c r="E2893">
        <v>2</v>
      </c>
      <c r="F2893" t="s">
        <v>3976</v>
      </c>
    </row>
    <row r="2894" spans="1:6" x14ac:dyDescent="0.25">
      <c r="A2894" t="s">
        <v>1522</v>
      </c>
      <c r="B2894" t="s">
        <v>842</v>
      </c>
      <c r="C2894" t="s">
        <v>843</v>
      </c>
      <c r="D2894" t="str">
        <f>HYPERLINK("http://service.sap.com/sap/support/notes/1667402","1667402")</f>
        <v>1667402</v>
      </c>
      <c r="E2894">
        <v>2</v>
      </c>
      <c r="F2894" t="s">
        <v>3977</v>
      </c>
    </row>
    <row r="2895" spans="1:6" x14ac:dyDescent="0.25">
      <c r="A2895" t="s">
        <v>1522</v>
      </c>
      <c r="B2895" t="s">
        <v>3978</v>
      </c>
      <c r="C2895" t="s">
        <v>614</v>
      </c>
      <c r="D2895" t="str">
        <f>HYPERLINK("http://service.sap.com/sap/support/notes/1621723","1621723")</f>
        <v>1621723</v>
      </c>
      <c r="E2895">
        <v>2</v>
      </c>
      <c r="F2895" t="s">
        <v>3979</v>
      </c>
    </row>
    <row r="2896" spans="1:6" x14ac:dyDescent="0.25">
      <c r="A2896" t="s">
        <v>1522</v>
      </c>
      <c r="B2896" t="s">
        <v>3978</v>
      </c>
      <c r="C2896" t="s">
        <v>614</v>
      </c>
      <c r="D2896" t="str">
        <f>HYPERLINK("http://service.sap.com/sap/support/notes/1645358","1645358")</f>
        <v>1645358</v>
      </c>
      <c r="E2896">
        <v>2</v>
      </c>
      <c r="F2896" t="s">
        <v>3980</v>
      </c>
    </row>
    <row r="2897" spans="1:6" x14ac:dyDescent="0.25">
      <c r="A2897" t="s">
        <v>1522</v>
      </c>
      <c r="B2897" t="s">
        <v>3981</v>
      </c>
      <c r="C2897" t="s">
        <v>3982</v>
      </c>
      <c r="D2897" t="str">
        <f>HYPERLINK("http://service.sap.com/sap/support/notes/1670939","1670939")</f>
        <v>1670939</v>
      </c>
      <c r="E2897">
        <v>1</v>
      </c>
      <c r="F2897" t="s">
        <v>3983</v>
      </c>
    </row>
    <row r="2898" spans="1:6" x14ac:dyDescent="0.25">
      <c r="A2898" t="s">
        <v>1522</v>
      </c>
      <c r="B2898" t="s">
        <v>849</v>
      </c>
      <c r="C2898" t="s">
        <v>850</v>
      </c>
    </row>
    <row r="2899" spans="1:6" x14ac:dyDescent="0.25">
      <c r="A2899" t="s">
        <v>1522</v>
      </c>
      <c r="B2899" t="s">
        <v>851</v>
      </c>
      <c r="C2899" t="s">
        <v>852</v>
      </c>
      <c r="D2899" t="str">
        <f>HYPERLINK("http://service.sap.com/sap/support/notes/1619279","1619279")</f>
        <v>1619279</v>
      </c>
      <c r="E2899">
        <v>2</v>
      </c>
      <c r="F2899" t="s">
        <v>3984</v>
      </c>
    </row>
    <row r="2900" spans="1:6" x14ac:dyDescent="0.25">
      <c r="A2900" t="s">
        <v>1522</v>
      </c>
      <c r="B2900" t="s">
        <v>851</v>
      </c>
      <c r="C2900" t="s">
        <v>852</v>
      </c>
      <c r="D2900" t="str">
        <f>HYPERLINK("http://service.sap.com/sap/support/notes/1627216","1627216")</f>
        <v>1627216</v>
      </c>
      <c r="E2900">
        <v>3</v>
      </c>
      <c r="F2900" t="s">
        <v>3985</v>
      </c>
    </row>
    <row r="2901" spans="1:6" x14ac:dyDescent="0.25">
      <c r="A2901" t="s">
        <v>1522</v>
      </c>
      <c r="B2901" t="s">
        <v>851</v>
      </c>
      <c r="C2901" t="s">
        <v>852</v>
      </c>
      <c r="D2901" t="str">
        <f>HYPERLINK("http://service.sap.com/sap/support/notes/1627296","1627296")</f>
        <v>1627296</v>
      </c>
      <c r="E2901">
        <v>1</v>
      </c>
      <c r="F2901" t="s">
        <v>3986</v>
      </c>
    </row>
    <row r="2902" spans="1:6" x14ac:dyDescent="0.25">
      <c r="A2902" t="s">
        <v>1522</v>
      </c>
      <c r="B2902" t="s">
        <v>851</v>
      </c>
      <c r="C2902" t="s">
        <v>852</v>
      </c>
      <c r="D2902" t="str">
        <f>HYPERLINK("http://service.sap.com/sap/support/notes/1627624","1627624")</f>
        <v>1627624</v>
      </c>
      <c r="E2902">
        <v>2</v>
      </c>
      <c r="F2902" t="s">
        <v>3987</v>
      </c>
    </row>
    <row r="2903" spans="1:6" x14ac:dyDescent="0.25">
      <c r="A2903" t="s">
        <v>1522</v>
      </c>
      <c r="B2903" t="s">
        <v>851</v>
      </c>
      <c r="C2903" t="s">
        <v>852</v>
      </c>
      <c r="D2903" t="str">
        <f>HYPERLINK("http://service.sap.com/sap/support/notes/1638661","1638661")</f>
        <v>1638661</v>
      </c>
      <c r="E2903">
        <v>1</v>
      </c>
      <c r="F2903" t="s">
        <v>3988</v>
      </c>
    </row>
    <row r="2904" spans="1:6" x14ac:dyDescent="0.25">
      <c r="A2904" t="s">
        <v>1522</v>
      </c>
      <c r="B2904" t="s">
        <v>851</v>
      </c>
      <c r="C2904" t="s">
        <v>852</v>
      </c>
      <c r="D2904" t="str">
        <f>HYPERLINK("http://service.sap.com/sap/support/notes/1639088","1639088")</f>
        <v>1639088</v>
      </c>
      <c r="E2904">
        <v>2</v>
      </c>
      <c r="F2904" t="s">
        <v>3989</v>
      </c>
    </row>
    <row r="2905" spans="1:6" x14ac:dyDescent="0.25">
      <c r="A2905" t="s">
        <v>1522</v>
      </c>
      <c r="B2905" t="s">
        <v>851</v>
      </c>
      <c r="C2905" t="s">
        <v>852</v>
      </c>
      <c r="D2905" t="str">
        <f>HYPERLINK("http://service.sap.com/sap/support/notes/1644270","1644270")</f>
        <v>1644270</v>
      </c>
      <c r="E2905">
        <v>1</v>
      </c>
      <c r="F2905" t="s">
        <v>3990</v>
      </c>
    </row>
    <row r="2906" spans="1:6" x14ac:dyDescent="0.25">
      <c r="A2906" t="s">
        <v>1522</v>
      </c>
      <c r="B2906" t="s">
        <v>851</v>
      </c>
      <c r="C2906" t="s">
        <v>852</v>
      </c>
      <c r="D2906" t="str">
        <f>HYPERLINK("http://service.sap.com/sap/support/notes/1665848","1665848")</f>
        <v>1665848</v>
      </c>
      <c r="E2906">
        <v>1</v>
      </c>
      <c r="F2906" t="s">
        <v>3991</v>
      </c>
    </row>
    <row r="2907" spans="1:6" x14ac:dyDescent="0.25">
      <c r="A2907" t="s">
        <v>1522</v>
      </c>
      <c r="B2907" t="s">
        <v>3992</v>
      </c>
      <c r="C2907" t="s">
        <v>927</v>
      </c>
      <c r="D2907" t="str">
        <f>HYPERLINK("http://service.sap.com/sap/support/notes/1632573","1632573")</f>
        <v>1632573</v>
      </c>
      <c r="E2907">
        <v>3</v>
      </c>
      <c r="F2907" t="s">
        <v>3993</v>
      </c>
    </row>
    <row r="2908" spans="1:6" x14ac:dyDescent="0.25">
      <c r="A2908" t="s">
        <v>1522</v>
      </c>
      <c r="B2908" t="s">
        <v>854</v>
      </c>
      <c r="C2908" t="s">
        <v>855</v>
      </c>
      <c r="D2908" t="str">
        <f>HYPERLINK("http://service.sap.com/sap/support/notes/1554589","1554589")</f>
        <v>1554589</v>
      </c>
      <c r="E2908">
        <v>1</v>
      </c>
      <c r="F2908" t="s">
        <v>3994</v>
      </c>
    </row>
    <row r="2909" spans="1:6" x14ac:dyDescent="0.25">
      <c r="A2909" t="s">
        <v>1522</v>
      </c>
      <c r="B2909" t="s">
        <v>854</v>
      </c>
      <c r="C2909" t="s">
        <v>855</v>
      </c>
      <c r="D2909" t="str">
        <f>HYPERLINK("http://service.sap.com/sap/support/notes/1616019","1616019")</f>
        <v>1616019</v>
      </c>
      <c r="E2909">
        <v>1</v>
      </c>
      <c r="F2909" t="s">
        <v>3995</v>
      </c>
    </row>
    <row r="2910" spans="1:6" x14ac:dyDescent="0.25">
      <c r="A2910" t="s">
        <v>1522</v>
      </c>
      <c r="B2910" t="s">
        <v>854</v>
      </c>
      <c r="C2910" t="s">
        <v>855</v>
      </c>
      <c r="D2910" t="str">
        <f>HYPERLINK("http://service.sap.com/sap/support/notes/1616310","1616310")</f>
        <v>1616310</v>
      </c>
      <c r="E2910">
        <v>2</v>
      </c>
      <c r="F2910" t="s">
        <v>3996</v>
      </c>
    </row>
    <row r="2911" spans="1:6" x14ac:dyDescent="0.25">
      <c r="A2911" t="s">
        <v>1522</v>
      </c>
      <c r="B2911" t="s">
        <v>854</v>
      </c>
      <c r="C2911" t="s">
        <v>855</v>
      </c>
      <c r="D2911" t="str">
        <f>HYPERLINK("http://service.sap.com/sap/support/notes/1616822","1616822")</f>
        <v>1616822</v>
      </c>
      <c r="E2911">
        <v>3</v>
      </c>
      <c r="F2911" t="s">
        <v>3997</v>
      </c>
    </row>
    <row r="2912" spans="1:6" x14ac:dyDescent="0.25">
      <c r="A2912" t="s">
        <v>1522</v>
      </c>
      <c r="B2912" t="s">
        <v>854</v>
      </c>
      <c r="C2912" t="s">
        <v>855</v>
      </c>
      <c r="D2912" t="str">
        <f>HYPERLINK("http://service.sap.com/sap/support/notes/1620542","1620542")</f>
        <v>1620542</v>
      </c>
      <c r="E2912">
        <v>2</v>
      </c>
      <c r="F2912" t="s">
        <v>3998</v>
      </c>
    </row>
    <row r="2913" spans="1:6" x14ac:dyDescent="0.25">
      <c r="A2913" t="s">
        <v>1522</v>
      </c>
      <c r="B2913" t="s">
        <v>854</v>
      </c>
      <c r="C2913" t="s">
        <v>855</v>
      </c>
      <c r="D2913" t="str">
        <f>HYPERLINK("http://service.sap.com/sap/support/notes/1622905","1622905")</f>
        <v>1622905</v>
      </c>
      <c r="E2913">
        <v>2</v>
      </c>
      <c r="F2913" t="s">
        <v>3999</v>
      </c>
    </row>
    <row r="2914" spans="1:6" x14ac:dyDescent="0.25">
      <c r="A2914" t="s">
        <v>1522</v>
      </c>
      <c r="B2914" t="s">
        <v>854</v>
      </c>
      <c r="C2914" t="s">
        <v>855</v>
      </c>
      <c r="D2914" t="str">
        <f>HYPERLINK("http://service.sap.com/sap/support/notes/1623853","1623853")</f>
        <v>1623853</v>
      </c>
      <c r="E2914">
        <v>2</v>
      </c>
      <c r="F2914" t="s">
        <v>4000</v>
      </c>
    </row>
    <row r="2915" spans="1:6" x14ac:dyDescent="0.25">
      <c r="A2915" t="s">
        <v>1522</v>
      </c>
      <c r="B2915" t="s">
        <v>854</v>
      </c>
      <c r="C2915" t="s">
        <v>855</v>
      </c>
      <c r="D2915" t="str">
        <f>HYPERLINK("http://service.sap.com/sap/support/notes/1623926","1623926")</f>
        <v>1623926</v>
      </c>
      <c r="E2915">
        <v>1</v>
      </c>
      <c r="F2915" t="s">
        <v>4001</v>
      </c>
    </row>
    <row r="2916" spans="1:6" x14ac:dyDescent="0.25">
      <c r="A2916" t="s">
        <v>1522</v>
      </c>
      <c r="B2916" t="s">
        <v>854</v>
      </c>
      <c r="C2916" t="s">
        <v>855</v>
      </c>
      <c r="D2916" t="str">
        <f>HYPERLINK("http://service.sap.com/sap/support/notes/1624129","1624129")</f>
        <v>1624129</v>
      </c>
      <c r="E2916">
        <v>2</v>
      </c>
      <c r="F2916" t="s">
        <v>4002</v>
      </c>
    </row>
    <row r="2917" spans="1:6" x14ac:dyDescent="0.25">
      <c r="A2917" t="s">
        <v>1522</v>
      </c>
      <c r="B2917" t="s">
        <v>854</v>
      </c>
      <c r="C2917" t="s">
        <v>855</v>
      </c>
      <c r="D2917" t="str">
        <f>HYPERLINK("http://service.sap.com/sap/support/notes/1625199","1625199")</f>
        <v>1625199</v>
      </c>
      <c r="E2917">
        <v>1</v>
      </c>
      <c r="F2917" t="s">
        <v>4003</v>
      </c>
    </row>
    <row r="2918" spans="1:6" x14ac:dyDescent="0.25">
      <c r="A2918" t="s">
        <v>1522</v>
      </c>
      <c r="B2918" t="s">
        <v>854</v>
      </c>
      <c r="C2918" t="s">
        <v>855</v>
      </c>
      <c r="D2918" t="str">
        <f>HYPERLINK("http://service.sap.com/sap/support/notes/1630016","1630016")</f>
        <v>1630016</v>
      </c>
      <c r="E2918">
        <v>1</v>
      </c>
      <c r="F2918" t="s">
        <v>4004</v>
      </c>
    </row>
    <row r="2919" spans="1:6" x14ac:dyDescent="0.25">
      <c r="A2919" t="s">
        <v>1522</v>
      </c>
      <c r="B2919" t="s">
        <v>854</v>
      </c>
      <c r="C2919" t="s">
        <v>855</v>
      </c>
      <c r="D2919" t="str">
        <f>HYPERLINK("http://service.sap.com/sap/support/notes/1640653","1640653")</f>
        <v>1640653</v>
      </c>
      <c r="E2919">
        <v>1</v>
      </c>
      <c r="F2919" t="s">
        <v>4005</v>
      </c>
    </row>
    <row r="2920" spans="1:6" x14ac:dyDescent="0.25">
      <c r="A2920" t="s">
        <v>1522</v>
      </c>
      <c r="B2920" t="s">
        <v>854</v>
      </c>
      <c r="C2920" t="s">
        <v>855</v>
      </c>
      <c r="D2920" t="str">
        <f>HYPERLINK("http://service.sap.com/sap/support/notes/1641159","1641159")</f>
        <v>1641159</v>
      </c>
      <c r="E2920">
        <v>1</v>
      </c>
      <c r="F2920" t="s">
        <v>4006</v>
      </c>
    </row>
    <row r="2921" spans="1:6" x14ac:dyDescent="0.25">
      <c r="A2921" t="s">
        <v>1522</v>
      </c>
      <c r="B2921" t="s">
        <v>854</v>
      </c>
      <c r="C2921" t="s">
        <v>855</v>
      </c>
      <c r="D2921" t="str">
        <f>HYPERLINK("http://service.sap.com/sap/support/notes/1656698","1656698")</f>
        <v>1656698</v>
      </c>
      <c r="E2921">
        <v>1</v>
      </c>
      <c r="F2921" t="s">
        <v>4007</v>
      </c>
    </row>
    <row r="2922" spans="1:6" x14ac:dyDescent="0.25">
      <c r="A2922" t="s">
        <v>1522</v>
      </c>
      <c r="B2922" t="s">
        <v>854</v>
      </c>
      <c r="C2922" t="s">
        <v>855</v>
      </c>
      <c r="D2922" t="str">
        <f>HYPERLINK("http://service.sap.com/sap/support/notes/1662549","1662549")</f>
        <v>1662549</v>
      </c>
      <c r="E2922">
        <v>2</v>
      </c>
      <c r="F2922" t="s">
        <v>4008</v>
      </c>
    </row>
    <row r="2923" spans="1:6" x14ac:dyDescent="0.25">
      <c r="A2923" t="s">
        <v>1522</v>
      </c>
      <c r="B2923" t="s">
        <v>854</v>
      </c>
      <c r="C2923" t="s">
        <v>855</v>
      </c>
      <c r="D2923" t="str">
        <f>HYPERLINK("http://service.sap.com/sap/support/notes/1663274","1663274")</f>
        <v>1663274</v>
      </c>
      <c r="E2923">
        <v>2</v>
      </c>
      <c r="F2923" t="s">
        <v>4009</v>
      </c>
    </row>
    <row r="2924" spans="1:6" x14ac:dyDescent="0.25">
      <c r="A2924" t="s">
        <v>1522</v>
      </c>
      <c r="B2924" t="s">
        <v>854</v>
      </c>
      <c r="C2924" t="s">
        <v>855</v>
      </c>
      <c r="D2924" t="str">
        <f>HYPERLINK("http://service.sap.com/sap/support/notes/1666506","1666506")</f>
        <v>1666506</v>
      </c>
      <c r="E2924">
        <v>1</v>
      </c>
      <c r="F2924" t="s">
        <v>4010</v>
      </c>
    </row>
    <row r="2925" spans="1:6" x14ac:dyDescent="0.25">
      <c r="A2925" t="s">
        <v>1522</v>
      </c>
      <c r="B2925" t="s">
        <v>854</v>
      </c>
      <c r="C2925" t="s">
        <v>855</v>
      </c>
      <c r="D2925" t="str">
        <f>HYPERLINK("http://service.sap.com/sap/support/notes/1667001","1667001")</f>
        <v>1667001</v>
      </c>
      <c r="E2925">
        <v>2</v>
      </c>
      <c r="F2925" t="s">
        <v>4011</v>
      </c>
    </row>
    <row r="2926" spans="1:6" x14ac:dyDescent="0.25">
      <c r="A2926" t="s">
        <v>1522</v>
      </c>
      <c r="B2926" t="s">
        <v>854</v>
      </c>
      <c r="C2926" t="s">
        <v>855</v>
      </c>
      <c r="D2926" t="str">
        <f>HYPERLINK("http://service.sap.com/sap/support/notes/1669034","1669034")</f>
        <v>1669034</v>
      </c>
      <c r="E2926">
        <v>1</v>
      </c>
      <c r="F2926" t="s">
        <v>4012</v>
      </c>
    </row>
    <row r="2927" spans="1:6" x14ac:dyDescent="0.25">
      <c r="A2927" t="s">
        <v>1522</v>
      </c>
      <c r="B2927" t="s">
        <v>4013</v>
      </c>
      <c r="C2927" t="s">
        <v>350</v>
      </c>
    </row>
    <row r="2928" spans="1:6" x14ac:dyDescent="0.25">
      <c r="A2928" t="s">
        <v>1522</v>
      </c>
      <c r="B2928" t="s">
        <v>4014</v>
      </c>
      <c r="C2928" t="s">
        <v>4015</v>
      </c>
      <c r="D2928" t="str">
        <f>HYPERLINK("http://service.sap.com/sap/support/notes/1610766","1610766")</f>
        <v>1610766</v>
      </c>
      <c r="E2928">
        <v>1</v>
      </c>
      <c r="F2928" t="s">
        <v>4016</v>
      </c>
    </row>
    <row r="2929" spans="1:6" x14ac:dyDescent="0.25">
      <c r="A2929" t="s">
        <v>1522</v>
      </c>
      <c r="B2929" t="s">
        <v>858</v>
      </c>
      <c r="C2929" t="s">
        <v>859</v>
      </c>
    </row>
    <row r="2930" spans="1:6" x14ac:dyDescent="0.25">
      <c r="A2930" t="s">
        <v>1522</v>
      </c>
      <c r="B2930" t="s">
        <v>4017</v>
      </c>
      <c r="C2930" t="s">
        <v>4018</v>
      </c>
    </row>
    <row r="2931" spans="1:6" x14ac:dyDescent="0.25">
      <c r="A2931" t="s">
        <v>1522</v>
      </c>
      <c r="B2931" t="s">
        <v>4019</v>
      </c>
      <c r="C2931" t="s">
        <v>4020</v>
      </c>
      <c r="D2931" t="str">
        <f>HYPERLINK("http://service.sap.com/sap/support/notes/1629066","1629066")</f>
        <v>1629066</v>
      </c>
      <c r="E2931">
        <v>1</v>
      </c>
      <c r="F2931" t="s">
        <v>4021</v>
      </c>
    </row>
    <row r="2932" spans="1:6" x14ac:dyDescent="0.25">
      <c r="A2932" t="s">
        <v>1522</v>
      </c>
      <c r="B2932" t="s">
        <v>860</v>
      </c>
      <c r="C2932" t="s">
        <v>861</v>
      </c>
      <c r="D2932" t="str">
        <f>HYPERLINK("http://service.sap.com/sap/support/notes/1638544","1638544")</f>
        <v>1638544</v>
      </c>
      <c r="E2932">
        <v>1</v>
      </c>
      <c r="F2932" t="s">
        <v>4022</v>
      </c>
    </row>
    <row r="2933" spans="1:6" x14ac:dyDescent="0.25">
      <c r="A2933" t="s">
        <v>1522</v>
      </c>
      <c r="B2933" t="s">
        <v>860</v>
      </c>
      <c r="C2933" t="s">
        <v>861</v>
      </c>
      <c r="D2933" t="str">
        <f>HYPERLINK("http://service.sap.com/sap/support/notes/1640163","1640163")</f>
        <v>1640163</v>
      </c>
      <c r="E2933">
        <v>3</v>
      </c>
      <c r="F2933" t="s">
        <v>4023</v>
      </c>
    </row>
    <row r="2934" spans="1:6" x14ac:dyDescent="0.25">
      <c r="A2934" t="s">
        <v>1522</v>
      </c>
      <c r="B2934" t="s">
        <v>860</v>
      </c>
      <c r="C2934" t="s">
        <v>861</v>
      </c>
      <c r="D2934" t="str">
        <f>HYPERLINK("http://service.sap.com/sap/support/notes/1647089","1647089")</f>
        <v>1647089</v>
      </c>
      <c r="E2934">
        <v>1</v>
      </c>
      <c r="F2934" t="s">
        <v>4024</v>
      </c>
    </row>
    <row r="2935" spans="1:6" x14ac:dyDescent="0.25">
      <c r="A2935" t="s">
        <v>1522</v>
      </c>
      <c r="B2935" t="s">
        <v>860</v>
      </c>
      <c r="C2935" t="s">
        <v>861</v>
      </c>
      <c r="D2935" t="str">
        <f>HYPERLINK("http://service.sap.com/sap/support/notes/1657395","1657395")</f>
        <v>1657395</v>
      </c>
      <c r="E2935">
        <v>1</v>
      </c>
      <c r="F2935" t="s">
        <v>4025</v>
      </c>
    </row>
    <row r="2936" spans="1:6" x14ac:dyDescent="0.25">
      <c r="A2936" t="s">
        <v>1522</v>
      </c>
      <c r="B2936" t="s">
        <v>864</v>
      </c>
      <c r="C2936" t="s">
        <v>337</v>
      </c>
      <c r="D2936" t="str">
        <f>HYPERLINK("http://service.sap.com/sap/support/notes/1155652","1155652")</f>
        <v>1155652</v>
      </c>
      <c r="E2936">
        <v>1</v>
      </c>
      <c r="F2936" t="s">
        <v>4026</v>
      </c>
    </row>
    <row r="2937" spans="1:6" x14ac:dyDescent="0.25">
      <c r="A2937" t="s">
        <v>1522</v>
      </c>
      <c r="B2937" t="s">
        <v>864</v>
      </c>
      <c r="C2937" t="s">
        <v>337</v>
      </c>
      <c r="D2937" t="str">
        <f>HYPERLINK("http://service.sap.com/sap/support/notes/1625228","1625228")</f>
        <v>1625228</v>
      </c>
      <c r="E2937">
        <v>1</v>
      </c>
      <c r="F2937" t="s">
        <v>4027</v>
      </c>
    </row>
    <row r="2938" spans="1:6" x14ac:dyDescent="0.25">
      <c r="A2938" t="s">
        <v>1522</v>
      </c>
      <c r="B2938" t="s">
        <v>865</v>
      </c>
      <c r="C2938" t="s">
        <v>866</v>
      </c>
      <c r="D2938" t="str">
        <f>HYPERLINK("http://service.sap.com/sap/support/notes/1654741","1654741")</f>
        <v>1654741</v>
      </c>
      <c r="E2938">
        <v>2</v>
      </c>
      <c r="F2938" t="s">
        <v>4028</v>
      </c>
    </row>
    <row r="2939" spans="1:6" x14ac:dyDescent="0.25">
      <c r="A2939" t="s">
        <v>1522</v>
      </c>
      <c r="B2939" t="s">
        <v>868</v>
      </c>
      <c r="C2939" t="s">
        <v>869</v>
      </c>
      <c r="D2939" t="str">
        <f>HYPERLINK("http://service.sap.com/sap/support/notes/1623660","1623660")</f>
        <v>1623660</v>
      </c>
      <c r="E2939">
        <v>2</v>
      </c>
      <c r="F2939" t="s">
        <v>4029</v>
      </c>
    </row>
    <row r="2940" spans="1:6" x14ac:dyDescent="0.25">
      <c r="A2940" t="s">
        <v>1522</v>
      </c>
      <c r="B2940" t="s">
        <v>868</v>
      </c>
      <c r="C2940" t="s">
        <v>869</v>
      </c>
      <c r="D2940" t="str">
        <f>HYPERLINK("http://service.sap.com/sap/support/notes/1630555","1630555")</f>
        <v>1630555</v>
      </c>
      <c r="E2940">
        <v>2</v>
      </c>
      <c r="F2940" t="s">
        <v>4030</v>
      </c>
    </row>
    <row r="2941" spans="1:6" x14ac:dyDescent="0.25">
      <c r="A2941" t="s">
        <v>1522</v>
      </c>
      <c r="B2941" t="s">
        <v>868</v>
      </c>
      <c r="C2941" t="s">
        <v>869</v>
      </c>
      <c r="D2941" t="str">
        <f>HYPERLINK("http://service.sap.com/sap/support/notes/1643738","1643738")</f>
        <v>1643738</v>
      </c>
      <c r="E2941">
        <v>1</v>
      </c>
      <c r="F2941" t="s">
        <v>4031</v>
      </c>
    </row>
    <row r="2942" spans="1:6" x14ac:dyDescent="0.25">
      <c r="A2942" t="s">
        <v>1522</v>
      </c>
      <c r="B2942" t="s">
        <v>868</v>
      </c>
      <c r="C2942" t="s">
        <v>869</v>
      </c>
      <c r="D2942" t="str">
        <f>HYPERLINK("http://service.sap.com/sap/support/notes/1644058","1644058")</f>
        <v>1644058</v>
      </c>
      <c r="E2942">
        <v>1</v>
      </c>
      <c r="F2942" t="s">
        <v>4032</v>
      </c>
    </row>
    <row r="2943" spans="1:6" x14ac:dyDescent="0.25">
      <c r="A2943" t="s">
        <v>1522</v>
      </c>
      <c r="B2943" t="s">
        <v>868</v>
      </c>
      <c r="C2943" t="s">
        <v>869</v>
      </c>
      <c r="D2943" t="str">
        <f>HYPERLINK("http://service.sap.com/sap/support/notes/1645833","1645833")</f>
        <v>1645833</v>
      </c>
      <c r="E2943">
        <v>1</v>
      </c>
      <c r="F2943" t="s">
        <v>4033</v>
      </c>
    </row>
    <row r="2944" spans="1:6" x14ac:dyDescent="0.25">
      <c r="A2944" t="s">
        <v>1522</v>
      </c>
      <c r="B2944" t="s">
        <v>4034</v>
      </c>
      <c r="C2944" t="s">
        <v>3933</v>
      </c>
      <c r="D2944" t="str">
        <f>HYPERLINK("http://service.sap.com/sap/support/notes/1632635","1632635")</f>
        <v>1632635</v>
      </c>
      <c r="E2944">
        <v>3</v>
      </c>
      <c r="F2944" t="s">
        <v>4035</v>
      </c>
    </row>
    <row r="2945" spans="1:6" x14ac:dyDescent="0.25">
      <c r="A2945" t="s">
        <v>1522</v>
      </c>
      <c r="B2945" t="s">
        <v>4036</v>
      </c>
      <c r="C2945" t="s">
        <v>4037</v>
      </c>
      <c r="D2945" t="str">
        <f>HYPERLINK("http://service.sap.com/sap/support/notes/1663128","1663128")</f>
        <v>1663128</v>
      </c>
      <c r="E2945">
        <v>2</v>
      </c>
      <c r="F2945" t="s">
        <v>4038</v>
      </c>
    </row>
    <row r="2946" spans="1:6" x14ac:dyDescent="0.25">
      <c r="A2946" t="s">
        <v>1522</v>
      </c>
      <c r="B2946" t="s">
        <v>4036</v>
      </c>
      <c r="C2946" t="s">
        <v>4037</v>
      </c>
      <c r="D2946" t="str">
        <f>HYPERLINK("http://service.sap.com/sap/support/notes/1669353","1669353")</f>
        <v>1669353</v>
      </c>
      <c r="E2946">
        <v>2</v>
      </c>
      <c r="F2946" t="s">
        <v>4039</v>
      </c>
    </row>
    <row r="2947" spans="1:6" x14ac:dyDescent="0.25">
      <c r="A2947" t="s">
        <v>1522</v>
      </c>
      <c r="B2947" t="s">
        <v>4040</v>
      </c>
      <c r="C2947" t="s">
        <v>33</v>
      </c>
    </row>
    <row r="2948" spans="1:6" x14ac:dyDescent="0.25">
      <c r="A2948" t="s">
        <v>1522</v>
      </c>
      <c r="B2948" t="s">
        <v>4041</v>
      </c>
      <c r="C2948" t="s">
        <v>4042</v>
      </c>
      <c r="D2948" t="str">
        <f>HYPERLINK("http://service.sap.com/sap/support/notes/1619307","1619307")</f>
        <v>1619307</v>
      </c>
      <c r="E2948">
        <v>3</v>
      </c>
      <c r="F2948" t="s">
        <v>4043</v>
      </c>
    </row>
    <row r="2949" spans="1:6" x14ac:dyDescent="0.25">
      <c r="A2949" t="s">
        <v>1522</v>
      </c>
      <c r="B2949" t="s">
        <v>4041</v>
      </c>
      <c r="C2949" t="s">
        <v>4042</v>
      </c>
      <c r="D2949" t="str">
        <f>HYPERLINK("http://service.sap.com/sap/support/notes/1631577","1631577")</f>
        <v>1631577</v>
      </c>
      <c r="E2949">
        <v>1</v>
      </c>
      <c r="F2949" t="s">
        <v>4044</v>
      </c>
    </row>
    <row r="2950" spans="1:6" x14ac:dyDescent="0.25">
      <c r="A2950" t="s">
        <v>1522</v>
      </c>
      <c r="B2950" t="s">
        <v>4041</v>
      </c>
      <c r="C2950" t="s">
        <v>4042</v>
      </c>
      <c r="D2950" t="str">
        <f>HYPERLINK("http://service.sap.com/sap/support/notes/1651486","1651486")</f>
        <v>1651486</v>
      </c>
      <c r="E2950">
        <v>1</v>
      </c>
      <c r="F2950" t="s">
        <v>4045</v>
      </c>
    </row>
    <row r="2951" spans="1:6" x14ac:dyDescent="0.25">
      <c r="A2951" t="s">
        <v>1522</v>
      </c>
      <c r="B2951" t="s">
        <v>4041</v>
      </c>
      <c r="C2951" t="s">
        <v>4042</v>
      </c>
      <c r="D2951" t="str">
        <f>HYPERLINK("http://service.sap.com/sap/support/notes/1664640","1664640")</f>
        <v>1664640</v>
      </c>
      <c r="E2951">
        <v>2</v>
      </c>
      <c r="F2951" t="s">
        <v>4046</v>
      </c>
    </row>
    <row r="2952" spans="1:6" x14ac:dyDescent="0.25">
      <c r="A2952" t="s">
        <v>1522</v>
      </c>
      <c r="B2952" t="s">
        <v>4047</v>
      </c>
      <c r="C2952" t="s">
        <v>4048</v>
      </c>
      <c r="D2952" t="str">
        <f>HYPERLINK("http://service.sap.com/sap/support/notes/1636908","1636908")</f>
        <v>1636908</v>
      </c>
      <c r="E2952">
        <v>1</v>
      </c>
      <c r="F2952" t="s">
        <v>4049</v>
      </c>
    </row>
    <row r="2953" spans="1:6" x14ac:dyDescent="0.25">
      <c r="A2953" t="s">
        <v>1522</v>
      </c>
      <c r="B2953" t="s">
        <v>4047</v>
      </c>
      <c r="C2953" t="s">
        <v>4048</v>
      </c>
      <c r="D2953" t="str">
        <f>HYPERLINK("http://service.sap.com/sap/support/notes/1664661","1664661")</f>
        <v>1664661</v>
      </c>
      <c r="E2953">
        <v>1</v>
      </c>
      <c r="F2953" t="s">
        <v>4050</v>
      </c>
    </row>
    <row r="2954" spans="1:6" x14ac:dyDescent="0.25">
      <c r="A2954" t="s">
        <v>1522</v>
      </c>
      <c r="B2954" t="s">
        <v>872</v>
      </c>
      <c r="C2954" t="s">
        <v>873</v>
      </c>
      <c r="D2954" t="str">
        <f>HYPERLINK("http://service.sap.com/sap/support/notes/1448216","1448216")</f>
        <v>1448216</v>
      </c>
      <c r="E2954">
        <v>3</v>
      </c>
      <c r="F2954" t="s">
        <v>4051</v>
      </c>
    </row>
    <row r="2955" spans="1:6" x14ac:dyDescent="0.25">
      <c r="A2955" t="s">
        <v>1522</v>
      </c>
      <c r="B2955" t="s">
        <v>872</v>
      </c>
      <c r="C2955" t="s">
        <v>873</v>
      </c>
      <c r="D2955" t="str">
        <f>HYPERLINK("http://service.sap.com/sap/support/notes/1462337","1462337")</f>
        <v>1462337</v>
      </c>
      <c r="E2955">
        <v>4</v>
      </c>
      <c r="F2955" t="s">
        <v>4052</v>
      </c>
    </row>
    <row r="2956" spans="1:6" x14ac:dyDescent="0.25">
      <c r="A2956" t="s">
        <v>1522</v>
      </c>
      <c r="B2956" t="s">
        <v>872</v>
      </c>
      <c r="C2956" t="s">
        <v>873</v>
      </c>
      <c r="D2956" t="str">
        <f>HYPERLINK("http://service.sap.com/sap/support/notes/1646092","1646092")</f>
        <v>1646092</v>
      </c>
      <c r="E2956">
        <v>10</v>
      </c>
      <c r="F2956" t="s">
        <v>4053</v>
      </c>
    </row>
    <row r="2957" spans="1:6" x14ac:dyDescent="0.25">
      <c r="A2957" t="s">
        <v>1522</v>
      </c>
      <c r="B2957" t="s">
        <v>872</v>
      </c>
      <c r="C2957" t="s">
        <v>873</v>
      </c>
      <c r="D2957" t="str">
        <f>HYPERLINK("http://service.sap.com/sap/support/notes/1651473","1651473")</f>
        <v>1651473</v>
      </c>
      <c r="E2957">
        <v>1</v>
      </c>
      <c r="F2957" t="s">
        <v>4054</v>
      </c>
    </row>
    <row r="2958" spans="1:6" x14ac:dyDescent="0.25">
      <c r="A2958" t="s">
        <v>1522</v>
      </c>
      <c r="B2958" t="s">
        <v>872</v>
      </c>
      <c r="C2958" t="s">
        <v>873</v>
      </c>
      <c r="D2958" t="str">
        <f>HYPERLINK("http://service.sap.com/sap/support/notes/1656663","1656663")</f>
        <v>1656663</v>
      </c>
      <c r="E2958">
        <v>3</v>
      </c>
      <c r="F2958" t="s">
        <v>4055</v>
      </c>
    </row>
    <row r="2959" spans="1:6" x14ac:dyDescent="0.25">
      <c r="A2959" t="s">
        <v>1522</v>
      </c>
      <c r="B2959" t="s">
        <v>872</v>
      </c>
      <c r="C2959" t="s">
        <v>873</v>
      </c>
      <c r="D2959" t="str">
        <f>HYPERLINK("http://service.sap.com/sap/support/notes/1658445","1658445")</f>
        <v>1658445</v>
      </c>
      <c r="E2959">
        <v>1</v>
      </c>
      <c r="F2959" t="s">
        <v>4056</v>
      </c>
    </row>
    <row r="2960" spans="1:6" x14ac:dyDescent="0.25">
      <c r="A2960" t="s">
        <v>1522</v>
      </c>
      <c r="B2960" t="s">
        <v>872</v>
      </c>
      <c r="C2960" t="s">
        <v>873</v>
      </c>
      <c r="D2960" t="str">
        <f>HYPERLINK("http://service.sap.com/sap/support/notes/1660169","1660169")</f>
        <v>1660169</v>
      </c>
      <c r="E2960">
        <v>1</v>
      </c>
      <c r="F2960" t="s">
        <v>4057</v>
      </c>
    </row>
    <row r="2961" spans="1:6" x14ac:dyDescent="0.25">
      <c r="A2961" t="s">
        <v>1522</v>
      </c>
      <c r="B2961" t="s">
        <v>4058</v>
      </c>
      <c r="C2961" t="s">
        <v>4059</v>
      </c>
      <c r="D2961" t="str">
        <f>HYPERLINK("http://service.sap.com/sap/support/notes/1621798","1621798")</f>
        <v>1621798</v>
      </c>
      <c r="E2961">
        <v>2</v>
      </c>
      <c r="F2961" t="s">
        <v>4060</v>
      </c>
    </row>
    <row r="2962" spans="1:6" x14ac:dyDescent="0.25">
      <c r="A2962" t="s">
        <v>1522</v>
      </c>
      <c r="B2962" t="s">
        <v>875</v>
      </c>
      <c r="C2962" t="s">
        <v>876</v>
      </c>
      <c r="D2962" t="str">
        <f>HYPERLINK("http://service.sap.com/sap/support/notes/1621346","1621346")</f>
        <v>1621346</v>
      </c>
      <c r="E2962">
        <v>2</v>
      </c>
      <c r="F2962" t="s">
        <v>4061</v>
      </c>
    </row>
    <row r="2963" spans="1:6" x14ac:dyDescent="0.25">
      <c r="A2963" t="s">
        <v>1522</v>
      </c>
      <c r="B2963" t="s">
        <v>875</v>
      </c>
      <c r="C2963" t="s">
        <v>876</v>
      </c>
      <c r="D2963" t="str">
        <f>HYPERLINK("http://service.sap.com/sap/support/notes/1623794","1623794")</f>
        <v>1623794</v>
      </c>
      <c r="E2963">
        <v>1</v>
      </c>
      <c r="F2963" t="s">
        <v>4062</v>
      </c>
    </row>
    <row r="2964" spans="1:6" x14ac:dyDescent="0.25">
      <c r="A2964" t="s">
        <v>1522</v>
      </c>
      <c r="B2964" t="s">
        <v>875</v>
      </c>
      <c r="C2964" t="s">
        <v>876</v>
      </c>
      <c r="D2964" t="str">
        <f>HYPERLINK("http://service.sap.com/sap/support/notes/1624428","1624428")</f>
        <v>1624428</v>
      </c>
      <c r="E2964">
        <v>1</v>
      </c>
      <c r="F2964" t="s">
        <v>4063</v>
      </c>
    </row>
    <row r="2965" spans="1:6" x14ac:dyDescent="0.25">
      <c r="A2965" t="s">
        <v>1522</v>
      </c>
      <c r="B2965" t="s">
        <v>875</v>
      </c>
      <c r="C2965" t="s">
        <v>876</v>
      </c>
      <c r="D2965" t="str">
        <f>HYPERLINK("http://service.sap.com/sap/support/notes/1654740","1654740")</f>
        <v>1654740</v>
      </c>
      <c r="E2965">
        <v>1</v>
      </c>
      <c r="F2965" t="s">
        <v>4064</v>
      </c>
    </row>
    <row r="2966" spans="1:6" x14ac:dyDescent="0.25">
      <c r="A2966" t="s">
        <v>1522</v>
      </c>
      <c r="B2966" t="s">
        <v>4065</v>
      </c>
      <c r="C2966" t="s">
        <v>4066</v>
      </c>
      <c r="D2966" t="str">
        <f>HYPERLINK("http://service.sap.com/sap/support/notes/1601495","1601495")</f>
        <v>1601495</v>
      </c>
      <c r="E2966">
        <v>2</v>
      </c>
      <c r="F2966" t="s">
        <v>4067</v>
      </c>
    </row>
    <row r="2967" spans="1:6" x14ac:dyDescent="0.25">
      <c r="A2967" t="s">
        <v>1522</v>
      </c>
      <c r="B2967" t="s">
        <v>879</v>
      </c>
      <c r="C2967" t="s">
        <v>880</v>
      </c>
      <c r="D2967" t="str">
        <f>HYPERLINK("http://service.sap.com/sap/support/notes/1618770","1618770")</f>
        <v>1618770</v>
      </c>
      <c r="E2967">
        <v>2</v>
      </c>
      <c r="F2967" t="s">
        <v>4068</v>
      </c>
    </row>
    <row r="2968" spans="1:6" x14ac:dyDescent="0.25">
      <c r="A2968" t="s">
        <v>1522</v>
      </c>
      <c r="B2968" t="s">
        <v>879</v>
      </c>
      <c r="C2968" t="s">
        <v>880</v>
      </c>
      <c r="D2968" t="str">
        <f>HYPERLINK("http://service.sap.com/sap/support/notes/1622728","1622728")</f>
        <v>1622728</v>
      </c>
      <c r="E2968">
        <v>4</v>
      </c>
      <c r="F2968" t="s">
        <v>4069</v>
      </c>
    </row>
    <row r="2969" spans="1:6" x14ac:dyDescent="0.25">
      <c r="A2969" t="s">
        <v>1522</v>
      </c>
      <c r="B2969" t="s">
        <v>879</v>
      </c>
      <c r="C2969" t="s">
        <v>880</v>
      </c>
      <c r="D2969" t="str">
        <f>HYPERLINK("http://service.sap.com/sap/support/notes/1623406","1623406")</f>
        <v>1623406</v>
      </c>
      <c r="E2969">
        <v>1</v>
      </c>
      <c r="F2969" t="s">
        <v>4070</v>
      </c>
    </row>
    <row r="2970" spans="1:6" x14ac:dyDescent="0.25">
      <c r="A2970" t="s">
        <v>1522</v>
      </c>
      <c r="B2970" t="s">
        <v>879</v>
      </c>
      <c r="C2970" t="s">
        <v>880</v>
      </c>
      <c r="D2970" t="str">
        <f>HYPERLINK("http://service.sap.com/sap/support/notes/1624357","1624357")</f>
        <v>1624357</v>
      </c>
      <c r="E2970">
        <v>1</v>
      </c>
      <c r="F2970" t="s">
        <v>4071</v>
      </c>
    </row>
    <row r="2971" spans="1:6" x14ac:dyDescent="0.25">
      <c r="A2971" t="s">
        <v>1522</v>
      </c>
      <c r="B2971" t="s">
        <v>879</v>
      </c>
      <c r="C2971" t="s">
        <v>880</v>
      </c>
      <c r="D2971" t="str">
        <f>HYPERLINK("http://service.sap.com/sap/support/notes/1626125","1626125")</f>
        <v>1626125</v>
      </c>
      <c r="E2971">
        <v>2</v>
      </c>
      <c r="F2971" t="s">
        <v>4072</v>
      </c>
    </row>
    <row r="2972" spans="1:6" x14ac:dyDescent="0.25">
      <c r="A2972" t="s">
        <v>1522</v>
      </c>
      <c r="B2972" t="s">
        <v>879</v>
      </c>
      <c r="C2972" t="s">
        <v>880</v>
      </c>
      <c r="D2972" t="str">
        <f>HYPERLINK("http://service.sap.com/sap/support/notes/1627607","1627607")</f>
        <v>1627607</v>
      </c>
      <c r="E2972">
        <v>2</v>
      </c>
      <c r="F2972" t="s">
        <v>4073</v>
      </c>
    </row>
    <row r="2973" spans="1:6" x14ac:dyDescent="0.25">
      <c r="A2973" t="s">
        <v>1522</v>
      </c>
      <c r="B2973" t="s">
        <v>879</v>
      </c>
      <c r="C2973" t="s">
        <v>880</v>
      </c>
      <c r="D2973" t="str">
        <f>HYPERLINK("http://service.sap.com/sap/support/notes/1632474","1632474")</f>
        <v>1632474</v>
      </c>
      <c r="E2973">
        <v>1</v>
      </c>
      <c r="F2973" t="s">
        <v>4074</v>
      </c>
    </row>
    <row r="2974" spans="1:6" x14ac:dyDescent="0.25">
      <c r="A2974" t="s">
        <v>1522</v>
      </c>
      <c r="B2974" t="s">
        <v>879</v>
      </c>
      <c r="C2974" t="s">
        <v>880</v>
      </c>
      <c r="D2974" t="str">
        <f>HYPERLINK("http://service.sap.com/sap/support/notes/1632487","1632487")</f>
        <v>1632487</v>
      </c>
      <c r="E2974">
        <v>2</v>
      </c>
      <c r="F2974" t="s">
        <v>4075</v>
      </c>
    </row>
    <row r="2975" spans="1:6" x14ac:dyDescent="0.25">
      <c r="A2975" t="s">
        <v>1522</v>
      </c>
      <c r="B2975" t="s">
        <v>879</v>
      </c>
      <c r="C2975" t="s">
        <v>880</v>
      </c>
      <c r="D2975" t="str">
        <f>HYPERLINK("http://service.sap.com/sap/support/notes/1636742","1636742")</f>
        <v>1636742</v>
      </c>
      <c r="E2975">
        <v>1</v>
      </c>
      <c r="F2975" t="s">
        <v>4076</v>
      </c>
    </row>
    <row r="2976" spans="1:6" x14ac:dyDescent="0.25">
      <c r="A2976" t="s">
        <v>1522</v>
      </c>
      <c r="B2976" t="s">
        <v>879</v>
      </c>
      <c r="C2976" t="s">
        <v>880</v>
      </c>
      <c r="D2976" t="str">
        <f>HYPERLINK("http://service.sap.com/sap/support/notes/1640258","1640258")</f>
        <v>1640258</v>
      </c>
      <c r="E2976">
        <v>1</v>
      </c>
      <c r="F2976" t="s">
        <v>4077</v>
      </c>
    </row>
    <row r="2977" spans="1:6" x14ac:dyDescent="0.25">
      <c r="A2977" t="s">
        <v>1522</v>
      </c>
      <c r="B2977" t="s">
        <v>879</v>
      </c>
      <c r="C2977" t="s">
        <v>880</v>
      </c>
      <c r="D2977" t="str">
        <f>HYPERLINK("http://service.sap.com/sap/support/notes/1644175","1644175")</f>
        <v>1644175</v>
      </c>
      <c r="E2977">
        <v>1</v>
      </c>
      <c r="F2977" t="s">
        <v>4078</v>
      </c>
    </row>
    <row r="2978" spans="1:6" x14ac:dyDescent="0.25">
      <c r="A2978" t="s">
        <v>1522</v>
      </c>
      <c r="B2978" t="s">
        <v>879</v>
      </c>
      <c r="C2978" t="s">
        <v>880</v>
      </c>
      <c r="D2978" t="str">
        <f>HYPERLINK("http://service.sap.com/sap/support/notes/1653049","1653049")</f>
        <v>1653049</v>
      </c>
      <c r="E2978">
        <v>2</v>
      </c>
      <c r="F2978" t="s">
        <v>4079</v>
      </c>
    </row>
    <row r="2979" spans="1:6" x14ac:dyDescent="0.25">
      <c r="A2979" t="s">
        <v>1522</v>
      </c>
      <c r="B2979" t="s">
        <v>879</v>
      </c>
      <c r="C2979" t="s">
        <v>880</v>
      </c>
      <c r="D2979" t="str">
        <f>HYPERLINK("http://service.sap.com/sap/support/notes/1660188","1660188")</f>
        <v>1660188</v>
      </c>
      <c r="E2979">
        <v>1</v>
      </c>
      <c r="F2979" t="s">
        <v>4080</v>
      </c>
    </row>
    <row r="2980" spans="1:6" x14ac:dyDescent="0.25">
      <c r="A2980" t="s">
        <v>1522</v>
      </c>
      <c r="B2980" t="s">
        <v>879</v>
      </c>
      <c r="C2980" t="s">
        <v>880</v>
      </c>
      <c r="D2980" t="str">
        <f>HYPERLINK("http://service.sap.com/sap/support/notes/1661701","1661701")</f>
        <v>1661701</v>
      </c>
      <c r="E2980">
        <v>1</v>
      </c>
      <c r="F2980" t="s">
        <v>4081</v>
      </c>
    </row>
    <row r="2981" spans="1:6" x14ac:dyDescent="0.25">
      <c r="A2981" t="s">
        <v>1522</v>
      </c>
      <c r="B2981" t="s">
        <v>879</v>
      </c>
      <c r="C2981" t="s">
        <v>880</v>
      </c>
      <c r="D2981" t="str">
        <f>HYPERLINK("http://service.sap.com/sap/support/notes/1661957","1661957")</f>
        <v>1661957</v>
      </c>
      <c r="E2981">
        <v>4</v>
      </c>
      <c r="F2981" t="s">
        <v>4082</v>
      </c>
    </row>
    <row r="2982" spans="1:6" x14ac:dyDescent="0.25">
      <c r="A2982" t="s">
        <v>1522</v>
      </c>
      <c r="B2982" t="s">
        <v>879</v>
      </c>
      <c r="C2982" t="s">
        <v>880</v>
      </c>
      <c r="D2982" t="str">
        <f>HYPERLINK("http://service.sap.com/sap/support/notes/1663927","1663927")</f>
        <v>1663927</v>
      </c>
      <c r="E2982">
        <v>1</v>
      </c>
      <c r="F2982" t="s">
        <v>4083</v>
      </c>
    </row>
    <row r="2983" spans="1:6" x14ac:dyDescent="0.25">
      <c r="A2983" t="s">
        <v>1522</v>
      </c>
      <c r="B2983" t="s">
        <v>879</v>
      </c>
      <c r="C2983" t="s">
        <v>880</v>
      </c>
      <c r="D2983" t="str">
        <f>HYPERLINK("http://service.sap.com/sap/support/notes/1672321","1672321")</f>
        <v>1672321</v>
      </c>
      <c r="E2983">
        <v>2</v>
      </c>
      <c r="F2983" t="s">
        <v>4084</v>
      </c>
    </row>
    <row r="2984" spans="1:6" x14ac:dyDescent="0.25">
      <c r="A2984" t="s">
        <v>1522</v>
      </c>
      <c r="B2984" t="s">
        <v>879</v>
      </c>
      <c r="C2984" t="s">
        <v>880</v>
      </c>
      <c r="D2984" t="str">
        <f>HYPERLINK("http://service.sap.com/sap/support/notes/1673809","1673809")</f>
        <v>1673809</v>
      </c>
      <c r="E2984">
        <v>1</v>
      </c>
      <c r="F2984" t="s">
        <v>4085</v>
      </c>
    </row>
    <row r="2985" spans="1:6" x14ac:dyDescent="0.25">
      <c r="A2985" t="s">
        <v>1522</v>
      </c>
      <c r="B2985" t="s">
        <v>4086</v>
      </c>
      <c r="C2985" t="s">
        <v>859</v>
      </c>
      <c r="D2985" t="str">
        <f>HYPERLINK("http://service.sap.com/sap/support/notes/1620712","1620712")</f>
        <v>1620712</v>
      </c>
      <c r="E2985">
        <v>2</v>
      </c>
      <c r="F2985" t="s">
        <v>4087</v>
      </c>
    </row>
    <row r="2986" spans="1:6" x14ac:dyDescent="0.25">
      <c r="A2986" t="s">
        <v>1522</v>
      </c>
      <c r="B2986" t="s">
        <v>4086</v>
      </c>
      <c r="C2986" t="s">
        <v>859</v>
      </c>
      <c r="D2986" t="str">
        <f>HYPERLINK("http://service.sap.com/sap/support/notes/1633759","1633759")</f>
        <v>1633759</v>
      </c>
      <c r="E2986">
        <v>2</v>
      </c>
      <c r="F2986" t="s">
        <v>4088</v>
      </c>
    </row>
    <row r="2987" spans="1:6" x14ac:dyDescent="0.25">
      <c r="A2987" t="s">
        <v>1522</v>
      </c>
      <c r="B2987" t="s">
        <v>886</v>
      </c>
      <c r="C2987" t="s">
        <v>887</v>
      </c>
      <c r="D2987" t="str">
        <f>HYPERLINK("http://service.sap.com/sap/support/notes/1623936","1623936")</f>
        <v>1623936</v>
      </c>
      <c r="E2987">
        <v>2</v>
      </c>
      <c r="F2987" t="s">
        <v>4089</v>
      </c>
    </row>
    <row r="2988" spans="1:6" x14ac:dyDescent="0.25">
      <c r="A2988" t="s">
        <v>1522</v>
      </c>
      <c r="B2988" t="s">
        <v>886</v>
      </c>
      <c r="C2988" t="s">
        <v>887</v>
      </c>
      <c r="D2988" t="str">
        <f>HYPERLINK("http://service.sap.com/sap/support/notes/1632992","1632992")</f>
        <v>1632992</v>
      </c>
      <c r="E2988">
        <v>4</v>
      </c>
      <c r="F2988" t="s">
        <v>4090</v>
      </c>
    </row>
    <row r="2989" spans="1:6" x14ac:dyDescent="0.25">
      <c r="A2989" t="s">
        <v>1522</v>
      </c>
      <c r="B2989" t="s">
        <v>886</v>
      </c>
      <c r="C2989" t="s">
        <v>887</v>
      </c>
      <c r="D2989" t="str">
        <f>HYPERLINK("http://service.sap.com/sap/support/notes/1639346","1639346")</f>
        <v>1639346</v>
      </c>
      <c r="E2989">
        <v>1</v>
      </c>
      <c r="F2989" t="s">
        <v>4091</v>
      </c>
    </row>
    <row r="2990" spans="1:6" x14ac:dyDescent="0.25">
      <c r="A2990" t="s">
        <v>1522</v>
      </c>
      <c r="B2990" t="s">
        <v>886</v>
      </c>
      <c r="C2990" t="s">
        <v>887</v>
      </c>
      <c r="D2990" t="str">
        <f>HYPERLINK("http://service.sap.com/sap/support/notes/1648937","1648937")</f>
        <v>1648937</v>
      </c>
      <c r="E2990">
        <v>1</v>
      </c>
      <c r="F2990" t="s">
        <v>4092</v>
      </c>
    </row>
    <row r="2991" spans="1:6" x14ac:dyDescent="0.25">
      <c r="A2991" t="s">
        <v>1522</v>
      </c>
      <c r="B2991" t="s">
        <v>886</v>
      </c>
      <c r="C2991" t="s">
        <v>887</v>
      </c>
      <c r="D2991" t="str">
        <f>HYPERLINK("http://service.sap.com/sap/support/notes/1652077","1652077")</f>
        <v>1652077</v>
      </c>
      <c r="E2991">
        <v>1</v>
      </c>
      <c r="F2991" t="s">
        <v>4093</v>
      </c>
    </row>
    <row r="2992" spans="1:6" x14ac:dyDescent="0.25">
      <c r="A2992" t="s">
        <v>1522</v>
      </c>
      <c r="B2992" t="s">
        <v>886</v>
      </c>
      <c r="C2992" t="s">
        <v>887</v>
      </c>
      <c r="D2992" t="str">
        <f>HYPERLINK("http://service.sap.com/sap/support/notes/1656179","1656179")</f>
        <v>1656179</v>
      </c>
      <c r="E2992">
        <v>1</v>
      </c>
      <c r="F2992" t="s">
        <v>4094</v>
      </c>
    </row>
    <row r="2993" spans="1:6" x14ac:dyDescent="0.25">
      <c r="A2993" t="s">
        <v>1522</v>
      </c>
      <c r="B2993" t="s">
        <v>886</v>
      </c>
      <c r="C2993" t="s">
        <v>887</v>
      </c>
      <c r="D2993" t="str">
        <f>HYPERLINK("http://service.sap.com/sap/support/notes/1659100","1659100")</f>
        <v>1659100</v>
      </c>
      <c r="E2993">
        <v>1</v>
      </c>
      <c r="F2993" t="s">
        <v>4095</v>
      </c>
    </row>
    <row r="2994" spans="1:6" x14ac:dyDescent="0.25">
      <c r="A2994" t="s">
        <v>1522</v>
      </c>
      <c r="B2994" t="s">
        <v>886</v>
      </c>
      <c r="C2994" t="s">
        <v>887</v>
      </c>
      <c r="D2994" t="str">
        <f>HYPERLINK("http://service.sap.com/sap/support/notes/1664893","1664893")</f>
        <v>1664893</v>
      </c>
      <c r="E2994">
        <v>1</v>
      </c>
      <c r="F2994" t="s">
        <v>4096</v>
      </c>
    </row>
    <row r="2995" spans="1:6" x14ac:dyDescent="0.25">
      <c r="A2995" t="s">
        <v>1522</v>
      </c>
      <c r="B2995" t="s">
        <v>886</v>
      </c>
      <c r="C2995" t="s">
        <v>887</v>
      </c>
      <c r="D2995" t="str">
        <f>HYPERLINK("http://service.sap.com/sap/support/notes/1665479","1665479")</f>
        <v>1665479</v>
      </c>
      <c r="E2995">
        <v>2</v>
      </c>
      <c r="F2995" t="s">
        <v>4097</v>
      </c>
    </row>
    <row r="2996" spans="1:6" x14ac:dyDescent="0.25">
      <c r="A2996" t="s">
        <v>1522</v>
      </c>
      <c r="B2996" t="s">
        <v>886</v>
      </c>
      <c r="C2996" t="s">
        <v>887</v>
      </c>
      <c r="D2996" t="str">
        <f>HYPERLINK("http://service.sap.com/sap/support/notes/1667066","1667066")</f>
        <v>1667066</v>
      </c>
      <c r="E2996">
        <v>1</v>
      </c>
      <c r="F2996" t="s">
        <v>4098</v>
      </c>
    </row>
    <row r="2997" spans="1:6" x14ac:dyDescent="0.25">
      <c r="A2997" t="s">
        <v>1522</v>
      </c>
      <c r="B2997" t="s">
        <v>886</v>
      </c>
      <c r="C2997" t="s">
        <v>887</v>
      </c>
      <c r="D2997" t="str">
        <f>HYPERLINK("http://service.sap.com/sap/support/notes/1670330","1670330")</f>
        <v>1670330</v>
      </c>
      <c r="E2997">
        <v>2</v>
      </c>
      <c r="F2997" t="s">
        <v>4093</v>
      </c>
    </row>
    <row r="2998" spans="1:6" x14ac:dyDescent="0.25">
      <c r="A2998" t="s">
        <v>1522</v>
      </c>
      <c r="B2998" t="s">
        <v>4099</v>
      </c>
      <c r="C2998" t="s">
        <v>4100</v>
      </c>
      <c r="D2998" t="str">
        <f>HYPERLINK("http://service.sap.com/sap/support/notes/1632126","1632126")</f>
        <v>1632126</v>
      </c>
      <c r="E2998">
        <v>1</v>
      </c>
      <c r="F2998" t="s">
        <v>4101</v>
      </c>
    </row>
    <row r="2999" spans="1:6" x14ac:dyDescent="0.25">
      <c r="A2999" t="s">
        <v>1522</v>
      </c>
      <c r="B2999" t="s">
        <v>891</v>
      </c>
      <c r="C2999" t="s">
        <v>651</v>
      </c>
    </row>
    <row r="3000" spans="1:6" x14ac:dyDescent="0.25">
      <c r="A3000" t="s">
        <v>1522</v>
      </c>
      <c r="B3000" t="s">
        <v>4102</v>
      </c>
      <c r="C3000" t="s">
        <v>4103</v>
      </c>
      <c r="D3000" t="str">
        <f>HYPERLINK("http://service.sap.com/sap/support/notes/1615282","1615282")</f>
        <v>1615282</v>
      </c>
      <c r="E3000">
        <v>1</v>
      </c>
      <c r="F3000" t="s">
        <v>4104</v>
      </c>
    </row>
    <row r="3001" spans="1:6" x14ac:dyDescent="0.25">
      <c r="A3001" t="s">
        <v>1522</v>
      </c>
      <c r="B3001" t="s">
        <v>4102</v>
      </c>
      <c r="C3001" t="s">
        <v>4103</v>
      </c>
      <c r="D3001" t="str">
        <f>HYPERLINK("http://service.sap.com/sap/support/notes/1619220","1619220")</f>
        <v>1619220</v>
      </c>
      <c r="E3001">
        <v>3</v>
      </c>
      <c r="F3001" t="s">
        <v>4105</v>
      </c>
    </row>
    <row r="3002" spans="1:6" x14ac:dyDescent="0.25">
      <c r="A3002" t="s">
        <v>1522</v>
      </c>
      <c r="B3002" t="s">
        <v>4102</v>
      </c>
      <c r="C3002" t="s">
        <v>4103</v>
      </c>
      <c r="D3002" t="str">
        <f>HYPERLINK("http://service.sap.com/sap/support/notes/1621398","1621398")</f>
        <v>1621398</v>
      </c>
      <c r="E3002">
        <v>2</v>
      </c>
      <c r="F3002" t="s">
        <v>4106</v>
      </c>
    </row>
    <row r="3003" spans="1:6" x14ac:dyDescent="0.25">
      <c r="A3003" t="s">
        <v>1522</v>
      </c>
      <c r="B3003" t="s">
        <v>4102</v>
      </c>
      <c r="C3003" t="s">
        <v>4103</v>
      </c>
      <c r="D3003" t="str">
        <f>HYPERLINK("http://service.sap.com/sap/support/notes/1622631","1622631")</f>
        <v>1622631</v>
      </c>
      <c r="E3003">
        <v>4</v>
      </c>
      <c r="F3003" t="s">
        <v>4107</v>
      </c>
    </row>
    <row r="3004" spans="1:6" x14ac:dyDescent="0.25">
      <c r="A3004" t="s">
        <v>1522</v>
      </c>
      <c r="B3004" t="s">
        <v>4102</v>
      </c>
      <c r="C3004" t="s">
        <v>4103</v>
      </c>
      <c r="D3004" t="str">
        <f>HYPERLINK("http://service.sap.com/sap/support/notes/1623270","1623270")</f>
        <v>1623270</v>
      </c>
      <c r="E3004">
        <v>1</v>
      </c>
      <c r="F3004" t="s">
        <v>4108</v>
      </c>
    </row>
    <row r="3005" spans="1:6" x14ac:dyDescent="0.25">
      <c r="A3005" t="s">
        <v>1522</v>
      </c>
      <c r="B3005" t="s">
        <v>4102</v>
      </c>
      <c r="C3005" t="s">
        <v>4103</v>
      </c>
      <c r="D3005" t="str">
        <f>HYPERLINK("http://service.sap.com/sap/support/notes/1626596","1626596")</f>
        <v>1626596</v>
      </c>
      <c r="E3005">
        <v>1</v>
      </c>
      <c r="F3005" t="s">
        <v>4109</v>
      </c>
    </row>
    <row r="3006" spans="1:6" x14ac:dyDescent="0.25">
      <c r="A3006" t="s">
        <v>1522</v>
      </c>
      <c r="B3006" t="s">
        <v>4102</v>
      </c>
      <c r="C3006" t="s">
        <v>4103</v>
      </c>
      <c r="D3006" t="str">
        <f>HYPERLINK("http://service.sap.com/sap/support/notes/1627208","1627208")</f>
        <v>1627208</v>
      </c>
      <c r="E3006">
        <v>1</v>
      </c>
      <c r="F3006" t="s">
        <v>4110</v>
      </c>
    </row>
    <row r="3007" spans="1:6" x14ac:dyDescent="0.25">
      <c r="A3007" t="s">
        <v>1522</v>
      </c>
      <c r="B3007" t="s">
        <v>892</v>
      </c>
      <c r="C3007" t="s">
        <v>337</v>
      </c>
      <c r="D3007" t="str">
        <f>HYPERLINK("http://service.sap.com/sap/support/notes/1598090","1598090")</f>
        <v>1598090</v>
      </c>
      <c r="E3007">
        <v>1</v>
      </c>
      <c r="F3007" t="s">
        <v>4111</v>
      </c>
    </row>
    <row r="3008" spans="1:6" x14ac:dyDescent="0.25">
      <c r="A3008" t="s">
        <v>1522</v>
      </c>
      <c r="B3008" t="s">
        <v>892</v>
      </c>
      <c r="C3008" t="s">
        <v>337</v>
      </c>
      <c r="D3008" t="str">
        <f>HYPERLINK("http://service.sap.com/sap/support/notes/1639163","1639163")</f>
        <v>1639163</v>
      </c>
      <c r="E3008">
        <v>1</v>
      </c>
      <c r="F3008" t="s">
        <v>4112</v>
      </c>
    </row>
    <row r="3009" spans="1:6" x14ac:dyDescent="0.25">
      <c r="A3009" t="s">
        <v>1522</v>
      </c>
      <c r="B3009" t="s">
        <v>892</v>
      </c>
      <c r="C3009" t="s">
        <v>337</v>
      </c>
      <c r="D3009" t="str">
        <f>HYPERLINK("http://service.sap.com/sap/support/notes/1662398","1662398")</f>
        <v>1662398</v>
      </c>
      <c r="E3009">
        <v>1</v>
      </c>
      <c r="F3009" t="s">
        <v>4113</v>
      </c>
    </row>
    <row r="3010" spans="1:6" x14ac:dyDescent="0.25">
      <c r="A3010" t="s">
        <v>1522</v>
      </c>
      <c r="B3010" t="s">
        <v>4114</v>
      </c>
      <c r="C3010" t="s">
        <v>4115</v>
      </c>
      <c r="D3010" t="str">
        <f>HYPERLINK("http://service.sap.com/sap/support/notes/1651200","1651200")</f>
        <v>1651200</v>
      </c>
      <c r="E3010">
        <v>1</v>
      </c>
      <c r="F3010" t="s">
        <v>4116</v>
      </c>
    </row>
    <row r="3011" spans="1:6" x14ac:dyDescent="0.25">
      <c r="A3011" t="s">
        <v>1522</v>
      </c>
      <c r="B3011" t="s">
        <v>4117</v>
      </c>
      <c r="C3011" t="s">
        <v>4118</v>
      </c>
      <c r="D3011" t="str">
        <f>HYPERLINK("http://service.sap.com/sap/support/notes/1635973","1635973")</f>
        <v>1635973</v>
      </c>
      <c r="E3011">
        <v>6</v>
      </c>
      <c r="F3011" t="s">
        <v>4119</v>
      </c>
    </row>
    <row r="3012" spans="1:6" x14ac:dyDescent="0.25">
      <c r="A3012" t="s">
        <v>1522</v>
      </c>
      <c r="B3012" t="s">
        <v>4120</v>
      </c>
      <c r="C3012" t="s">
        <v>2440</v>
      </c>
      <c r="D3012" t="str">
        <f>HYPERLINK("http://service.sap.com/sap/support/notes/1621786","1621786")</f>
        <v>1621786</v>
      </c>
      <c r="E3012">
        <v>1</v>
      </c>
      <c r="F3012" t="s">
        <v>4121</v>
      </c>
    </row>
    <row r="3013" spans="1:6" x14ac:dyDescent="0.25">
      <c r="A3013" t="s">
        <v>1522</v>
      </c>
      <c r="B3013" t="s">
        <v>4120</v>
      </c>
      <c r="C3013" t="s">
        <v>2440</v>
      </c>
      <c r="D3013" t="str">
        <f>HYPERLINK("http://service.sap.com/sap/support/notes/1624406","1624406")</f>
        <v>1624406</v>
      </c>
      <c r="E3013">
        <v>2</v>
      </c>
      <c r="F3013" t="s">
        <v>4122</v>
      </c>
    </row>
    <row r="3014" spans="1:6" x14ac:dyDescent="0.25">
      <c r="A3014" t="s">
        <v>1522</v>
      </c>
      <c r="B3014" t="s">
        <v>4120</v>
      </c>
      <c r="C3014" t="s">
        <v>2440</v>
      </c>
      <c r="D3014" t="str">
        <f>HYPERLINK("http://service.sap.com/sap/support/notes/1627177","1627177")</f>
        <v>1627177</v>
      </c>
      <c r="E3014">
        <v>1</v>
      </c>
      <c r="F3014" t="s">
        <v>4123</v>
      </c>
    </row>
    <row r="3015" spans="1:6" x14ac:dyDescent="0.25">
      <c r="A3015" t="s">
        <v>1522</v>
      </c>
      <c r="B3015" t="s">
        <v>4120</v>
      </c>
      <c r="C3015" t="s">
        <v>2440</v>
      </c>
      <c r="D3015" t="str">
        <f>HYPERLINK("http://service.sap.com/sap/support/notes/1628564","1628564")</f>
        <v>1628564</v>
      </c>
      <c r="E3015">
        <v>1</v>
      </c>
      <c r="F3015" t="s">
        <v>4124</v>
      </c>
    </row>
    <row r="3016" spans="1:6" x14ac:dyDescent="0.25">
      <c r="A3016" t="s">
        <v>1522</v>
      </c>
      <c r="B3016" t="s">
        <v>4120</v>
      </c>
      <c r="C3016" t="s">
        <v>2440</v>
      </c>
      <c r="D3016" t="str">
        <f>HYPERLINK("http://service.sap.com/sap/support/notes/1631271","1631271")</f>
        <v>1631271</v>
      </c>
      <c r="E3016">
        <v>1</v>
      </c>
      <c r="F3016" t="s">
        <v>4125</v>
      </c>
    </row>
    <row r="3017" spans="1:6" x14ac:dyDescent="0.25">
      <c r="A3017" t="s">
        <v>1522</v>
      </c>
      <c r="B3017" t="s">
        <v>4120</v>
      </c>
      <c r="C3017" t="s">
        <v>2440</v>
      </c>
      <c r="D3017" t="str">
        <f>HYPERLINK("http://service.sap.com/sap/support/notes/1643835","1643835")</f>
        <v>1643835</v>
      </c>
      <c r="E3017">
        <v>2</v>
      </c>
      <c r="F3017" t="s">
        <v>4126</v>
      </c>
    </row>
    <row r="3018" spans="1:6" x14ac:dyDescent="0.25">
      <c r="A3018" t="s">
        <v>1522</v>
      </c>
      <c r="B3018" t="s">
        <v>4120</v>
      </c>
      <c r="C3018" t="s">
        <v>2440</v>
      </c>
      <c r="D3018" t="str">
        <f>HYPERLINK("http://service.sap.com/sap/support/notes/1645991","1645991")</f>
        <v>1645991</v>
      </c>
      <c r="E3018">
        <v>4</v>
      </c>
      <c r="F3018" t="s">
        <v>4127</v>
      </c>
    </row>
    <row r="3019" spans="1:6" x14ac:dyDescent="0.25">
      <c r="A3019" t="s">
        <v>1522</v>
      </c>
      <c r="B3019" t="s">
        <v>4120</v>
      </c>
      <c r="C3019" t="s">
        <v>2440</v>
      </c>
      <c r="D3019" t="str">
        <f>HYPERLINK("http://service.sap.com/sap/support/notes/1646978","1646978")</f>
        <v>1646978</v>
      </c>
      <c r="E3019">
        <v>2</v>
      </c>
      <c r="F3019" t="s">
        <v>4128</v>
      </c>
    </row>
    <row r="3020" spans="1:6" x14ac:dyDescent="0.25">
      <c r="A3020" t="s">
        <v>1522</v>
      </c>
      <c r="B3020" t="s">
        <v>4120</v>
      </c>
      <c r="C3020" t="s">
        <v>2440</v>
      </c>
      <c r="D3020" t="str">
        <f>HYPERLINK("http://service.sap.com/sap/support/notes/1647351","1647351")</f>
        <v>1647351</v>
      </c>
      <c r="E3020">
        <v>3</v>
      </c>
      <c r="F3020" t="s">
        <v>4129</v>
      </c>
    </row>
    <row r="3021" spans="1:6" x14ac:dyDescent="0.25">
      <c r="A3021" t="s">
        <v>1522</v>
      </c>
      <c r="B3021" t="s">
        <v>4120</v>
      </c>
      <c r="C3021" t="s">
        <v>2440</v>
      </c>
      <c r="D3021" t="str">
        <f>HYPERLINK("http://service.sap.com/sap/support/notes/1649353","1649353")</f>
        <v>1649353</v>
      </c>
      <c r="E3021">
        <v>3</v>
      </c>
      <c r="F3021" t="s">
        <v>4130</v>
      </c>
    </row>
    <row r="3022" spans="1:6" x14ac:dyDescent="0.25">
      <c r="A3022" t="s">
        <v>1522</v>
      </c>
      <c r="B3022" t="s">
        <v>4120</v>
      </c>
      <c r="C3022" t="s">
        <v>2440</v>
      </c>
      <c r="D3022" t="str">
        <f>HYPERLINK("http://service.sap.com/sap/support/notes/1654666","1654666")</f>
        <v>1654666</v>
      </c>
      <c r="E3022">
        <v>3</v>
      </c>
      <c r="F3022" t="s">
        <v>4131</v>
      </c>
    </row>
    <row r="3023" spans="1:6" x14ac:dyDescent="0.25">
      <c r="A3023" t="s">
        <v>1522</v>
      </c>
      <c r="B3023" t="s">
        <v>4132</v>
      </c>
      <c r="C3023" t="s">
        <v>4133</v>
      </c>
      <c r="D3023" t="str">
        <f>HYPERLINK("http://service.sap.com/sap/support/notes/1608188","1608188")</f>
        <v>1608188</v>
      </c>
      <c r="E3023">
        <v>2</v>
      </c>
      <c r="F3023" t="s">
        <v>4134</v>
      </c>
    </row>
    <row r="3024" spans="1:6" x14ac:dyDescent="0.25">
      <c r="A3024" t="s">
        <v>1522</v>
      </c>
      <c r="B3024" t="s">
        <v>4132</v>
      </c>
      <c r="C3024" t="s">
        <v>4133</v>
      </c>
      <c r="D3024" t="str">
        <f>HYPERLINK("http://service.sap.com/sap/support/notes/1649417","1649417")</f>
        <v>1649417</v>
      </c>
      <c r="E3024">
        <v>3</v>
      </c>
      <c r="F3024" t="s">
        <v>4135</v>
      </c>
    </row>
    <row r="3025" spans="1:6" x14ac:dyDescent="0.25">
      <c r="A3025" t="s">
        <v>1522</v>
      </c>
      <c r="B3025" t="s">
        <v>4132</v>
      </c>
      <c r="C3025" t="s">
        <v>4133</v>
      </c>
      <c r="D3025" t="str">
        <f>HYPERLINK("http://service.sap.com/sap/support/notes/1662164","1662164")</f>
        <v>1662164</v>
      </c>
      <c r="E3025">
        <v>1</v>
      </c>
      <c r="F3025" t="s">
        <v>4136</v>
      </c>
    </row>
    <row r="3026" spans="1:6" x14ac:dyDescent="0.25">
      <c r="A3026" t="s">
        <v>1522</v>
      </c>
      <c r="B3026" t="s">
        <v>896</v>
      </c>
      <c r="C3026" t="s">
        <v>897</v>
      </c>
      <c r="D3026" t="str">
        <f>HYPERLINK("http://service.sap.com/sap/support/notes/1637520","1637520")</f>
        <v>1637520</v>
      </c>
      <c r="E3026">
        <v>4</v>
      </c>
      <c r="F3026" t="s">
        <v>4137</v>
      </c>
    </row>
    <row r="3027" spans="1:6" x14ac:dyDescent="0.25">
      <c r="A3027" t="s">
        <v>1522</v>
      </c>
      <c r="B3027" t="s">
        <v>896</v>
      </c>
      <c r="C3027" t="s">
        <v>897</v>
      </c>
      <c r="D3027" t="str">
        <f>HYPERLINK("http://service.sap.com/sap/support/notes/1643215","1643215")</f>
        <v>1643215</v>
      </c>
      <c r="E3027">
        <v>1</v>
      </c>
      <c r="F3027" t="s">
        <v>4138</v>
      </c>
    </row>
    <row r="3028" spans="1:6" x14ac:dyDescent="0.25">
      <c r="A3028" t="s">
        <v>1522</v>
      </c>
      <c r="B3028" t="s">
        <v>4139</v>
      </c>
      <c r="C3028" t="s">
        <v>4140</v>
      </c>
      <c r="D3028" t="str">
        <f>HYPERLINK("http://service.sap.com/sap/support/notes/1629594","1629594")</f>
        <v>1629594</v>
      </c>
      <c r="E3028">
        <v>1</v>
      </c>
      <c r="F3028" t="s">
        <v>4141</v>
      </c>
    </row>
    <row r="3029" spans="1:6" x14ac:dyDescent="0.25">
      <c r="A3029" t="s">
        <v>1522</v>
      </c>
      <c r="B3029" t="s">
        <v>4139</v>
      </c>
      <c r="C3029" t="s">
        <v>4140</v>
      </c>
      <c r="D3029" t="str">
        <f>HYPERLINK("http://service.sap.com/sap/support/notes/1652073","1652073")</f>
        <v>1652073</v>
      </c>
      <c r="E3029">
        <v>2</v>
      </c>
      <c r="F3029" t="s">
        <v>4142</v>
      </c>
    </row>
    <row r="3030" spans="1:6" x14ac:dyDescent="0.25">
      <c r="A3030" t="s">
        <v>1522</v>
      </c>
      <c r="B3030" t="s">
        <v>4139</v>
      </c>
      <c r="C3030" t="s">
        <v>4140</v>
      </c>
      <c r="D3030" t="str">
        <f>HYPERLINK("http://service.sap.com/sap/support/notes/1655665","1655665")</f>
        <v>1655665</v>
      </c>
      <c r="E3030">
        <v>1</v>
      </c>
      <c r="F3030" t="s">
        <v>4143</v>
      </c>
    </row>
    <row r="3031" spans="1:6" x14ac:dyDescent="0.25">
      <c r="A3031" t="s">
        <v>1522</v>
      </c>
      <c r="B3031" t="s">
        <v>4139</v>
      </c>
      <c r="C3031" t="s">
        <v>4140</v>
      </c>
      <c r="D3031" t="str">
        <f>HYPERLINK("http://service.sap.com/sap/support/notes/1672612","1672612")</f>
        <v>1672612</v>
      </c>
      <c r="E3031">
        <v>1</v>
      </c>
      <c r="F3031" t="s">
        <v>4144</v>
      </c>
    </row>
    <row r="3032" spans="1:6" x14ac:dyDescent="0.25">
      <c r="A3032" t="s">
        <v>1522</v>
      </c>
      <c r="B3032" t="s">
        <v>4145</v>
      </c>
      <c r="C3032" t="s">
        <v>4146</v>
      </c>
      <c r="D3032" t="str">
        <f>HYPERLINK("http://service.sap.com/sap/support/notes/1632262","1632262")</f>
        <v>1632262</v>
      </c>
      <c r="E3032">
        <v>4</v>
      </c>
      <c r="F3032" t="s">
        <v>4147</v>
      </c>
    </row>
    <row r="3033" spans="1:6" x14ac:dyDescent="0.25">
      <c r="A3033" t="s">
        <v>1522</v>
      </c>
      <c r="B3033" t="s">
        <v>4145</v>
      </c>
      <c r="C3033" t="s">
        <v>4146</v>
      </c>
      <c r="D3033" t="str">
        <f>HYPERLINK("http://service.sap.com/sap/support/notes/1640384","1640384")</f>
        <v>1640384</v>
      </c>
      <c r="E3033">
        <v>1</v>
      </c>
      <c r="F3033" t="s">
        <v>4148</v>
      </c>
    </row>
    <row r="3034" spans="1:6" x14ac:dyDescent="0.25">
      <c r="A3034" t="s">
        <v>1522</v>
      </c>
      <c r="B3034" t="s">
        <v>4149</v>
      </c>
      <c r="C3034" t="s">
        <v>4150</v>
      </c>
      <c r="D3034" t="str">
        <f>HYPERLINK("http://service.sap.com/sap/support/notes/1643655","1643655")</f>
        <v>1643655</v>
      </c>
      <c r="E3034">
        <v>4</v>
      </c>
      <c r="F3034" t="s">
        <v>4151</v>
      </c>
    </row>
    <row r="3035" spans="1:6" x14ac:dyDescent="0.25">
      <c r="A3035" t="s">
        <v>1522</v>
      </c>
      <c r="B3035" t="s">
        <v>4152</v>
      </c>
      <c r="C3035" t="s">
        <v>4153</v>
      </c>
      <c r="D3035" t="str">
        <f>HYPERLINK("http://service.sap.com/sap/support/notes/1623695","1623695")</f>
        <v>1623695</v>
      </c>
      <c r="E3035">
        <v>1</v>
      </c>
      <c r="F3035" t="s">
        <v>4154</v>
      </c>
    </row>
    <row r="3036" spans="1:6" x14ac:dyDescent="0.25">
      <c r="A3036" t="s">
        <v>1522</v>
      </c>
      <c r="B3036" t="s">
        <v>4152</v>
      </c>
      <c r="C3036" t="s">
        <v>4153</v>
      </c>
      <c r="D3036" t="str">
        <f>HYPERLINK("http://service.sap.com/sap/support/notes/1628047","1628047")</f>
        <v>1628047</v>
      </c>
      <c r="E3036">
        <v>1</v>
      </c>
      <c r="F3036" t="s">
        <v>4155</v>
      </c>
    </row>
    <row r="3037" spans="1:6" x14ac:dyDescent="0.25">
      <c r="A3037" t="s">
        <v>1522</v>
      </c>
      <c r="B3037" t="s">
        <v>4152</v>
      </c>
      <c r="C3037" t="s">
        <v>4153</v>
      </c>
      <c r="D3037" t="str">
        <f>HYPERLINK("http://service.sap.com/sap/support/notes/1663490","1663490")</f>
        <v>1663490</v>
      </c>
      <c r="E3037">
        <v>2</v>
      </c>
      <c r="F3037" t="s">
        <v>4156</v>
      </c>
    </row>
    <row r="3038" spans="1:6" x14ac:dyDescent="0.25">
      <c r="A3038" t="s">
        <v>1522</v>
      </c>
      <c r="B3038" t="s">
        <v>899</v>
      </c>
      <c r="C3038" t="s">
        <v>900</v>
      </c>
      <c r="D3038" t="str">
        <f>HYPERLINK("http://service.sap.com/sap/support/notes/1562131","1562131")</f>
        <v>1562131</v>
      </c>
      <c r="E3038">
        <v>4</v>
      </c>
      <c r="F3038" t="s">
        <v>4157</v>
      </c>
    </row>
    <row r="3039" spans="1:6" x14ac:dyDescent="0.25">
      <c r="A3039" t="s">
        <v>1522</v>
      </c>
      <c r="B3039" t="s">
        <v>899</v>
      </c>
      <c r="C3039" t="s">
        <v>900</v>
      </c>
      <c r="D3039" t="str">
        <f>HYPERLINK("http://service.sap.com/sap/support/notes/1620524","1620524")</f>
        <v>1620524</v>
      </c>
      <c r="E3039">
        <v>4</v>
      </c>
      <c r="F3039" t="s">
        <v>4158</v>
      </c>
    </row>
    <row r="3040" spans="1:6" x14ac:dyDescent="0.25">
      <c r="A3040" t="s">
        <v>1522</v>
      </c>
      <c r="B3040" t="s">
        <v>899</v>
      </c>
      <c r="C3040" t="s">
        <v>900</v>
      </c>
      <c r="D3040" t="str">
        <f>HYPERLINK("http://service.sap.com/sap/support/notes/1633254","1633254")</f>
        <v>1633254</v>
      </c>
      <c r="E3040">
        <v>2</v>
      </c>
      <c r="F3040" t="s">
        <v>4159</v>
      </c>
    </row>
    <row r="3041" spans="1:6" x14ac:dyDescent="0.25">
      <c r="A3041" t="s">
        <v>1522</v>
      </c>
      <c r="B3041" t="s">
        <v>899</v>
      </c>
      <c r="C3041" t="s">
        <v>900</v>
      </c>
      <c r="D3041" t="str">
        <f>HYPERLINK("http://service.sap.com/sap/support/notes/1636489","1636489")</f>
        <v>1636489</v>
      </c>
      <c r="E3041">
        <v>1</v>
      </c>
      <c r="F3041" t="s">
        <v>4160</v>
      </c>
    </row>
    <row r="3042" spans="1:6" x14ac:dyDescent="0.25">
      <c r="A3042" t="s">
        <v>1522</v>
      </c>
      <c r="B3042" t="s">
        <v>899</v>
      </c>
      <c r="C3042" t="s">
        <v>900</v>
      </c>
      <c r="D3042" t="str">
        <f>HYPERLINK("http://service.sap.com/sap/support/notes/1655357","1655357")</f>
        <v>1655357</v>
      </c>
      <c r="E3042">
        <v>2</v>
      </c>
      <c r="F3042" t="s">
        <v>4161</v>
      </c>
    </row>
    <row r="3043" spans="1:6" x14ac:dyDescent="0.25">
      <c r="A3043" t="s">
        <v>1522</v>
      </c>
      <c r="B3043" t="s">
        <v>906</v>
      </c>
      <c r="C3043" t="s">
        <v>907</v>
      </c>
      <c r="D3043" t="str">
        <f>HYPERLINK("http://service.sap.com/sap/support/notes/679641","679641")</f>
        <v>679641</v>
      </c>
      <c r="E3043">
        <v>2</v>
      </c>
      <c r="F3043" t="s">
        <v>4162</v>
      </c>
    </row>
    <row r="3044" spans="1:6" x14ac:dyDescent="0.25">
      <c r="A3044" t="s">
        <v>1522</v>
      </c>
      <c r="B3044" t="s">
        <v>906</v>
      </c>
      <c r="C3044" t="s">
        <v>907</v>
      </c>
      <c r="D3044" t="str">
        <f>HYPERLINK("http://service.sap.com/sap/support/notes/1587439","1587439")</f>
        <v>1587439</v>
      </c>
      <c r="E3044">
        <v>3</v>
      </c>
      <c r="F3044" t="s">
        <v>4163</v>
      </c>
    </row>
    <row r="3045" spans="1:6" x14ac:dyDescent="0.25">
      <c r="A3045" t="s">
        <v>1522</v>
      </c>
      <c r="B3045" t="s">
        <v>906</v>
      </c>
      <c r="C3045" t="s">
        <v>907</v>
      </c>
      <c r="D3045" t="str">
        <f>HYPERLINK("http://service.sap.com/sap/support/notes/1625451","1625451")</f>
        <v>1625451</v>
      </c>
      <c r="E3045">
        <v>2</v>
      </c>
      <c r="F3045" t="s">
        <v>4164</v>
      </c>
    </row>
    <row r="3046" spans="1:6" x14ac:dyDescent="0.25">
      <c r="A3046" t="s">
        <v>1522</v>
      </c>
      <c r="B3046" t="s">
        <v>906</v>
      </c>
      <c r="C3046" t="s">
        <v>907</v>
      </c>
      <c r="D3046" t="str">
        <f>HYPERLINK("http://service.sap.com/sap/support/notes/1640938","1640938")</f>
        <v>1640938</v>
      </c>
      <c r="E3046">
        <v>4</v>
      </c>
      <c r="F3046" t="s">
        <v>4165</v>
      </c>
    </row>
    <row r="3047" spans="1:6" x14ac:dyDescent="0.25">
      <c r="A3047" t="s">
        <v>1522</v>
      </c>
      <c r="B3047" t="s">
        <v>906</v>
      </c>
      <c r="C3047" t="s">
        <v>907</v>
      </c>
      <c r="D3047" t="str">
        <f>HYPERLINK("http://service.sap.com/sap/support/notes/1647436","1647436")</f>
        <v>1647436</v>
      </c>
      <c r="E3047">
        <v>2</v>
      </c>
      <c r="F3047" t="s">
        <v>4166</v>
      </c>
    </row>
    <row r="3048" spans="1:6" x14ac:dyDescent="0.25">
      <c r="A3048" t="s">
        <v>1522</v>
      </c>
      <c r="B3048" t="s">
        <v>906</v>
      </c>
      <c r="C3048" t="s">
        <v>907</v>
      </c>
      <c r="D3048" t="str">
        <f>HYPERLINK("http://service.sap.com/sap/support/notes/1648624","1648624")</f>
        <v>1648624</v>
      </c>
      <c r="E3048">
        <v>1</v>
      </c>
      <c r="F3048" t="s">
        <v>4167</v>
      </c>
    </row>
    <row r="3049" spans="1:6" x14ac:dyDescent="0.25">
      <c r="A3049" t="s">
        <v>1522</v>
      </c>
      <c r="B3049" t="s">
        <v>906</v>
      </c>
      <c r="C3049" t="s">
        <v>907</v>
      </c>
      <c r="D3049" t="str">
        <f>HYPERLINK("http://service.sap.com/sap/support/notes/1649691","1649691")</f>
        <v>1649691</v>
      </c>
      <c r="E3049">
        <v>2</v>
      </c>
      <c r="F3049" t="s">
        <v>4168</v>
      </c>
    </row>
    <row r="3050" spans="1:6" x14ac:dyDescent="0.25">
      <c r="A3050" t="s">
        <v>1522</v>
      </c>
      <c r="B3050" t="s">
        <v>906</v>
      </c>
      <c r="C3050" t="s">
        <v>907</v>
      </c>
      <c r="D3050" t="str">
        <f>HYPERLINK("http://service.sap.com/sap/support/notes/1651437","1651437")</f>
        <v>1651437</v>
      </c>
      <c r="E3050">
        <v>3</v>
      </c>
      <c r="F3050" t="s">
        <v>4169</v>
      </c>
    </row>
    <row r="3051" spans="1:6" x14ac:dyDescent="0.25">
      <c r="A3051" t="s">
        <v>1522</v>
      </c>
      <c r="B3051" t="s">
        <v>906</v>
      </c>
      <c r="C3051" t="s">
        <v>907</v>
      </c>
      <c r="D3051" t="str">
        <f>HYPERLINK("http://service.sap.com/sap/support/notes/1668535","1668535")</f>
        <v>1668535</v>
      </c>
      <c r="E3051">
        <v>2</v>
      </c>
      <c r="F3051" t="s">
        <v>4170</v>
      </c>
    </row>
    <row r="3052" spans="1:6" x14ac:dyDescent="0.25">
      <c r="A3052" t="s">
        <v>1522</v>
      </c>
      <c r="B3052" t="s">
        <v>4171</v>
      </c>
      <c r="C3052" t="s">
        <v>4172</v>
      </c>
      <c r="D3052" t="str">
        <f>HYPERLINK("http://service.sap.com/sap/support/notes/1596242","1596242")</f>
        <v>1596242</v>
      </c>
      <c r="E3052">
        <v>3</v>
      </c>
      <c r="F3052" t="s">
        <v>4173</v>
      </c>
    </row>
    <row r="3053" spans="1:6" x14ac:dyDescent="0.25">
      <c r="A3053" t="s">
        <v>1522</v>
      </c>
      <c r="B3053" t="s">
        <v>909</v>
      </c>
      <c r="C3053" t="s">
        <v>869</v>
      </c>
      <c r="D3053" t="str">
        <f>HYPERLINK("http://service.sap.com/sap/support/notes/1287659","1287659")</f>
        <v>1287659</v>
      </c>
      <c r="E3053">
        <v>1</v>
      </c>
      <c r="F3053" t="s">
        <v>4174</v>
      </c>
    </row>
    <row r="3054" spans="1:6" x14ac:dyDescent="0.25">
      <c r="A3054" t="s">
        <v>1522</v>
      </c>
      <c r="B3054" t="s">
        <v>909</v>
      </c>
      <c r="C3054" t="s">
        <v>869</v>
      </c>
      <c r="D3054" t="str">
        <f>HYPERLINK("http://service.sap.com/sap/support/notes/1624059","1624059")</f>
        <v>1624059</v>
      </c>
      <c r="E3054">
        <v>4</v>
      </c>
      <c r="F3054" t="s">
        <v>4175</v>
      </c>
    </row>
    <row r="3055" spans="1:6" x14ac:dyDescent="0.25">
      <c r="A3055" t="s">
        <v>1522</v>
      </c>
      <c r="B3055" t="s">
        <v>909</v>
      </c>
      <c r="C3055" t="s">
        <v>869</v>
      </c>
      <c r="D3055" t="str">
        <f>HYPERLINK("http://service.sap.com/sap/support/notes/1625212","1625212")</f>
        <v>1625212</v>
      </c>
      <c r="E3055">
        <v>2</v>
      </c>
      <c r="F3055" t="s">
        <v>4176</v>
      </c>
    </row>
    <row r="3056" spans="1:6" x14ac:dyDescent="0.25">
      <c r="A3056" t="s">
        <v>1522</v>
      </c>
      <c r="B3056" t="s">
        <v>909</v>
      </c>
      <c r="C3056" t="s">
        <v>869</v>
      </c>
      <c r="D3056" t="str">
        <f>HYPERLINK("http://service.sap.com/sap/support/notes/1627756","1627756")</f>
        <v>1627756</v>
      </c>
      <c r="E3056">
        <v>2</v>
      </c>
      <c r="F3056" t="s">
        <v>4177</v>
      </c>
    </row>
    <row r="3057" spans="1:6" x14ac:dyDescent="0.25">
      <c r="A3057" t="s">
        <v>1522</v>
      </c>
      <c r="B3057" t="s">
        <v>909</v>
      </c>
      <c r="C3057" t="s">
        <v>869</v>
      </c>
      <c r="D3057" t="str">
        <f>HYPERLINK("http://service.sap.com/sap/support/notes/1630767","1630767")</f>
        <v>1630767</v>
      </c>
      <c r="E3057">
        <v>6</v>
      </c>
      <c r="F3057" t="s">
        <v>4178</v>
      </c>
    </row>
    <row r="3058" spans="1:6" x14ac:dyDescent="0.25">
      <c r="A3058" t="s">
        <v>1522</v>
      </c>
      <c r="B3058" t="s">
        <v>909</v>
      </c>
      <c r="C3058" t="s">
        <v>869</v>
      </c>
      <c r="D3058" t="str">
        <f>HYPERLINK("http://service.sap.com/sap/support/notes/1638789","1638789")</f>
        <v>1638789</v>
      </c>
      <c r="E3058">
        <v>1</v>
      </c>
      <c r="F3058" t="s">
        <v>4179</v>
      </c>
    </row>
    <row r="3059" spans="1:6" x14ac:dyDescent="0.25">
      <c r="A3059" t="s">
        <v>1522</v>
      </c>
      <c r="B3059" t="s">
        <v>909</v>
      </c>
      <c r="C3059" t="s">
        <v>869</v>
      </c>
      <c r="D3059" t="str">
        <f>HYPERLINK("http://service.sap.com/sap/support/notes/1639337","1639337")</f>
        <v>1639337</v>
      </c>
      <c r="E3059">
        <v>2</v>
      </c>
      <c r="F3059" t="s">
        <v>4180</v>
      </c>
    </row>
    <row r="3060" spans="1:6" x14ac:dyDescent="0.25">
      <c r="A3060" t="s">
        <v>1522</v>
      </c>
      <c r="B3060" t="s">
        <v>909</v>
      </c>
      <c r="C3060" t="s">
        <v>869</v>
      </c>
      <c r="D3060" t="str">
        <f>HYPERLINK("http://service.sap.com/sap/support/notes/1642144","1642144")</f>
        <v>1642144</v>
      </c>
      <c r="E3060">
        <v>3</v>
      </c>
      <c r="F3060" t="s">
        <v>4181</v>
      </c>
    </row>
    <row r="3061" spans="1:6" x14ac:dyDescent="0.25">
      <c r="A3061" t="s">
        <v>1522</v>
      </c>
      <c r="B3061" t="s">
        <v>909</v>
      </c>
      <c r="C3061" t="s">
        <v>869</v>
      </c>
      <c r="D3061" t="str">
        <f>HYPERLINK("http://service.sap.com/sap/support/notes/1642555","1642555")</f>
        <v>1642555</v>
      </c>
      <c r="E3061">
        <v>1</v>
      </c>
      <c r="F3061" t="s">
        <v>4182</v>
      </c>
    </row>
    <row r="3062" spans="1:6" x14ac:dyDescent="0.25">
      <c r="A3062" t="s">
        <v>1522</v>
      </c>
      <c r="B3062" t="s">
        <v>909</v>
      </c>
      <c r="C3062" t="s">
        <v>869</v>
      </c>
      <c r="D3062" t="str">
        <f>HYPERLINK("http://service.sap.com/sap/support/notes/1643996","1643996")</f>
        <v>1643996</v>
      </c>
      <c r="E3062">
        <v>1</v>
      </c>
      <c r="F3062" t="s">
        <v>4183</v>
      </c>
    </row>
    <row r="3063" spans="1:6" x14ac:dyDescent="0.25">
      <c r="A3063" t="s">
        <v>1522</v>
      </c>
      <c r="B3063" t="s">
        <v>909</v>
      </c>
      <c r="C3063" t="s">
        <v>869</v>
      </c>
      <c r="D3063" t="str">
        <f>HYPERLINK("http://service.sap.com/sap/support/notes/1645971","1645971")</f>
        <v>1645971</v>
      </c>
      <c r="E3063">
        <v>3</v>
      </c>
      <c r="F3063" t="s">
        <v>4184</v>
      </c>
    </row>
    <row r="3064" spans="1:6" x14ac:dyDescent="0.25">
      <c r="A3064" t="s">
        <v>1522</v>
      </c>
      <c r="B3064" t="s">
        <v>909</v>
      </c>
      <c r="C3064" t="s">
        <v>869</v>
      </c>
      <c r="D3064" t="str">
        <f>HYPERLINK("http://service.sap.com/sap/support/notes/1649186","1649186")</f>
        <v>1649186</v>
      </c>
      <c r="E3064">
        <v>3</v>
      </c>
      <c r="F3064" t="s">
        <v>4185</v>
      </c>
    </row>
    <row r="3065" spans="1:6" x14ac:dyDescent="0.25">
      <c r="A3065" t="s">
        <v>1522</v>
      </c>
      <c r="B3065" t="s">
        <v>909</v>
      </c>
      <c r="C3065" t="s">
        <v>869</v>
      </c>
      <c r="D3065" t="str">
        <f>HYPERLINK("http://service.sap.com/sap/support/notes/1650101","1650101")</f>
        <v>1650101</v>
      </c>
      <c r="E3065">
        <v>1</v>
      </c>
      <c r="F3065" t="s">
        <v>4186</v>
      </c>
    </row>
    <row r="3066" spans="1:6" x14ac:dyDescent="0.25">
      <c r="A3066" t="s">
        <v>1522</v>
      </c>
      <c r="B3066" t="s">
        <v>909</v>
      </c>
      <c r="C3066" t="s">
        <v>869</v>
      </c>
      <c r="D3066" t="str">
        <f>HYPERLINK("http://service.sap.com/sap/support/notes/1650162","1650162")</f>
        <v>1650162</v>
      </c>
      <c r="E3066">
        <v>2</v>
      </c>
      <c r="F3066" t="s">
        <v>4187</v>
      </c>
    </row>
    <row r="3067" spans="1:6" x14ac:dyDescent="0.25">
      <c r="A3067" t="s">
        <v>1522</v>
      </c>
      <c r="B3067" t="s">
        <v>909</v>
      </c>
      <c r="C3067" t="s">
        <v>869</v>
      </c>
      <c r="D3067" t="str">
        <f>HYPERLINK("http://service.sap.com/sap/support/notes/1651190","1651190")</f>
        <v>1651190</v>
      </c>
      <c r="E3067">
        <v>1</v>
      </c>
      <c r="F3067" t="s">
        <v>4188</v>
      </c>
    </row>
    <row r="3068" spans="1:6" x14ac:dyDescent="0.25">
      <c r="A3068" t="s">
        <v>1522</v>
      </c>
      <c r="B3068" t="s">
        <v>909</v>
      </c>
      <c r="C3068" t="s">
        <v>869</v>
      </c>
      <c r="D3068" t="str">
        <f>HYPERLINK("http://service.sap.com/sap/support/notes/1657004","1657004")</f>
        <v>1657004</v>
      </c>
      <c r="E3068">
        <v>3</v>
      </c>
      <c r="F3068" t="s">
        <v>4189</v>
      </c>
    </row>
    <row r="3069" spans="1:6" x14ac:dyDescent="0.25">
      <c r="A3069" t="s">
        <v>1522</v>
      </c>
      <c r="B3069" t="s">
        <v>909</v>
      </c>
      <c r="C3069" t="s">
        <v>869</v>
      </c>
      <c r="D3069" t="str">
        <f>HYPERLINK("http://service.sap.com/sap/support/notes/1658546","1658546")</f>
        <v>1658546</v>
      </c>
      <c r="E3069">
        <v>4</v>
      </c>
      <c r="F3069" t="s">
        <v>4190</v>
      </c>
    </row>
    <row r="3070" spans="1:6" x14ac:dyDescent="0.25">
      <c r="A3070" t="s">
        <v>1522</v>
      </c>
      <c r="B3070" t="s">
        <v>909</v>
      </c>
      <c r="C3070" t="s">
        <v>869</v>
      </c>
      <c r="D3070" t="str">
        <f>HYPERLINK("http://service.sap.com/sap/support/notes/1659870","1659870")</f>
        <v>1659870</v>
      </c>
      <c r="E3070">
        <v>1</v>
      </c>
      <c r="F3070" t="s">
        <v>4191</v>
      </c>
    </row>
    <row r="3071" spans="1:6" x14ac:dyDescent="0.25">
      <c r="A3071" t="s">
        <v>1522</v>
      </c>
      <c r="B3071" t="s">
        <v>909</v>
      </c>
      <c r="C3071" t="s">
        <v>869</v>
      </c>
      <c r="D3071" t="str">
        <f>HYPERLINK("http://service.sap.com/sap/support/notes/1660474","1660474")</f>
        <v>1660474</v>
      </c>
      <c r="E3071">
        <v>1</v>
      </c>
      <c r="F3071" t="s">
        <v>4192</v>
      </c>
    </row>
    <row r="3072" spans="1:6" x14ac:dyDescent="0.25">
      <c r="A3072" t="s">
        <v>1522</v>
      </c>
      <c r="B3072" t="s">
        <v>909</v>
      </c>
      <c r="C3072" t="s">
        <v>869</v>
      </c>
      <c r="D3072" t="str">
        <f>HYPERLINK("http://service.sap.com/sap/support/notes/1665160","1665160")</f>
        <v>1665160</v>
      </c>
      <c r="E3072">
        <v>2</v>
      </c>
      <c r="F3072" t="s">
        <v>4193</v>
      </c>
    </row>
    <row r="3073" spans="1:6" x14ac:dyDescent="0.25">
      <c r="A3073" t="s">
        <v>1522</v>
      </c>
      <c r="B3073" t="s">
        <v>4194</v>
      </c>
      <c r="C3073" t="s">
        <v>4195</v>
      </c>
      <c r="D3073" t="str">
        <f>HYPERLINK("http://service.sap.com/sap/support/notes/1591312","1591312")</f>
        <v>1591312</v>
      </c>
      <c r="E3073">
        <v>3</v>
      </c>
      <c r="F3073" t="s">
        <v>4196</v>
      </c>
    </row>
    <row r="3074" spans="1:6" x14ac:dyDescent="0.25">
      <c r="A3074" t="s">
        <v>1522</v>
      </c>
      <c r="B3074" t="s">
        <v>4194</v>
      </c>
      <c r="C3074" t="s">
        <v>4195</v>
      </c>
      <c r="D3074" t="str">
        <f>HYPERLINK("http://service.sap.com/sap/support/notes/1634397","1634397")</f>
        <v>1634397</v>
      </c>
      <c r="E3074">
        <v>1</v>
      </c>
      <c r="F3074" t="s">
        <v>4197</v>
      </c>
    </row>
    <row r="3075" spans="1:6" x14ac:dyDescent="0.25">
      <c r="A3075" t="s">
        <v>1522</v>
      </c>
      <c r="B3075" t="s">
        <v>4194</v>
      </c>
      <c r="C3075" t="s">
        <v>4195</v>
      </c>
      <c r="D3075" t="str">
        <f>HYPERLINK("http://service.sap.com/sap/support/notes/1652287","1652287")</f>
        <v>1652287</v>
      </c>
      <c r="E3075">
        <v>9</v>
      </c>
      <c r="F3075" t="s">
        <v>4198</v>
      </c>
    </row>
    <row r="3076" spans="1:6" x14ac:dyDescent="0.25">
      <c r="A3076" t="s">
        <v>1522</v>
      </c>
      <c r="B3076" t="s">
        <v>4194</v>
      </c>
      <c r="C3076" t="s">
        <v>4195</v>
      </c>
      <c r="D3076" t="str">
        <f>HYPERLINK("http://service.sap.com/sap/support/notes/1652547","1652547")</f>
        <v>1652547</v>
      </c>
      <c r="E3076">
        <v>2</v>
      </c>
      <c r="F3076" t="s">
        <v>4199</v>
      </c>
    </row>
    <row r="3077" spans="1:6" x14ac:dyDescent="0.25">
      <c r="A3077" t="s">
        <v>1522</v>
      </c>
      <c r="B3077" t="s">
        <v>920</v>
      </c>
      <c r="C3077" t="s">
        <v>921</v>
      </c>
      <c r="D3077" t="str">
        <f>HYPERLINK("http://service.sap.com/sap/support/notes/1387559","1387559")</f>
        <v>1387559</v>
      </c>
      <c r="E3077">
        <v>8</v>
      </c>
      <c r="F3077" t="s">
        <v>4200</v>
      </c>
    </row>
    <row r="3078" spans="1:6" x14ac:dyDescent="0.25">
      <c r="A3078" t="s">
        <v>1522</v>
      </c>
      <c r="B3078" t="s">
        <v>920</v>
      </c>
      <c r="C3078" t="s">
        <v>921</v>
      </c>
      <c r="D3078" t="str">
        <f>HYPERLINK("http://service.sap.com/sap/support/notes/1617616","1617616")</f>
        <v>1617616</v>
      </c>
      <c r="E3078">
        <v>4</v>
      </c>
      <c r="F3078" t="s">
        <v>4201</v>
      </c>
    </row>
    <row r="3079" spans="1:6" x14ac:dyDescent="0.25">
      <c r="A3079" t="s">
        <v>1522</v>
      </c>
      <c r="B3079" t="s">
        <v>920</v>
      </c>
      <c r="C3079" t="s">
        <v>921</v>
      </c>
      <c r="D3079" t="str">
        <f>HYPERLINK("http://service.sap.com/sap/support/notes/1633091","1633091")</f>
        <v>1633091</v>
      </c>
      <c r="E3079">
        <v>3</v>
      </c>
      <c r="F3079" t="s">
        <v>4202</v>
      </c>
    </row>
    <row r="3080" spans="1:6" x14ac:dyDescent="0.25">
      <c r="A3080" t="s">
        <v>1522</v>
      </c>
      <c r="B3080" t="s">
        <v>4203</v>
      </c>
      <c r="C3080" t="s">
        <v>4204</v>
      </c>
      <c r="D3080" t="str">
        <f>HYPERLINK("http://service.sap.com/sap/support/notes/1574311","1574311")</f>
        <v>1574311</v>
      </c>
      <c r="E3080">
        <v>7</v>
      </c>
      <c r="F3080" t="s">
        <v>4205</v>
      </c>
    </row>
    <row r="3081" spans="1:6" x14ac:dyDescent="0.25">
      <c r="A3081" t="s">
        <v>1522</v>
      </c>
      <c r="B3081" t="s">
        <v>4203</v>
      </c>
      <c r="C3081" t="s">
        <v>4204</v>
      </c>
      <c r="D3081" t="str">
        <f>HYPERLINK("http://service.sap.com/sap/support/notes/1645678","1645678")</f>
        <v>1645678</v>
      </c>
      <c r="E3081">
        <v>4</v>
      </c>
      <c r="F3081" t="s">
        <v>4206</v>
      </c>
    </row>
    <row r="3082" spans="1:6" x14ac:dyDescent="0.25">
      <c r="A3082" t="s">
        <v>1522</v>
      </c>
      <c r="B3082" t="s">
        <v>4207</v>
      </c>
      <c r="C3082" t="s">
        <v>4208</v>
      </c>
      <c r="D3082" t="str">
        <f>HYPERLINK("http://service.sap.com/sap/support/notes/1567131","1567131")</f>
        <v>1567131</v>
      </c>
      <c r="E3082">
        <v>2</v>
      </c>
      <c r="F3082" t="s">
        <v>4209</v>
      </c>
    </row>
    <row r="3083" spans="1:6" x14ac:dyDescent="0.25">
      <c r="A3083" t="s">
        <v>1522</v>
      </c>
      <c r="B3083" t="s">
        <v>4210</v>
      </c>
      <c r="C3083" t="s">
        <v>4211</v>
      </c>
      <c r="D3083" t="str">
        <f>HYPERLINK("http://service.sap.com/sap/support/notes/1647972","1647972")</f>
        <v>1647972</v>
      </c>
      <c r="E3083">
        <v>1</v>
      </c>
      <c r="F3083" t="s">
        <v>4212</v>
      </c>
    </row>
    <row r="3084" spans="1:6" x14ac:dyDescent="0.25">
      <c r="A3084" t="s">
        <v>1522</v>
      </c>
      <c r="B3084" t="s">
        <v>4210</v>
      </c>
      <c r="C3084" t="s">
        <v>4211</v>
      </c>
      <c r="D3084" t="str">
        <f>HYPERLINK("http://service.sap.com/sap/support/notes/1669053","1669053")</f>
        <v>1669053</v>
      </c>
      <c r="E3084">
        <v>3</v>
      </c>
      <c r="F3084" t="s">
        <v>4213</v>
      </c>
    </row>
    <row r="3085" spans="1:6" x14ac:dyDescent="0.25">
      <c r="A3085" t="s">
        <v>1522</v>
      </c>
      <c r="B3085" t="s">
        <v>4214</v>
      </c>
      <c r="C3085" t="s">
        <v>4215</v>
      </c>
      <c r="D3085" t="str">
        <f>HYPERLINK("http://service.sap.com/sap/support/notes/1624680","1624680")</f>
        <v>1624680</v>
      </c>
      <c r="E3085">
        <v>3</v>
      </c>
      <c r="F3085" t="s">
        <v>4216</v>
      </c>
    </row>
    <row r="3086" spans="1:6" x14ac:dyDescent="0.25">
      <c r="A3086" t="s">
        <v>1522</v>
      </c>
      <c r="B3086" t="s">
        <v>4214</v>
      </c>
      <c r="C3086" t="s">
        <v>4215</v>
      </c>
      <c r="D3086" t="str">
        <f>HYPERLINK("http://service.sap.com/sap/support/notes/1625752","1625752")</f>
        <v>1625752</v>
      </c>
      <c r="E3086">
        <v>2</v>
      </c>
      <c r="F3086" t="s">
        <v>4217</v>
      </c>
    </row>
    <row r="3087" spans="1:6" x14ac:dyDescent="0.25">
      <c r="A3087" t="s">
        <v>1522</v>
      </c>
      <c r="B3087" t="s">
        <v>4214</v>
      </c>
      <c r="C3087" t="s">
        <v>4215</v>
      </c>
      <c r="D3087" t="str">
        <f>HYPERLINK("http://service.sap.com/sap/support/notes/1643292","1643292")</f>
        <v>1643292</v>
      </c>
      <c r="E3087">
        <v>1</v>
      </c>
      <c r="F3087" t="s">
        <v>4218</v>
      </c>
    </row>
    <row r="3088" spans="1:6" x14ac:dyDescent="0.25">
      <c r="A3088" t="s">
        <v>1522</v>
      </c>
      <c r="B3088" t="s">
        <v>4219</v>
      </c>
      <c r="C3088" t="s">
        <v>3936</v>
      </c>
      <c r="D3088" t="str">
        <f>HYPERLINK("http://service.sap.com/sap/support/notes/1645510","1645510")</f>
        <v>1645510</v>
      </c>
      <c r="E3088">
        <v>1</v>
      </c>
      <c r="F3088" t="s">
        <v>4220</v>
      </c>
    </row>
    <row r="3089" spans="1:6" x14ac:dyDescent="0.25">
      <c r="A3089" t="s">
        <v>1522</v>
      </c>
      <c r="B3089" t="s">
        <v>4221</v>
      </c>
      <c r="C3089" t="s">
        <v>4222</v>
      </c>
      <c r="D3089" t="str">
        <f>HYPERLINK("http://service.sap.com/sap/support/notes/1632955","1632955")</f>
        <v>1632955</v>
      </c>
      <c r="E3089">
        <v>2</v>
      </c>
      <c r="F3089" t="s">
        <v>4223</v>
      </c>
    </row>
    <row r="3090" spans="1:6" x14ac:dyDescent="0.25">
      <c r="A3090" t="s">
        <v>1522</v>
      </c>
      <c r="B3090" t="s">
        <v>4221</v>
      </c>
      <c r="C3090" t="s">
        <v>4222</v>
      </c>
      <c r="D3090" t="str">
        <f>HYPERLINK("http://service.sap.com/sap/support/notes/1635930","1635930")</f>
        <v>1635930</v>
      </c>
      <c r="E3090">
        <v>1</v>
      </c>
      <c r="F3090" t="s">
        <v>4224</v>
      </c>
    </row>
    <row r="3091" spans="1:6" x14ac:dyDescent="0.25">
      <c r="A3091" t="s">
        <v>1522</v>
      </c>
      <c r="B3091" t="s">
        <v>4221</v>
      </c>
      <c r="C3091" t="s">
        <v>4222</v>
      </c>
      <c r="D3091" t="str">
        <f>HYPERLINK("http://service.sap.com/sap/support/notes/1652593","1652593")</f>
        <v>1652593</v>
      </c>
      <c r="E3091">
        <v>2</v>
      </c>
      <c r="F3091" t="s">
        <v>4225</v>
      </c>
    </row>
    <row r="3092" spans="1:6" x14ac:dyDescent="0.25">
      <c r="A3092" t="s">
        <v>1522</v>
      </c>
      <c r="B3092" t="s">
        <v>4221</v>
      </c>
      <c r="C3092" t="s">
        <v>4222</v>
      </c>
      <c r="D3092" t="str">
        <f>HYPERLINK("http://service.sap.com/sap/support/notes/1656303","1656303")</f>
        <v>1656303</v>
      </c>
      <c r="E3092">
        <v>1</v>
      </c>
      <c r="F3092" t="s">
        <v>4226</v>
      </c>
    </row>
    <row r="3093" spans="1:6" x14ac:dyDescent="0.25">
      <c r="A3093" t="s">
        <v>1522</v>
      </c>
      <c r="B3093" t="s">
        <v>4227</v>
      </c>
      <c r="C3093" t="s">
        <v>1408</v>
      </c>
      <c r="D3093" t="str">
        <f>HYPERLINK("http://service.sap.com/sap/support/notes/1625500","1625500")</f>
        <v>1625500</v>
      </c>
      <c r="E3093">
        <v>1</v>
      </c>
      <c r="F3093" t="s">
        <v>4228</v>
      </c>
    </row>
    <row r="3094" spans="1:6" x14ac:dyDescent="0.25">
      <c r="A3094" t="s">
        <v>1522</v>
      </c>
      <c r="B3094" t="s">
        <v>4227</v>
      </c>
      <c r="C3094" t="s">
        <v>1408</v>
      </c>
      <c r="D3094" t="str">
        <f>HYPERLINK("http://service.sap.com/sap/support/notes/1628319","1628319")</f>
        <v>1628319</v>
      </c>
      <c r="E3094">
        <v>1</v>
      </c>
      <c r="F3094" t="s">
        <v>4229</v>
      </c>
    </row>
    <row r="3095" spans="1:6" x14ac:dyDescent="0.25">
      <c r="A3095" t="s">
        <v>1522</v>
      </c>
      <c r="B3095" t="s">
        <v>4227</v>
      </c>
      <c r="C3095" t="s">
        <v>1408</v>
      </c>
      <c r="D3095" t="str">
        <f>HYPERLINK("http://service.sap.com/sap/support/notes/1628397","1628397")</f>
        <v>1628397</v>
      </c>
      <c r="E3095">
        <v>1</v>
      </c>
      <c r="F3095" t="s">
        <v>4230</v>
      </c>
    </row>
    <row r="3096" spans="1:6" x14ac:dyDescent="0.25">
      <c r="A3096" t="s">
        <v>1522</v>
      </c>
      <c r="B3096" t="s">
        <v>4227</v>
      </c>
      <c r="C3096" t="s">
        <v>1408</v>
      </c>
      <c r="D3096" t="str">
        <f>HYPERLINK("http://service.sap.com/sap/support/notes/1645633","1645633")</f>
        <v>1645633</v>
      </c>
      <c r="E3096">
        <v>2</v>
      </c>
      <c r="F3096" t="s">
        <v>4231</v>
      </c>
    </row>
    <row r="3097" spans="1:6" x14ac:dyDescent="0.25">
      <c r="A3097" t="s">
        <v>1522</v>
      </c>
      <c r="B3097" t="s">
        <v>4232</v>
      </c>
      <c r="C3097" t="s">
        <v>4233</v>
      </c>
      <c r="D3097" t="str">
        <f>HYPERLINK("http://service.sap.com/sap/support/notes/1627959","1627959")</f>
        <v>1627959</v>
      </c>
      <c r="E3097">
        <v>3</v>
      </c>
      <c r="F3097" t="s">
        <v>4234</v>
      </c>
    </row>
    <row r="3098" spans="1:6" x14ac:dyDescent="0.25">
      <c r="A3098" t="s">
        <v>1522</v>
      </c>
      <c r="B3098" t="s">
        <v>4232</v>
      </c>
      <c r="C3098" t="s">
        <v>4233</v>
      </c>
      <c r="D3098" t="str">
        <f>HYPERLINK("http://service.sap.com/sap/support/notes/1629298","1629298")</f>
        <v>1629298</v>
      </c>
      <c r="E3098">
        <v>2</v>
      </c>
      <c r="F3098" t="s">
        <v>4235</v>
      </c>
    </row>
    <row r="3099" spans="1:6" x14ac:dyDescent="0.25">
      <c r="A3099" t="s">
        <v>1522</v>
      </c>
      <c r="B3099" t="s">
        <v>4232</v>
      </c>
      <c r="C3099" t="s">
        <v>4233</v>
      </c>
      <c r="D3099" t="str">
        <f>HYPERLINK("http://service.sap.com/sap/support/notes/1629535","1629535")</f>
        <v>1629535</v>
      </c>
      <c r="E3099">
        <v>4</v>
      </c>
      <c r="F3099" t="s">
        <v>4236</v>
      </c>
    </row>
    <row r="3100" spans="1:6" x14ac:dyDescent="0.25">
      <c r="A3100" t="s">
        <v>1522</v>
      </c>
      <c r="B3100" t="s">
        <v>4237</v>
      </c>
      <c r="C3100" t="s">
        <v>4238</v>
      </c>
      <c r="D3100" t="str">
        <f>HYPERLINK("http://service.sap.com/sap/support/notes/1655517","1655517")</f>
        <v>1655517</v>
      </c>
      <c r="E3100">
        <v>2</v>
      </c>
      <c r="F3100" t="s">
        <v>4239</v>
      </c>
    </row>
    <row r="3101" spans="1:6" x14ac:dyDescent="0.25">
      <c r="A3101" t="s">
        <v>1522</v>
      </c>
      <c r="B3101" t="s">
        <v>4240</v>
      </c>
      <c r="C3101" t="s">
        <v>614</v>
      </c>
      <c r="D3101" t="str">
        <f>HYPERLINK("http://service.sap.com/sap/support/notes/1589189","1589189")</f>
        <v>1589189</v>
      </c>
      <c r="E3101">
        <v>15</v>
      </c>
      <c r="F3101" t="s">
        <v>4241</v>
      </c>
    </row>
    <row r="3102" spans="1:6" x14ac:dyDescent="0.25">
      <c r="A3102" t="s">
        <v>1522</v>
      </c>
      <c r="B3102" t="s">
        <v>4240</v>
      </c>
      <c r="C3102" t="s">
        <v>614</v>
      </c>
      <c r="D3102" t="str">
        <f>HYPERLINK("http://service.sap.com/sap/support/notes/1591161","1591161")</f>
        <v>1591161</v>
      </c>
      <c r="E3102">
        <v>3</v>
      </c>
      <c r="F3102" t="s">
        <v>4242</v>
      </c>
    </row>
    <row r="3103" spans="1:6" x14ac:dyDescent="0.25">
      <c r="A3103" t="s">
        <v>1522</v>
      </c>
      <c r="B3103" t="s">
        <v>4240</v>
      </c>
      <c r="C3103" t="s">
        <v>614</v>
      </c>
      <c r="D3103" t="str">
        <f>HYPERLINK("http://service.sap.com/sap/support/notes/1631637","1631637")</f>
        <v>1631637</v>
      </c>
      <c r="E3103">
        <v>2</v>
      </c>
      <c r="F3103" t="s">
        <v>4243</v>
      </c>
    </row>
    <row r="3104" spans="1:6" x14ac:dyDescent="0.25">
      <c r="A3104" t="s">
        <v>1522</v>
      </c>
      <c r="B3104" t="s">
        <v>4240</v>
      </c>
      <c r="C3104" t="s">
        <v>614</v>
      </c>
      <c r="D3104" t="str">
        <f>HYPERLINK("http://service.sap.com/sap/support/notes/1644890","1644890")</f>
        <v>1644890</v>
      </c>
      <c r="E3104">
        <v>3</v>
      </c>
      <c r="F3104" t="s">
        <v>4244</v>
      </c>
    </row>
    <row r="3105" spans="1:6" x14ac:dyDescent="0.25">
      <c r="A3105" t="s">
        <v>1522</v>
      </c>
      <c r="B3105" t="s">
        <v>4245</v>
      </c>
      <c r="C3105" t="s">
        <v>614</v>
      </c>
      <c r="D3105" t="str">
        <f>HYPERLINK("http://service.sap.com/sap/support/notes/1662650","1662650")</f>
        <v>1662650</v>
      </c>
      <c r="E3105">
        <v>1</v>
      </c>
      <c r="F3105" t="s">
        <v>4246</v>
      </c>
    </row>
    <row r="3106" spans="1:6" x14ac:dyDescent="0.25">
      <c r="A3106" t="s">
        <v>1522</v>
      </c>
      <c r="B3106" t="s">
        <v>926</v>
      </c>
      <c r="C3106" t="s">
        <v>927</v>
      </c>
      <c r="D3106" t="str">
        <f>HYPERLINK("http://service.sap.com/sap/support/notes/1618475","1618475")</f>
        <v>1618475</v>
      </c>
      <c r="E3106">
        <v>6</v>
      </c>
      <c r="F3106" t="s">
        <v>4247</v>
      </c>
    </row>
    <row r="3107" spans="1:6" x14ac:dyDescent="0.25">
      <c r="A3107" t="s">
        <v>1522</v>
      </c>
      <c r="B3107" t="s">
        <v>926</v>
      </c>
      <c r="C3107" t="s">
        <v>927</v>
      </c>
      <c r="D3107" t="str">
        <f>HYPERLINK("http://service.sap.com/sap/support/notes/1655654","1655654")</f>
        <v>1655654</v>
      </c>
      <c r="E3107">
        <v>2</v>
      </c>
      <c r="F3107" t="s">
        <v>4248</v>
      </c>
    </row>
    <row r="3108" spans="1:6" x14ac:dyDescent="0.25">
      <c r="A3108" t="s">
        <v>1522</v>
      </c>
      <c r="B3108" t="s">
        <v>4249</v>
      </c>
      <c r="C3108" t="s">
        <v>4250</v>
      </c>
      <c r="D3108" t="str">
        <f>HYPERLINK("http://service.sap.com/sap/support/notes/1557631","1557631")</f>
        <v>1557631</v>
      </c>
      <c r="E3108">
        <v>9</v>
      </c>
      <c r="F3108" t="s">
        <v>4251</v>
      </c>
    </row>
    <row r="3109" spans="1:6" x14ac:dyDescent="0.25">
      <c r="A3109" t="s">
        <v>1522</v>
      </c>
      <c r="B3109" t="s">
        <v>4252</v>
      </c>
      <c r="C3109" t="s">
        <v>4253</v>
      </c>
      <c r="D3109" t="str">
        <f>HYPERLINK("http://service.sap.com/sap/support/notes/1585042","1585042")</f>
        <v>1585042</v>
      </c>
      <c r="E3109">
        <v>3</v>
      </c>
      <c r="F3109" t="s">
        <v>4254</v>
      </c>
    </row>
    <row r="3110" spans="1:6" x14ac:dyDescent="0.25">
      <c r="A3110" t="s">
        <v>1522</v>
      </c>
      <c r="B3110" t="s">
        <v>4252</v>
      </c>
      <c r="C3110" t="s">
        <v>4253</v>
      </c>
      <c r="D3110" t="str">
        <f>HYPERLINK("http://service.sap.com/sap/support/notes/1620433","1620433")</f>
        <v>1620433</v>
      </c>
      <c r="E3110">
        <v>3</v>
      </c>
      <c r="F3110" t="s">
        <v>4255</v>
      </c>
    </row>
    <row r="3111" spans="1:6" x14ac:dyDescent="0.25">
      <c r="A3111" t="s">
        <v>1522</v>
      </c>
      <c r="B3111" t="s">
        <v>4256</v>
      </c>
      <c r="C3111" t="s">
        <v>4257</v>
      </c>
      <c r="D3111" t="str">
        <f>HYPERLINK("http://service.sap.com/sap/support/notes/1532187","1532187")</f>
        <v>1532187</v>
      </c>
      <c r="E3111">
        <v>3</v>
      </c>
      <c r="F3111" t="s">
        <v>4258</v>
      </c>
    </row>
    <row r="3112" spans="1:6" x14ac:dyDescent="0.25">
      <c r="A3112" t="s">
        <v>1522</v>
      </c>
      <c r="B3112" t="s">
        <v>4256</v>
      </c>
      <c r="C3112" t="s">
        <v>4257</v>
      </c>
      <c r="D3112" t="str">
        <f>HYPERLINK("http://service.sap.com/sap/support/notes/1611769","1611769")</f>
        <v>1611769</v>
      </c>
      <c r="E3112">
        <v>3</v>
      </c>
      <c r="F3112" t="s">
        <v>4259</v>
      </c>
    </row>
    <row r="3113" spans="1:6" x14ac:dyDescent="0.25">
      <c r="A3113" t="s">
        <v>1522</v>
      </c>
      <c r="B3113" t="s">
        <v>933</v>
      </c>
      <c r="C3113" t="s">
        <v>4260</v>
      </c>
      <c r="D3113" t="str">
        <f>HYPERLINK("http://service.sap.com/sap/support/notes/1634396","1634396")</f>
        <v>1634396</v>
      </c>
      <c r="E3113">
        <v>3</v>
      </c>
      <c r="F3113" t="s">
        <v>4261</v>
      </c>
    </row>
    <row r="3114" spans="1:6" x14ac:dyDescent="0.25">
      <c r="A3114" t="s">
        <v>1522</v>
      </c>
      <c r="B3114" t="s">
        <v>933</v>
      </c>
      <c r="C3114" t="s">
        <v>4260</v>
      </c>
      <c r="D3114" t="str">
        <f>HYPERLINK("http://service.sap.com/sap/support/notes/1648180","1648180")</f>
        <v>1648180</v>
      </c>
      <c r="E3114">
        <v>3</v>
      </c>
      <c r="F3114" t="s">
        <v>4262</v>
      </c>
    </row>
    <row r="3115" spans="1:6" x14ac:dyDescent="0.25">
      <c r="A3115" t="s">
        <v>1522</v>
      </c>
      <c r="B3115" t="s">
        <v>933</v>
      </c>
      <c r="C3115" t="s">
        <v>4260</v>
      </c>
      <c r="D3115" t="str">
        <f>HYPERLINK("http://service.sap.com/sap/support/notes/1667744","1667744")</f>
        <v>1667744</v>
      </c>
      <c r="E3115">
        <v>1</v>
      </c>
      <c r="F3115" t="s">
        <v>4263</v>
      </c>
    </row>
    <row r="3116" spans="1:6" x14ac:dyDescent="0.25">
      <c r="A3116" t="s">
        <v>1522</v>
      </c>
      <c r="B3116" t="s">
        <v>935</v>
      </c>
      <c r="C3116" t="s">
        <v>936</v>
      </c>
      <c r="D3116" t="str">
        <f>HYPERLINK("http://service.sap.com/sap/support/notes/1588852","1588852")</f>
        <v>1588852</v>
      </c>
      <c r="E3116">
        <v>4</v>
      </c>
      <c r="F3116" t="s">
        <v>4264</v>
      </c>
    </row>
    <row r="3117" spans="1:6" x14ac:dyDescent="0.25">
      <c r="A3117" t="s">
        <v>1522</v>
      </c>
      <c r="B3117" t="s">
        <v>935</v>
      </c>
      <c r="C3117" t="s">
        <v>936</v>
      </c>
      <c r="D3117" t="str">
        <f>HYPERLINK("http://service.sap.com/sap/support/notes/1610959","1610959")</f>
        <v>1610959</v>
      </c>
      <c r="E3117">
        <v>3</v>
      </c>
      <c r="F3117" t="s">
        <v>4265</v>
      </c>
    </row>
    <row r="3118" spans="1:6" x14ac:dyDescent="0.25">
      <c r="A3118" t="s">
        <v>1522</v>
      </c>
      <c r="B3118" t="s">
        <v>935</v>
      </c>
      <c r="C3118" t="s">
        <v>936</v>
      </c>
      <c r="D3118" t="str">
        <f>HYPERLINK("http://service.sap.com/sap/support/notes/1615963","1615963")</f>
        <v>1615963</v>
      </c>
      <c r="E3118">
        <v>2</v>
      </c>
      <c r="F3118" t="s">
        <v>4266</v>
      </c>
    </row>
    <row r="3119" spans="1:6" x14ac:dyDescent="0.25">
      <c r="A3119" t="s">
        <v>1522</v>
      </c>
      <c r="B3119" t="s">
        <v>935</v>
      </c>
      <c r="C3119" t="s">
        <v>936</v>
      </c>
      <c r="D3119" t="str">
        <f>HYPERLINK("http://service.sap.com/sap/support/notes/1622988","1622988")</f>
        <v>1622988</v>
      </c>
      <c r="E3119">
        <v>1</v>
      </c>
      <c r="F3119" t="s">
        <v>4267</v>
      </c>
    </row>
    <row r="3120" spans="1:6" x14ac:dyDescent="0.25">
      <c r="A3120" t="s">
        <v>1522</v>
      </c>
      <c r="B3120" t="s">
        <v>935</v>
      </c>
      <c r="C3120" t="s">
        <v>936</v>
      </c>
      <c r="D3120" t="str">
        <f>HYPERLINK("http://service.sap.com/sap/support/notes/1636892","1636892")</f>
        <v>1636892</v>
      </c>
      <c r="E3120">
        <v>1</v>
      </c>
      <c r="F3120" t="s">
        <v>4268</v>
      </c>
    </row>
    <row r="3121" spans="1:6" x14ac:dyDescent="0.25">
      <c r="A3121" t="s">
        <v>1522</v>
      </c>
      <c r="B3121" t="s">
        <v>935</v>
      </c>
      <c r="C3121" t="s">
        <v>936</v>
      </c>
      <c r="D3121" t="str">
        <f>HYPERLINK("http://service.sap.com/sap/support/notes/1639082","1639082")</f>
        <v>1639082</v>
      </c>
      <c r="E3121">
        <v>1</v>
      </c>
      <c r="F3121" t="s">
        <v>4269</v>
      </c>
    </row>
    <row r="3122" spans="1:6" x14ac:dyDescent="0.25">
      <c r="A3122" t="s">
        <v>1522</v>
      </c>
      <c r="B3122" t="s">
        <v>935</v>
      </c>
      <c r="C3122" t="s">
        <v>936</v>
      </c>
      <c r="D3122" t="str">
        <f>HYPERLINK("http://service.sap.com/sap/support/notes/1641824","1641824")</f>
        <v>1641824</v>
      </c>
      <c r="E3122">
        <v>1</v>
      </c>
      <c r="F3122" t="s">
        <v>4270</v>
      </c>
    </row>
    <row r="3123" spans="1:6" x14ac:dyDescent="0.25">
      <c r="A3123" t="s">
        <v>1522</v>
      </c>
      <c r="B3123" t="s">
        <v>935</v>
      </c>
      <c r="C3123" t="s">
        <v>936</v>
      </c>
      <c r="D3123" t="str">
        <f>HYPERLINK("http://service.sap.com/sap/support/notes/1646479","1646479")</f>
        <v>1646479</v>
      </c>
      <c r="E3123">
        <v>1</v>
      </c>
      <c r="F3123" t="s">
        <v>4271</v>
      </c>
    </row>
    <row r="3124" spans="1:6" x14ac:dyDescent="0.25">
      <c r="A3124" t="s">
        <v>1522</v>
      </c>
      <c r="B3124" t="s">
        <v>935</v>
      </c>
      <c r="C3124" t="s">
        <v>936</v>
      </c>
      <c r="D3124" t="str">
        <f>HYPERLINK("http://service.sap.com/sap/support/notes/1662467","1662467")</f>
        <v>1662467</v>
      </c>
      <c r="E3124">
        <v>2</v>
      </c>
      <c r="F3124" t="s">
        <v>4272</v>
      </c>
    </row>
    <row r="3125" spans="1:6" x14ac:dyDescent="0.25">
      <c r="A3125" t="s">
        <v>1522</v>
      </c>
      <c r="B3125" t="s">
        <v>935</v>
      </c>
      <c r="C3125" t="s">
        <v>936</v>
      </c>
      <c r="D3125" t="str">
        <f>HYPERLINK("http://service.sap.com/sap/support/notes/1662759","1662759")</f>
        <v>1662759</v>
      </c>
      <c r="E3125">
        <v>10</v>
      </c>
      <c r="F3125" t="s">
        <v>4273</v>
      </c>
    </row>
    <row r="3126" spans="1:6" x14ac:dyDescent="0.25">
      <c r="A3126" t="s">
        <v>1522</v>
      </c>
      <c r="B3126" t="s">
        <v>935</v>
      </c>
      <c r="C3126" t="s">
        <v>936</v>
      </c>
      <c r="D3126" t="str">
        <f>HYPERLINK("http://service.sap.com/sap/support/notes/1667457","1667457")</f>
        <v>1667457</v>
      </c>
      <c r="E3126">
        <v>5</v>
      </c>
      <c r="F3126" t="s">
        <v>4274</v>
      </c>
    </row>
    <row r="3127" spans="1:6" x14ac:dyDescent="0.25">
      <c r="A3127" t="s">
        <v>1522</v>
      </c>
      <c r="B3127" t="s">
        <v>935</v>
      </c>
      <c r="C3127" t="s">
        <v>936</v>
      </c>
      <c r="D3127" t="str">
        <f>HYPERLINK("http://service.sap.com/sap/support/notes/1668694","1668694")</f>
        <v>1668694</v>
      </c>
      <c r="E3127">
        <v>2</v>
      </c>
      <c r="F3127" t="s">
        <v>4275</v>
      </c>
    </row>
    <row r="3128" spans="1:6" x14ac:dyDescent="0.25">
      <c r="A3128" t="s">
        <v>1522</v>
      </c>
      <c r="B3128" t="s">
        <v>935</v>
      </c>
      <c r="C3128" t="s">
        <v>936</v>
      </c>
      <c r="D3128" t="str">
        <f>HYPERLINK("http://service.sap.com/sap/support/notes/1668972","1668972")</f>
        <v>1668972</v>
      </c>
      <c r="E3128">
        <v>5</v>
      </c>
      <c r="F3128" t="s">
        <v>4276</v>
      </c>
    </row>
    <row r="3129" spans="1:6" x14ac:dyDescent="0.25">
      <c r="A3129" t="s">
        <v>1522</v>
      </c>
      <c r="B3129" t="s">
        <v>935</v>
      </c>
      <c r="C3129" t="s">
        <v>936</v>
      </c>
      <c r="D3129" t="str">
        <f>HYPERLINK("http://service.sap.com/sap/support/notes/1669456","1669456")</f>
        <v>1669456</v>
      </c>
      <c r="E3129">
        <v>2</v>
      </c>
      <c r="F3129" t="s">
        <v>4277</v>
      </c>
    </row>
    <row r="3130" spans="1:6" x14ac:dyDescent="0.25">
      <c r="A3130" t="s">
        <v>1522</v>
      </c>
      <c r="B3130" t="s">
        <v>935</v>
      </c>
      <c r="C3130" t="s">
        <v>936</v>
      </c>
      <c r="D3130" t="str">
        <f>HYPERLINK("http://service.sap.com/sap/support/notes/1669461","1669461")</f>
        <v>1669461</v>
      </c>
      <c r="E3130">
        <v>2</v>
      </c>
      <c r="F3130" t="s">
        <v>4278</v>
      </c>
    </row>
    <row r="3131" spans="1:6" x14ac:dyDescent="0.25">
      <c r="A3131" t="s">
        <v>1522</v>
      </c>
      <c r="B3131" t="s">
        <v>4279</v>
      </c>
      <c r="C3131" t="s">
        <v>4280</v>
      </c>
      <c r="D3131" t="str">
        <f>HYPERLINK("http://service.sap.com/sap/support/notes/1535340","1535340")</f>
        <v>1535340</v>
      </c>
      <c r="E3131">
        <v>6</v>
      </c>
      <c r="F3131" t="s">
        <v>4281</v>
      </c>
    </row>
    <row r="3132" spans="1:6" x14ac:dyDescent="0.25">
      <c r="A3132" t="s">
        <v>1522</v>
      </c>
      <c r="B3132" t="s">
        <v>4279</v>
      </c>
      <c r="C3132" t="s">
        <v>4280</v>
      </c>
      <c r="D3132" t="str">
        <f>HYPERLINK("http://service.sap.com/sap/support/notes/1551420","1551420")</f>
        <v>1551420</v>
      </c>
      <c r="E3132">
        <v>2</v>
      </c>
      <c r="F3132" t="s">
        <v>4282</v>
      </c>
    </row>
    <row r="3133" spans="1:6" x14ac:dyDescent="0.25">
      <c r="A3133" t="s">
        <v>1522</v>
      </c>
      <c r="B3133" t="s">
        <v>4279</v>
      </c>
      <c r="C3133" t="s">
        <v>4280</v>
      </c>
      <c r="D3133" t="str">
        <f>HYPERLINK("http://service.sap.com/sap/support/notes/1608329","1608329")</f>
        <v>1608329</v>
      </c>
      <c r="E3133">
        <v>1</v>
      </c>
      <c r="F3133" t="s">
        <v>4283</v>
      </c>
    </row>
    <row r="3134" spans="1:6" x14ac:dyDescent="0.25">
      <c r="A3134" t="s">
        <v>1522</v>
      </c>
      <c r="B3134" t="s">
        <v>4279</v>
      </c>
      <c r="C3134" t="s">
        <v>4280</v>
      </c>
      <c r="D3134" t="str">
        <f>HYPERLINK("http://service.sap.com/sap/support/notes/1615892","1615892")</f>
        <v>1615892</v>
      </c>
      <c r="E3134">
        <v>2</v>
      </c>
      <c r="F3134" t="s">
        <v>4284</v>
      </c>
    </row>
    <row r="3135" spans="1:6" x14ac:dyDescent="0.25">
      <c r="A3135" t="s">
        <v>1522</v>
      </c>
      <c r="B3135" t="s">
        <v>4279</v>
      </c>
      <c r="C3135" t="s">
        <v>4280</v>
      </c>
      <c r="D3135" t="str">
        <f>HYPERLINK("http://service.sap.com/sap/support/notes/1622051","1622051")</f>
        <v>1622051</v>
      </c>
      <c r="E3135">
        <v>3</v>
      </c>
      <c r="F3135" t="s">
        <v>4285</v>
      </c>
    </row>
    <row r="3136" spans="1:6" x14ac:dyDescent="0.25">
      <c r="A3136" t="s">
        <v>1522</v>
      </c>
      <c r="B3136" t="s">
        <v>4279</v>
      </c>
      <c r="C3136" t="s">
        <v>4280</v>
      </c>
      <c r="D3136" t="str">
        <f>HYPERLINK("http://service.sap.com/sap/support/notes/1622899","1622899")</f>
        <v>1622899</v>
      </c>
      <c r="E3136">
        <v>3</v>
      </c>
      <c r="F3136" t="s">
        <v>4286</v>
      </c>
    </row>
    <row r="3137" spans="1:6" x14ac:dyDescent="0.25">
      <c r="A3137" t="s">
        <v>1522</v>
      </c>
      <c r="B3137" t="s">
        <v>4279</v>
      </c>
      <c r="C3137" t="s">
        <v>4280</v>
      </c>
      <c r="D3137" t="str">
        <f>HYPERLINK("http://service.sap.com/sap/support/notes/1631480","1631480")</f>
        <v>1631480</v>
      </c>
      <c r="E3137">
        <v>2</v>
      </c>
      <c r="F3137" t="s">
        <v>4287</v>
      </c>
    </row>
    <row r="3138" spans="1:6" x14ac:dyDescent="0.25">
      <c r="A3138" t="s">
        <v>1522</v>
      </c>
      <c r="B3138" t="s">
        <v>4279</v>
      </c>
      <c r="C3138" t="s">
        <v>4280</v>
      </c>
      <c r="D3138" t="str">
        <f>HYPERLINK("http://service.sap.com/sap/support/notes/1644461","1644461")</f>
        <v>1644461</v>
      </c>
      <c r="E3138">
        <v>1</v>
      </c>
      <c r="F3138" t="s">
        <v>4288</v>
      </c>
    </row>
    <row r="3139" spans="1:6" x14ac:dyDescent="0.25">
      <c r="A3139" t="s">
        <v>1522</v>
      </c>
      <c r="B3139" t="s">
        <v>4279</v>
      </c>
      <c r="C3139" t="s">
        <v>4280</v>
      </c>
      <c r="D3139" t="str">
        <f>HYPERLINK("http://service.sap.com/sap/support/notes/1649423","1649423")</f>
        <v>1649423</v>
      </c>
      <c r="E3139">
        <v>1</v>
      </c>
      <c r="F3139" t="s">
        <v>4289</v>
      </c>
    </row>
    <row r="3140" spans="1:6" x14ac:dyDescent="0.25">
      <c r="A3140" t="s">
        <v>1522</v>
      </c>
      <c r="B3140" t="s">
        <v>4279</v>
      </c>
      <c r="C3140" t="s">
        <v>4280</v>
      </c>
      <c r="D3140" t="str">
        <f>HYPERLINK("http://service.sap.com/sap/support/notes/1670216","1670216")</f>
        <v>1670216</v>
      </c>
      <c r="E3140">
        <v>1</v>
      </c>
      <c r="F3140" t="s">
        <v>4290</v>
      </c>
    </row>
    <row r="3141" spans="1:6" x14ac:dyDescent="0.25">
      <c r="A3141" t="s">
        <v>1522</v>
      </c>
      <c r="B3141" t="s">
        <v>938</v>
      </c>
      <c r="C3141" t="s">
        <v>939</v>
      </c>
      <c r="D3141" t="str">
        <f>HYPERLINK("http://service.sap.com/sap/support/notes/1628306","1628306")</f>
        <v>1628306</v>
      </c>
      <c r="E3141">
        <v>1</v>
      </c>
      <c r="F3141" t="s">
        <v>4291</v>
      </c>
    </row>
    <row r="3142" spans="1:6" x14ac:dyDescent="0.25">
      <c r="A3142" t="s">
        <v>1522</v>
      </c>
      <c r="B3142" t="s">
        <v>938</v>
      </c>
      <c r="C3142" t="s">
        <v>939</v>
      </c>
      <c r="D3142" t="str">
        <f>HYPERLINK("http://service.sap.com/sap/support/notes/1632283","1632283")</f>
        <v>1632283</v>
      </c>
      <c r="E3142">
        <v>2</v>
      </c>
      <c r="F3142" t="s">
        <v>4292</v>
      </c>
    </row>
    <row r="3143" spans="1:6" x14ac:dyDescent="0.25">
      <c r="A3143" t="s">
        <v>1522</v>
      </c>
      <c r="B3143" t="s">
        <v>938</v>
      </c>
      <c r="C3143" t="s">
        <v>939</v>
      </c>
      <c r="D3143" t="str">
        <f>HYPERLINK("http://service.sap.com/sap/support/notes/1656919","1656919")</f>
        <v>1656919</v>
      </c>
      <c r="E3143">
        <v>2</v>
      </c>
      <c r="F3143" t="s">
        <v>4293</v>
      </c>
    </row>
    <row r="3144" spans="1:6" x14ac:dyDescent="0.25">
      <c r="A3144" t="s">
        <v>1522</v>
      </c>
      <c r="B3144" t="s">
        <v>4294</v>
      </c>
      <c r="C3144" t="s">
        <v>4295</v>
      </c>
    </row>
    <row r="3145" spans="1:6" x14ac:dyDescent="0.25">
      <c r="A3145" t="s">
        <v>1522</v>
      </c>
      <c r="B3145" t="s">
        <v>4296</v>
      </c>
      <c r="C3145" t="s">
        <v>4297</v>
      </c>
      <c r="D3145" t="str">
        <f>HYPERLINK("http://service.sap.com/sap/support/notes/1670373","1670373")</f>
        <v>1670373</v>
      </c>
      <c r="E3145">
        <v>1</v>
      </c>
      <c r="F3145" t="s">
        <v>4298</v>
      </c>
    </row>
    <row r="3146" spans="1:6" x14ac:dyDescent="0.25">
      <c r="A3146" t="s">
        <v>1522</v>
      </c>
      <c r="B3146" t="s">
        <v>942</v>
      </c>
      <c r="C3146" t="s">
        <v>943</v>
      </c>
      <c r="D3146" t="str">
        <f>HYPERLINK("http://service.sap.com/sap/support/notes/1591410","1591410")</f>
        <v>1591410</v>
      </c>
      <c r="E3146">
        <v>8</v>
      </c>
      <c r="F3146" t="s">
        <v>4299</v>
      </c>
    </row>
    <row r="3147" spans="1:6" x14ac:dyDescent="0.25">
      <c r="A3147" t="s">
        <v>1522</v>
      </c>
      <c r="B3147" t="s">
        <v>942</v>
      </c>
      <c r="C3147" t="s">
        <v>943</v>
      </c>
      <c r="D3147" t="str">
        <f>HYPERLINK("http://service.sap.com/sap/support/notes/1618299","1618299")</f>
        <v>1618299</v>
      </c>
      <c r="E3147">
        <v>3</v>
      </c>
      <c r="F3147" t="s">
        <v>4300</v>
      </c>
    </row>
    <row r="3148" spans="1:6" x14ac:dyDescent="0.25">
      <c r="A3148" t="s">
        <v>1522</v>
      </c>
      <c r="B3148" t="s">
        <v>942</v>
      </c>
      <c r="C3148" t="s">
        <v>943</v>
      </c>
      <c r="D3148" t="str">
        <f>HYPERLINK("http://service.sap.com/sap/support/notes/1632920","1632920")</f>
        <v>1632920</v>
      </c>
      <c r="E3148">
        <v>4</v>
      </c>
      <c r="F3148" t="s">
        <v>4301</v>
      </c>
    </row>
    <row r="3149" spans="1:6" x14ac:dyDescent="0.25">
      <c r="A3149" t="s">
        <v>1522</v>
      </c>
      <c r="B3149" t="s">
        <v>942</v>
      </c>
      <c r="C3149" t="s">
        <v>943</v>
      </c>
      <c r="D3149" t="str">
        <f>HYPERLINK("http://service.sap.com/sap/support/notes/1666688","1666688")</f>
        <v>1666688</v>
      </c>
      <c r="E3149">
        <v>2</v>
      </c>
      <c r="F3149" t="s">
        <v>4302</v>
      </c>
    </row>
    <row r="3150" spans="1:6" x14ac:dyDescent="0.25">
      <c r="A3150" t="s">
        <v>1522</v>
      </c>
      <c r="B3150" t="s">
        <v>942</v>
      </c>
      <c r="C3150" t="s">
        <v>943</v>
      </c>
      <c r="D3150" t="str">
        <f>HYPERLINK("http://service.sap.com/sap/support/notes/1668955","1668955")</f>
        <v>1668955</v>
      </c>
      <c r="E3150">
        <v>2</v>
      </c>
      <c r="F3150" t="s">
        <v>4303</v>
      </c>
    </row>
    <row r="3151" spans="1:6" x14ac:dyDescent="0.25">
      <c r="A3151" t="s">
        <v>1522</v>
      </c>
      <c r="B3151" t="s">
        <v>942</v>
      </c>
      <c r="C3151" t="s">
        <v>943</v>
      </c>
      <c r="D3151" t="str">
        <f>HYPERLINK("http://service.sap.com/sap/support/notes/1673221","1673221")</f>
        <v>1673221</v>
      </c>
      <c r="E3151">
        <v>1</v>
      </c>
      <c r="F3151" t="s">
        <v>4304</v>
      </c>
    </row>
    <row r="3152" spans="1:6" x14ac:dyDescent="0.25">
      <c r="A3152" t="s">
        <v>1522</v>
      </c>
      <c r="B3152" t="s">
        <v>946</v>
      </c>
      <c r="C3152" t="s">
        <v>947</v>
      </c>
      <c r="D3152" t="str">
        <f>HYPERLINK("http://service.sap.com/sap/support/notes/1559128","1559128")</f>
        <v>1559128</v>
      </c>
      <c r="E3152">
        <v>7</v>
      </c>
      <c r="F3152" t="s">
        <v>4305</v>
      </c>
    </row>
    <row r="3153" spans="1:6" x14ac:dyDescent="0.25">
      <c r="A3153" t="s">
        <v>1522</v>
      </c>
      <c r="B3153" t="s">
        <v>946</v>
      </c>
      <c r="C3153" t="s">
        <v>947</v>
      </c>
      <c r="D3153" t="str">
        <f>HYPERLINK("http://service.sap.com/sap/support/notes/1568679","1568679")</f>
        <v>1568679</v>
      </c>
      <c r="E3153">
        <v>8</v>
      </c>
      <c r="F3153" t="s">
        <v>4306</v>
      </c>
    </row>
    <row r="3154" spans="1:6" x14ac:dyDescent="0.25">
      <c r="A3154" t="s">
        <v>1522</v>
      </c>
      <c r="B3154" t="s">
        <v>946</v>
      </c>
      <c r="C3154" t="s">
        <v>947</v>
      </c>
      <c r="D3154" t="str">
        <f>HYPERLINK("http://service.sap.com/sap/support/notes/1612671","1612671")</f>
        <v>1612671</v>
      </c>
      <c r="E3154">
        <v>3</v>
      </c>
      <c r="F3154" t="s">
        <v>4307</v>
      </c>
    </row>
    <row r="3155" spans="1:6" x14ac:dyDescent="0.25">
      <c r="A3155" t="s">
        <v>1522</v>
      </c>
      <c r="B3155" t="s">
        <v>946</v>
      </c>
      <c r="C3155" t="s">
        <v>947</v>
      </c>
      <c r="D3155" t="str">
        <f>HYPERLINK("http://service.sap.com/sap/support/notes/1617423","1617423")</f>
        <v>1617423</v>
      </c>
      <c r="E3155">
        <v>3</v>
      </c>
      <c r="F3155" t="s">
        <v>4308</v>
      </c>
    </row>
    <row r="3156" spans="1:6" x14ac:dyDescent="0.25">
      <c r="A3156" t="s">
        <v>1522</v>
      </c>
      <c r="B3156" t="s">
        <v>946</v>
      </c>
      <c r="C3156" t="s">
        <v>947</v>
      </c>
      <c r="D3156" t="str">
        <f>HYPERLINK("http://service.sap.com/sap/support/notes/1623067","1623067")</f>
        <v>1623067</v>
      </c>
      <c r="E3156">
        <v>5</v>
      </c>
      <c r="F3156" t="s">
        <v>4309</v>
      </c>
    </row>
    <row r="3157" spans="1:6" x14ac:dyDescent="0.25">
      <c r="A3157" t="s">
        <v>1522</v>
      </c>
      <c r="B3157" t="s">
        <v>946</v>
      </c>
      <c r="C3157" t="s">
        <v>947</v>
      </c>
      <c r="D3157" t="str">
        <f>HYPERLINK("http://service.sap.com/sap/support/notes/1623212","1623212")</f>
        <v>1623212</v>
      </c>
      <c r="E3157">
        <v>2</v>
      </c>
      <c r="F3157" t="s">
        <v>4310</v>
      </c>
    </row>
    <row r="3158" spans="1:6" x14ac:dyDescent="0.25">
      <c r="A3158" t="s">
        <v>1522</v>
      </c>
      <c r="B3158" t="s">
        <v>946</v>
      </c>
      <c r="C3158" t="s">
        <v>947</v>
      </c>
      <c r="D3158" t="str">
        <f>HYPERLINK("http://service.sap.com/sap/support/notes/1637916","1637916")</f>
        <v>1637916</v>
      </c>
      <c r="E3158">
        <v>1</v>
      </c>
      <c r="F3158" t="s">
        <v>4311</v>
      </c>
    </row>
    <row r="3159" spans="1:6" x14ac:dyDescent="0.25">
      <c r="A3159" t="s">
        <v>1522</v>
      </c>
      <c r="B3159" t="s">
        <v>946</v>
      </c>
      <c r="C3159" t="s">
        <v>947</v>
      </c>
      <c r="D3159" t="str">
        <f>HYPERLINK("http://service.sap.com/sap/support/notes/1639553","1639553")</f>
        <v>1639553</v>
      </c>
      <c r="E3159">
        <v>1</v>
      </c>
      <c r="F3159" t="s">
        <v>4312</v>
      </c>
    </row>
    <row r="3160" spans="1:6" x14ac:dyDescent="0.25">
      <c r="A3160" t="s">
        <v>1522</v>
      </c>
      <c r="B3160" t="s">
        <v>946</v>
      </c>
      <c r="C3160" t="s">
        <v>947</v>
      </c>
      <c r="D3160" t="str">
        <f>HYPERLINK("http://service.sap.com/sap/support/notes/1640398","1640398")</f>
        <v>1640398</v>
      </c>
      <c r="E3160">
        <v>1</v>
      </c>
      <c r="F3160" t="s">
        <v>4313</v>
      </c>
    </row>
    <row r="3161" spans="1:6" x14ac:dyDescent="0.25">
      <c r="A3161" t="s">
        <v>1522</v>
      </c>
      <c r="B3161" t="s">
        <v>946</v>
      </c>
      <c r="C3161" t="s">
        <v>947</v>
      </c>
      <c r="D3161" t="str">
        <f>HYPERLINK("http://service.sap.com/sap/support/notes/1658895","1658895")</f>
        <v>1658895</v>
      </c>
      <c r="E3161">
        <v>3</v>
      </c>
      <c r="F3161" t="s">
        <v>4314</v>
      </c>
    </row>
    <row r="3162" spans="1:6" x14ac:dyDescent="0.25">
      <c r="A3162" t="s">
        <v>1522</v>
      </c>
      <c r="B3162" t="s">
        <v>946</v>
      </c>
      <c r="C3162" t="s">
        <v>947</v>
      </c>
      <c r="D3162" t="str">
        <f>HYPERLINK("http://service.sap.com/sap/support/notes/1659181","1659181")</f>
        <v>1659181</v>
      </c>
      <c r="E3162">
        <v>2</v>
      </c>
      <c r="F3162" t="s">
        <v>4315</v>
      </c>
    </row>
    <row r="3163" spans="1:6" x14ac:dyDescent="0.25">
      <c r="A3163" t="s">
        <v>1522</v>
      </c>
      <c r="B3163" t="s">
        <v>946</v>
      </c>
      <c r="C3163" t="s">
        <v>947</v>
      </c>
      <c r="D3163" t="str">
        <f>HYPERLINK("http://service.sap.com/sap/support/notes/1668883","1668883")</f>
        <v>1668883</v>
      </c>
      <c r="E3163">
        <v>1</v>
      </c>
      <c r="F3163" t="s">
        <v>4316</v>
      </c>
    </row>
    <row r="3164" spans="1:6" x14ac:dyDescent="0.25">
      <c r="A3164" t="s">
        <v>1522</v>
      </c>
      <c r="B3164" t="s">
        <v>946</v>
      </c>
      <c r="C3164" t="s">
        <v>947</v>
      </c>
      <c r="D3164" t="str">
        <f>HYPERLINK("http://service.sap.com/sap/support/notes/1669848","1669848")</f>
        <v>1669848</v>
      </c>
      <c r="E3164">
        <v>1</v>
      </c>
      <c r="F3164" t="s">
        <v>4317</v>
      </c>
    </row>
    <row r="3165" spans="1:6" x14ac:dyDescent="0.25">
      <c r="A3165" t="s">
        <v>1522</v>
      </c>
      <c r="B3165" t="s">
        <v>950</v>
      </c>
      <c r="C3165" t="s">
        <v>951</v>
      </c>
      <c r="D3165" t="str">
        <f>HYPERLINK("http://service.sap.com/sap/support/notes/1370422","1370422")</f>
        <v>1370422</v>
      </c>
      <c r="E3165">
        <v>5</v>
      </c>
      <c r="F3165" t="s">
        <v>4318</v>
      </c>
    </row>
    <row r="3166" spans="1:6" x14ac:dyDescent="0.25">
      <c r="A3166" t="s">
        <v>1522</v>
      </c>
      <c r="B3166" t="s">
        <v>950</v>
      </c>
      <c r="C3166" t="s">
        <v>951</v>
      </c>
      <c r="D3166" t="str">
        <f>HYPERLINK("http://service.sap.com/sap/support/notes/1519631","1519631")</f>
        <v>1519631</v>
      </c>
      <c r="E3166">
        <v>4</v>
      </c>
      <c r="F3166" t="s">
        <v>4319</v>
      </c>
    </row>
    <row r="3167" spans="1:6" x14ac:dyDescent="0.25">
      <c r="A3167" t="s">
        <v>1522</v>
      </c>
      <c r="B3167" t="s">
        <v>950</v>
      </c>
      <c r="C3167" t="s">
        <v>951</v>
      </c>
      <c r="D3167" t="str">
        <f>HYPERLINK("http://service.sap.com/sap/support/notes/1559425","1559425")</f>
        <v>1559425</v>
      </c>
      <c r="E3167">
        <v>16</v>
      </c>
      <c r="F3167" t="s">
        <v>4320</v>
      </c>
    </row>
    <row r="3168" spans="1:6" x14ac:dyDescent="0.25">
      <c r="A3168" t="s">
        <v>1522</v>
      </c>
      <c r="B3168" t="s">
        <v>950</v>
      </c>
      <c r="C3168" t="s">
        <v>951</v>
      </c>
      <c r="D3168" t="str">
        <f>HYPERLINK("http://service.sap.com/sap/support/notes/1606378","1606378")</f>
        <v>1606378</v>
      </c>
      <c r="E3168">
        <v>4</v>
      </c>
      <c r="F3168" t="s">
        <v>4321</v>
      </c>
    </row>
    <row r="3169" spans="1:6" x14ac:dyDescent="0.25">
      <c r="A3169" t="s">
        <v>1522</v>
      </c>
      <c r="B3169" t="s">
        <v>950</v>
      </c>
      <c r="C3169" t="s">
        <v>951</v>
      </c>
      <c r="D3169" t="str">
        <f>HYPERLINK("http://service.sap.com/sap/support/notes/1620881","1620881")</f>
        <v>1620881</v>
      </c>
      <c r="E3169">
        <v>16</v>
      </c>
      <c r="F3169" t="s">
        <v>4322</v>
      </c>
    </row>
    <row r="3170" spans="1:6" x14ac:dyDescent="0.25">
      <c r="A3170" t="s">
        <v>1522</v>
      </c>
      <c r="B3170" t="s">
        <v>950</v>
      </c>
      <c r="C3170" t="s">
        <v>951</v>
      </c>
      <c r="D3170" t="str">
        <f>HYPERLINK("http://service.sap.com/sap/support/notes/1624571","1624571")</f>
        <v>1624571</v>
      </c>
      <c r="E3170">
        <v>2</v>
      </c>
      <c r="F3170" t="s">
        <v>4323</v>
      </c>
    </row>
    <row r="3171" spans="1:6" x14ac:dyDescent="0.25">
      <c r="A3171" t="s">
        <v>1522</v>
      </c>
      <c r="B3171" t="s">
        <v>950</v>
      </c>
      <c r="C3171" t="s">
        <v>951</v>
      </c>
      <c r="D3171" t="str">
        <f>HYPERLINK("http://service.sap.com/sap/support/notes/1624837","1624837")</f>
        <v>1624837</v>
      </c>
      <c r="E3171">
        <v>5</v>
      </c>
      <c r="F3171" t="s">
        <v>4324</v>
      </c>
    </row>
    <row r="3172" spans="1:6" x14ac:dyDescent="0.25">
      <c r="A3172" t="s">
        <v>1522</v>
      </c>
      <c r="B3172" t="s">
        <v>950</v>
      </c>
      <c r="C3172" t="s">
        <v>951</v>
      </c>
      <c r="D3172" t="str">
        <f>HYPERLINK("http://service.sap.com/sap/support/notes/1625040","1625040")</f>
        <v>1625040</v>
      </c>
      <c r="E3172">
        <v>2</v>
      </c>
      <c r="F3172" t="s">
        <v>4325</v>
      </c>
    </row>
    <row r="3173" spans="1:6" x14ac:dyDescent="0.25">
      <c r="A3173" t="s">
        <v>1522</v>
      </c>
      <c r="B3173" t="s">
        <v>950</v>
      </c>
      <c r="C3173" t="s">
        <v>951</v>
      </c>
      <c r="D3173" t="str">
        <f>HYPERLINK("http://service.sap.com/sap/support/notes/1629973","1629973")</f>
        <v>1629973</v>
      </c>
      <c r="E3173">
        <v>4</v>
      </c>
      <c r="F3173" t="s">
        <v>4326</v>
      </c>
    </row>
    <row r="3174" spans="1:6" x14ac:dyDescent="0.25">
      <c r="A3174" t="s">
        <v>1522</v>
      </c>
      <c r="B3174" t="s">
        <v>950</v>
      </c>
      <c r="C3174" t="s">
        <v>951</v>
      </c>
      <c r="D3174" t="str">
        <f>HYPERLINK("http://service.sap.com/sap/support/notes/1632631","1632631")</f>
        <v>1632631</v>
      </c>
      <c r="E3174">
        <v>1</v>
      </c>
      <c r="F3174" t="s">
        <v>4327</v>
      </c>
    </row>
    <row r="3175" spans="1:6" x14ac:dyDescent="0.25">
      <c r="A3175" t="s">
        <v>1522</v>
      </c>
      <c r="B3175" t="s">
        <v>950</v>
      </c>
      <c r="C3175" t="s">
        <v>951</v>
      </c>
      <c r="D3175" t="str">
        <f>HYPERLINK("http://service.sap.com/sap/support/notes/1655840","1655840")</f>
        <v>1655840</v>
      </c>
      <c r="E3175">
        <v>1</v>
      </c>
      <c r="F3175" t="s">
        <v>4328</v>
      </c>
    </row>
    <row r="3176" spans="1:6" x14ac:dyDescent="0.25">
      <c r="A3176" t="s">
        <v>1522</v>
      </c>
      <c r="B3176" t="s">
        <v>950</v>
      </c>
      <c r="C3176" t="s">
        <v>951</v>
      </c>
      <c r="D3176" t="str">
        <f>HYPERLINK("http://service.sap.com/sap/support/notes/1663514","1663514")</f>
        <v>1663514</v>
      </c>
      <c r="E3176">
        <v>3</v>
      </c>
      <c r="F3176" t="s">
        <v>4329</v>
      </c>
    </row>
    <row r="3177" spans="1:6" x14ac:dyDescent="0.25">
      <c r="A3177" t="s">
        <v>1522</v>
      </c>
      <c r="B3177" t="s">
        <v>950</v>
      </c>
      <c r="C3177" t="s">
        <v>951</v>
      </c>
      <c r="D3177" t="str">
        <f>HYPERLINK("http://service.sap.com/sap/support/notes/1668561","1668561")</f>
        <v>1668561</v>
      </c>
      <c r="E3177">
        <v>1</v>
      </c>
      <c r="F3177" t="s">
        <v>4330</v>
      </c>
    </row>
    <row r="3178" spans="1:6" x14ac:dyDescent="0.25">
      <c r="A3178" t="s">
        <v>1522</v>
      </c>
      <c r="B3178" t="s">
        <v>955</v>
      </c>
      <c r="C3178" t="s">
        <v>4331</v>
      </c>
      <c r="D3178" t="str">
        <f>HYPERLINK("http://service.sap.com/sap/support/notes/1566660","1566660")</f>
        <v>1566660</v>
      </c>
      <c r="E3178">
        <v>5</v>
      </c>
      <c r="F3178" t="s">
        <v>4332</v>
      </c>
    </row>
    <row r="3179" spans="1:6" x14ac:dyDescent="0.25">
      <c r="A3179" t="s">
        <v>1522</v>
      </c>
      <c r="B3179" t="s">
        <v>955</v>
      </c>
      <c r="C3179" t="s">
        <v>4331</v>
      </c>
      <c r="D3179" t="str">
        <f>HYPERLINK("http://service.sap.com/sap/support/notes/1623230","1623230")</f>
        <v>1623230</v>
      </c>
      <c r="E3179">
        <v>1</v>
      </c>
      <c r="F3179" t="s">
        <v>4333</v>
      </c>
    </row>
    <row r="3180" spans="1:6" x14ac:dyDescent="0.25">
      <c r="A3180" t="s">
        <v>1522</v>
      </c>
      <c r="B3180" t="s">
        <v>955</v>
      </c>
      <c r="C3180" t="s">
        <v>4331</v>
      </c>
      <c r="D3180" t="str">
        <f>HYPERLINK("http://service.sap.com/sap/support/notes/1627890","1627890")</f>
        <v>1627890</v>
      </c>
      <c r="E3180">
        <v>2</v>
      </c>
      <c r="F3180" t="s">
        <v>4334</v>
      </c>
    </row>
    <row r="3181" spans="1:6" x14ac:dyDescent="0.25">
      <c r="A3181" t="s">
        <v>1522</v>
      </c>
      <c r="B3181" t="s">
        <v>955</v>
      </c>
      <c r="C3181" t="s">
        <v>4331</v>
      </c>
      <c r="D3181" t="str">
        <f>HYPERLINK("http://service.sap.com/sap/support/notes/1657791","1657791")</f>
        <v>1657791</v>
      </c>
      <c r="E3181">
        <v>4</v>
      </c>
      <c r="F3181" t="s">
        <v>4335</v>
      </c>
    </row>
    <row r="3182" spans="1:6" x14ac:dyDescent="0.25">
      <c r="A3182" t="s">
        <v>1522</v>
      </c>
      <c r="B3182" t="s">
        <v>955</v>
      </c>
      <c r="C3182" t="s">
        <v>4331</v>
      </c>
      <c r="D3182" t="str">
        <f>HYPERLINK("http://service.sap.com/sap/support/notes/1661446","1661446")</f>
        <v>1661446</v>
      </c>
      <c r="E3182">
        <v>1</v>
      </c>
      <c r="F3182" t="s">
        <v>4336</v>
      </c>
    </row>
    <row r="3183" spans="1:6" x14ac:dyDescent="0.25">
      <c r="A3183" t="s">
        <v>1522</v>
      </c>
      <c r="B3183" t="s">
        <v>957</v>
      </c>
      <c r="C3183" t="s">
        <v>958</v>
      </c>
      <c r="D3183" t="str">
        <f>HYPERLINK("http://service.sap.com/sap/support/notes/1628920","1628920")</f>
        <v>1628920</v>
      </c>
      <c r="E3183">
        <v>1</v>
      </c>
      <c r="F3183" t="s">
        <v>4337</v>
      </c>
    </row>
    <row r="3184" spans="1:6" x14ac:dyDescent="0.25">
      <c r="A3184" t="s">
        <v>1522</v>
      </c>
      <c r="B3184" t="s">
        <v>957</v>
      </c>
      <c r="C3184" t="s">
        <v>958</v>
      </c>
      <c r="D3184" t="str">
        <f>HYPERLINK("http://service.sap.com/sap/support/notes/1641894","1641894")</f>
        <v>1641894</v>
      </c>
      <c r="E3184">
        <v>2</v>
      </c>
      <c r="F3184" t="s">
        <v>4338</v>
      </c>
    </row>
    <row r="3185" spans="1:6" x14ac:dyDescent="0.25">
      <c r="A3185" t="s">
        <v>1522</v>
      </c>
      <c r="B3185" t="s">
        <v>957</v>
      </c>
      <c r="C3185" t="s">
        <v>958</v>
      </c>
      <c r="D3185" t="str">
        <f>HYPERLINK("http://service.sap.com/sap/support/notes/1652286","1652286")</f>
        <v>1652286</v>
      </c>
      <c r="E3185">
        <v>2</v>
      </c>
      <c r="F3185" t="s">
        <v>4339</v>
      </c>
    </row>
    <row r="3186" spans="1:6" x14ac:dyDescent="0.25">
      <c r="A3186" t="s">
        <v>1522</v>
      </c>
      <c r="B3186" t="s">
        <v>4340</v>
      </c>
      <c r="C3186" t="s">
        <v>4341</v>
      </c>
      <c r="D3186" t="str">
        <f>HYPERLINK("http://service.sap.com/sap/support/notes/1626972","1626972")</f>
        <v>1626972</v>
      </c>
      <c r="E3186">
        <v>1</v>
      </c>
      <c r="F3186" t="s">
        <v>4342</v>
      </c>
    </row>
    <row r="3187" spans="1:6" x14ac:dyDescent="0.25">
      <c r="A3187" t="s">
        <v>1522</v>
      </c>
      <c r="B3187" t="s">
        <v>4340</v>
      </c>
      <c r="C3187" t="s">
        <v>4341</v>
      </c>
      <c r="D3187" t="str">
        <f>HYPERLINK("http://service.sap.com/sap/support/notes/1632973","1632973")</f>
        <v>1632973</v>
      </c>
      <c r="E3187">
        <v>1</v>
      </c>
      <c r="F3187" t="s">
        <v>4343</v>
      </c>
    </row>
    <row r="3188" spans="1:6" x14ac:dyDescent="0.25">
      <c r="A3188" t="s">
        <v>1522</v>
      </c>
      <c r="B3188" t="s">
        <v>4344</v>
      </c>
      <c r="C3188" t="s">
        <v>4345</v>
      </c>
      <c r="D3188" t="str">
        <f>HYPERLINK("http://service.sap.com/sap/support/notes/1607700","1607700")</f>
        <v>1607700</v>
      </c>
      <c r="E3188">
        <v>2</v>
      </c>
      <c r="F3188" t="s">
        <v>4346</v>
      </c>
    </row>
    <row r="3189" spans="1:6" x14ac:dyDescent="0.25">
      <c r="A3189" t="s">
        <v>1522</v>
      </c>
      <c r="B3189" t="s">
        <v>960</v>
      </c>
      <c r="C3189" t="s">
        <v>961</v>
      </c>
      <c r="D3189" t="str">
        <f>HYPERLINK("http://service.sap.com/sap/support/notes/1665819","1665819")</f>
        <v>1665819</v>
      </c>
      <c r="E3189">
        <v>2</v>
      </c>
      <c r="F3189" t="s">
        <v>4347</v>
      </c>
    </row>
    <row r="3190" spans="1:6" x14ac:dyDescent="0.25">
      <c r="A3190" t="s">
        <v>1522</v>
      </c>
      <c r="B3190" t="s">
        <v>965</v>
      </c>
      <c r="C3190" t="s">
        <v>966</v>
      </c>
      <c r="D3190" t="str">
        <f>HYPERLINK("http://service.sap.com/sap/support/notes/1606510","1606510")</f>
        <v>1606510</v>
      </c>
      <c r="E3190">
        <v>1</v>
      </c>
      <c r="F3190" t="s">
        <v>967</v>
      </c>
    </row>
    <row r="3191" spans="1:6" x14ac:dyDescent="0.25">
      <c r="A3191" t="s">
        <v>1522</v>
      </c>
      <c r="B3191" t="s">
        <v>965</v>
      </c>
      <c r="C3191" t="s">
        <v>966</v>
      </c>
      <c r="D3191" t="str">
        <f>HYPERLINK("http://service.sap.com/sap/support/notes/1626106","1626106")</f>
        <v>1626106</v>
      </c>
      <c r="E3191">
        <v>1</v>
      </c>
      <c r="F3191" t="s">
        <v>4348</v>
      </c>
    </row>
    <row r="3192" spans="1:6" x14ac:dyDescent="0.25">
      <c r="A3192" t="s">
        <v>1522</v>
      </c>
      <c r="B3192" t="s">
        <v>965</v>
      </c>
      <c r="C3192" t="s">
        <v>966</v>
      </c>
      <c r="D3192" t="str">
        <f>HYPERLINK("http://service.sap.com/sap/support/notes/1632405","1632405")</f>
        <v>1632405</v>
      </c>
      <c r="E3192">
        <v>1</v>
      </c>
      <c r="F3192" t="s">
        <v>4349</v>
      </c>
    </row>
    <row r="3193" spans="1:6" x14ac:dyDescent="0.25">
      <c r="A3193" t="s">
        <v>1522</v>
      </c>
      <c r="B3193" t="s">
        <v>965</v>
      </c>
      <c r="C3193" t="s">
        <v>966</v>
      </c>
      <c r="D3193" t="str">
        <f>HYPERLINK("http://service.sap.com/sap/support/notes/1634449","1634449")</f>
        <v>1634449</v>
      </c>
      <c r="E3193">
        <v>2</v>
      </c>
      <c r="F3193" t="s">
        <v>4350</v>
      </c>
    </row>
    <row r="3194" spans="1:6" x14ac:dyDescent="0.25">
      <c r="A3194" t="s">
        <v>1522</v>
      </c>
      <c r="B3194" t="s">
        <v>965</v>
      </c>
      <c r="C3194" t="s">
        <v>966</v>
      </c>
      <c r="D3194" t="str">
        <f>HYPERLINK("http://service.sap.com/sap/support/notes/1637158","1637158")</f>
        <v>1637158</v>
      </c>
      <c r="E3194">
        <v>2</v>
      </c>
      <c r="F3194" t="s">
        <v>4351</v>
      </c>
    </row>
    <row r="3195" spans="1:6" x14ac:dyDescent="0.25">
      <c r="A3195" t="s">
        <v>1522</v>
      </c>
      <c r="B3195" t="s">
        <v>965</v>
      </c>
      <c r="C3195" t="s">
        <v>966</v>
      </c>
      <c r="D3195" t="str">
        <f>HYPERLINK("http://service.sap.com/sap/support/notes/1637468","1637468")</f>
        <v>1637468</v>
      </c>
      <c r="E3195">
        <v>3</v>
      </c>
      <c r="F3195" t="s">
        <v>4352</v>
      </c>
    </row>
    <row r="3196" spans="1:6" x14ac:dyDescent="0.25">
      <c r="A3196" t="s">
        <v>1522</v>
      </c>
      <c r="B3196" t="s">
        <v>965</v>
      </c>
      <c r="C3196" t="s">
        <v>966</v>
      </c>
      <c r="D3196" t="str">
        <f>HYPERLINK("http://service.sap.com/sap/support/notes/1640552","1640552")</f>
        <v>1640552</v>
      </c>
      <c r="E3196">
        <v>1</v>
      </c>
      <c r="F3196" t="s">
        <v>4353</v>
      </c>
    </row>
    <row r="3197" spans="1:6" x14ac:dyDescent="0.25">
      <c r="A3197" t="s">
        <v>1522</v>
      </c>
      <c r="B3197" t="s">
        <v>965</v>
      </c>
      <c r="C3197" t="s">
        <v>966</v>
      </c>
      <c r="D3197" t="str">
        <f>HYPERLINK("http://service.sap.com/sap/support/notes/1640572","1640572")</f>
        <v>1640572</v>
      </c>
      <c r="E3197">
        <v>1</v>
      </c>
      <c r="F3197" t="s">
        <v>4354</v>
      </c>
    </row>
    <row r="3198" spans="1:6" x14ac:dyDescent="0.25">
      <c r="A3198" t="s">
        <v>1522</v>
      </c>
      <c r="B3198" t="s">
        <v>965</v>
      </c>
      <c r="C3198" t="s">
        <v>966</v>
      </c>
      <c r="D3198" t="str">
        <f>HYPERLINK("http://service.sap.com/sap/support/notes/1641235","1641235")</f>
        <v>1641235</v>
      </c>
      <c r="E3198">
        <v>1</v>
      </c>
      <c r="F3198" t="s">
        <v>4355</v>
      </c>
    </row>
    <row r="3199" spans="1:6" x14ac:dyDescent="0.25">
      <c r="A3199" t="s">
        <v>1522</v>
      </c>
      <c r="B3199" t="s">
        <v>965</v>
      </c>
      <c r="C3199" t="s">
        <v>966</v>
      </c>
      <c r="D3199" t="str">
        <f>HYPERLINK("http://service.sap.com/sap/support/notes/1642713","1642713")</f>
        <v>1642713</v>
      </c>
      <c r="E3199">
        <v>1</v>
      </c>
      <c r="F3199" t="s">
        <v>4356</v>
      </c>
    </row>
    <row r="3200" spans="1:6" x14ac:dyDescent="0.25">
      <c r="A3200" t="s">
        <v>1522</v>
      </c>
      <c r="B3200" t="s">
        <v>965</v>
      </c>
      <c r="C3200" t="s">
        <v>966</v>
      </c>
      <c r="D3200" t="str">
        <f>HYPERLINK("http://service.sap.com/sap/support/notes/1642849","1642849")</f>
        <v>1642849</v>
      </c>
      <c r="E3200">
        <v>1</v>
      </c>
      <c r="F3200" t="s">
        <v>4357</v>
      </c>
    </row>
    <row r="3201" spans="1:6" x14ac:dyDescent="0.25">
      <c r="A3201" t="s">
        <v>1522</v>
      </c>
      <c r="B3201" t="s">
        <v>965</v>
      </c>
      <c r="C3201" t="s">
        <v>966</v>
      </c>
      <c r="D3201" t="str">
        <f>HYPERLINK("http://service.sap.com/sap/support/notes/1642956","1642956")</f>
        <v>1642956</v>
      </c>
      <c r="E3201">
        <v>1</v>
      </c>
      <c r="F3201" t="s">
        <v>4358</v>
      </c>
    </row>
    <row r="3202" spans="1:6" x14ac:dyDescent="0.25">
      <c r="A3202" t="s">
        <v>1522</v>
      </c>
      <c r="B3202" t="s">
        <v>965</v>
      </c>
      <c r="C3202" t="s">
        <v>966</v>
      </c>
      <c r="D3202" t="str">
        <f>HYPERLINK("http://service.sap.com/sap/support/notes/1643002","1643002")</f>
        <v>1643002</v>
      </c>
      <c r="E3202">
        <v>1</v>
      </c>
      <c r="F3202" t="s">
        <v>4359</v>
      </c>
    </row>
    <row r="3203" spans="1:6" x14ac:dyDescent="0.25">
      <c r="A3203" t="s">
        <v>1522</v>
      </c>
      <c r="B3203" t="s">
        <v>965</v>
      </c>
      <c r="C3203" t="s">
        <v>966</v>
      </c>
      <c r="D3203" t="str">
        <f>HYPERLINK("http://service.sap.com/sap/support/notes/1643127","1643127")</f>
        <v>1643127</v>
      </c>
      <c r="E3203">
        <v>1</v>
      </c>
      <c r="F3203" t="s">
        <v>4360</v>
      </c>
    </row>
    <row r="3204" spans="1:6" x14ac:dyDescent="0.25">
      <c r="A3204" t="s">
        <v>1522</v>
      </c>
      <c r="B3204" t="s">
        <v>965</v>
      </c>
      <c r="C3204" t="s">
        <v>966</v>
      </c>
      <c r="D3204" t="str">
        <f>HYPERLINK("http://service.sap.com/sap/support/notes/1644074","1644074")</f>
        <v>1644074</v>
      </c>
      <c r="E3204">
        <v>2</v>
      </c>
      <c r="F3204" t="s">
        <v>4361</v>
      </c>
    </row>
    <row r="3205" spans="1:6" x14ac:dyDescent="0.25">
      <c r="A3205" t="s">
        <v>1522</v>
      </c>
      <c r="B3205" t="s">
        <v>965</v>
      </c>
      <c r="C3205" t="s">
        <v>966</v>
      </c>
      <c r="D3205" t="str">
        <f>HYPERLINK("http://service.sap.com/sap/support/notes/1664828","1664828")</f>
        <v>1664828</v>
      </c>
      <c r="E3205">
        <v>3</v>
      </c>
      <c r="F3205" t="s">
        <v>4362</v>
      </c>
    </row>
    <row r="3206" spans="1:6" x14ac:dyDescent="0.25">
      <c r="A3206" t="s">
        <v>1522</v>
      </c>
      <c r="B3206" t="s">
        <v>965</v>
      </c>
      <c r="C3206" t="s">
        <v>966</v>
      </c>
      <c r="D3206" t="str">
        <f>HYPERLINK("http://service.sap.com/sap/support/notes/1664832","1664832")</f>
        <v>1664832</v>
      </c>
      <c r="E3206">
        <v>1</v>
      </c>
      <c r="F3206" t="s">
        <v>4363</v>
      </c>
    </row>
    <row r="3207" spans="1:6" x14ac:dyDescent="0.25">
      <c r="A3207" t="s">
        <v>1522</v>
      </c>
      <c r="B3207" t="s">
        <v>965</v>
      </c>
      <c r="C3207" t="s">
        <v>966</v>
      </c>
      <c r="D3207" t="str">
        <f>HYPERLINK("http://service.sap.com/sap/support/notes/1666190","1666190")</f>
        <v>1666190</v>
      </c>
      <c r="E3207">
        <v>1</v>
      </c>
      <c r="F3207" t="s">
        <v>4364</v>
      </c>
    </row>
    <row r="3208" spans="1:6" x14ac:dyDescent="0.25">
      <c r="A3208" t="s">
        <v>1522</v>
      </c>
      <c r="B3208" t="s">
        <v>965</v>
      </c>
      <c r="C3208" t="s">
        <v>966</v>
      </c>
      <c r="D3208" t="str">
        <f>HYPERLINK("http://service.sap.com/sap/support/notes/1666402","1666402")</f>
        <v>1666402</v>
      </c>
      <c r="E3208">
        <v>1</v>
      </c>
      <c r="F3208" t="s">
        <v>4365</v>
      </c>
    </row>
    <row r="3209" spans="1:6" x14ac:dyDescent="0.25">
      <c r="A3209" t="s">
        <v>1522</v>
      </c>
      <c r="B3209" t="s">
        <v>965</v>
      </c>
      <c r="C3209" t="s">
        <v>966</v>
      </c>
      <c r="D3209" t="str">
        <f>HYPERLINK("http://service.sap.com/sap/support/notes/1666813","1666813")</f>
        <v>1666813</v>
      </c>
      <c r="E3209">
        <v>1</v>
      </c>
      <c r="F3209" t="s">
        <v>4366</v>
      </c>
    </row>
    <row r="3210" spans="1:6" x14ac:dyDescent="0.25">
      <c r="A3210" t="s">
        <v>1522</v>
      </c>
      <c r="B3210" t="s">
        <v>965</v>
      </c>
      <c r="C3210" t="s">
        <v>966</v>
      </c>
      <c r="D3210" t="str">
        <f>HYPERLINK("http://service.sap.com/sap/support/notes/1667335","1667335")</f>
        <v>1667335</v>
      </c>
      <c r="E3210">
        <v>2</v>
      </c>
      <c r="F3210" t="s">
        <v>4367</v>
      </c>
    </row>
    <row r="3211" spans="1:6" x14ac:dyDescent="0.25">
      <c r="A3211" t="s">
        <v>1522</v>
      </c>
      <c r="B3211" t="s">
        <v>965</v>
      </c>
      <c r="C3211" t="s">
        <v>966</v>
      </c>
      <c r="D3211" t="str">
        <f>HYPERLINK("http://service.sap.com/sap/support/notes/1668236","1668236")</f>
        <v>1668236</v>
      </c>
      <c r="E3211">
        <v>1</v>
      </c>
      <c r="F3211" t="s">
        <v>4368</v>
      </c>
    </row>
    <row r="3212" spans="1:6" x14ac:dyDescent="0.25">
      <c r="A3212" t="s">
        <v>1522</v>
      </c>
      <c r="B3212" t="s">
        <v>965</v>
      </c>
      <c r="C3212" t="s">
        <v>966</v>
      </c>
      <c r="D3212" t="str">
        <f>HYPERLINK("http://service.sap.com/sap/support/notes/1668325","1668325")</f>
        <v>1668325</v>
      </c>
      <c r="E3212">
        <v>1</v>
      </c>
      <c r="F3212" t="s">
        <v>4369</v>
      </c>
    </row>
    <row r="3213" spans="1:6" x14ac:dyDescent="0.25">
      <c r="A3213" t="s">
        <v>1522</v>
      </c>
      <c r="B3213" t="s">
        <v>965</v>
      </c>
      <c r="C3213" t="s">
        <v>966</v>
      </c>
      <c r="D3213" t="str">
        <f>HYPERLINK("http://service.sap.com/sap/support/notes/1668355","1668355")</f>
        <v>1668355</v>
      </c>
      <c r="E3213">
        <v>1</v>
      </c>
      <c r="F3213" t="s">
        <v>4370</v>
      </c>
    </row>
    <row r="3214" spans="1:6" x14ac:dyDescent="0.25">
      <c r="A3214" t="s">
        <v>1522</v>
      </c>
      <c r="B3214" t="s">
        <v>965</v>
      </c>
      <c r="C3214" t="s">
        <v>966</v>
      </c>
      <c r="D3214" t="str">
        <f>HYPERLINK("http://service.sap.com/sap/support/notes/1668359","1668359")</f>
        <v>1668359</v>
      </c>
      <c r="E3214">
        <v>1</v>
      </c>
      <c r="F3214" t="s">
        <v>4371</v>
      </c>
    </row>
    <row r="3215" spans="1:6" x14ac:dyDescent="0.25">
      <c r="A3215" t="s">
        <v>1522</v>
      </c>
      <c r="B3215" t="s">
        <v>965</v>
      </c>
      <c r="C3215" t="s">
        <v>966</v>
      </c>
      <c r="D3215" t="str">
        <f>HYPERLINK("http://service.sap.com/sap/support/notes/1669490","1669490")</f>
        <v>1669490</v>
      </c>
      <c r="E3215">
        <v>1</v>
      </c>
      <c r="F3215" t="s">
        <v>4372</v>
      </c>
    </row>
    <row r="3216" spans="1:6" x14ac:dyDescent="0.25">
      <c r="A3216" t="s">
        <v>1522</v>
      </c>
      <c r="B3216" t="s">
        <v>965</v>
      </c>
      <c r="C3216" t="s">
        <v>966</v>
      </c>
      <c r="D3216" t="str">
        <f>HYPERLINK("http://service.sap.com/sap/support/notes/1669609","1669609")</f>
        <v>1669609</v>
      </c>
      <c r="E3216">
        <v>1</v>
      </c>
      <c r="F3216" t="s">
        <v>4373</v>
      </c>
    </row>
    <row r="3217" spans="1:6" x14ac:dyDescent="0.25">
      <c r="A3217" t="s">
        <v>1522</v>
      </c>
      <c r="B3217" t="s">
        <v>965</v>
      </c>
      <c r="C3217" t="s">
        <v>966</v>
      </c>
      <c r="D3217" t="str">
        <f>HYPERLINK("http://service.sap.com/sap/support/notes/1670565","1670565")</f>
        <v>1670565</v>
      </c>
      <c r="E3217">
        <v>1</v>
      </c>
      <c r="F3217" t="s">
        <v>4374</v>
      </c>
    </row>
    <row r="3218" spans="1:6" x14ac:dyDescent="0.25">
      <c r="A3218" t="s">
        <v>1522</v>
      </c>
      <c r="B3218" t="s">
        <v>965</v>
      </c>
      <c r="C3218" t="s">
        <v>966</v>
      </c>
      <c r="D3218" t="str">
        <f>HYPERLINK("http://service.sap.com/sap/support/notes/1670842","1670842")</f>
        <v>1670842</v>
      </c>
      <c r="E3218">
        <v>1</v>
      </c>
      <c r="F3218" t="s">
        <v>4375</v>
      </c>
    </row>
    <row r="3219" spans="1:6" x14ac:dyDescent="0.25">
      <c r="A3219" t="s">
        <v>1522</v>
      </c>
      <c r="B3219" t="s">
        <v>965</v>
      </c>
      <c r="C3219" t="s">
        <v>966</v>
      </c>
      <c r="D3219" t="str">
        <f>HYPERLINK("http://service.sap.com/sap/support/notes/1672611","1672611")</f>
        <v>1672611</v>
      </c>
      <c r="E3219">
        <v>1</v>
      </c>
      <c r="F3219" t="s">
        <v>4376</v>
      </c>
    </row>
    <row r="3220" spans="1:6" x14ac:dyDescent="0.25">
      <c r="A3220" t="s">
        <v>1522</v>
      </c>
      <c r="B3220" t="s">
        <v>4377</v>
      </c>
      <c r="C3220" t="s">
        <v>4378</v>
      </c>
      <c r="D3220" t="str">
        <f>HYPERLINK("http://service.sap.com/sap/support/notes/1638018","1638018")</f>
        <v>1638018</v>
      </c>
      <c r="E3220">
        <v>1</v>
      </c>
      <c r="F3220" t="s">
        <v>4379</v>
      </c>
    </row>
    <row r="3221" spans="1:6" x14ac:dyDescent="0.25">
      <c r="A3221" t="s">
        <v>1522</v>
      </c>
      <c r="B3221" t="s">
        <v>4377</v>
      </c>
      <c r="C3221" t="s">
        <v>4378</v>
      </c>
      <c r="D3221" t="str">
        <f>HYPERLINK("http://service.sap.com/sap/support/notes/1640056","1640056")</f>
        <v>1640056</v>
      </c>
      <c r="E3221">
        <v>1</v>
      </c>
      <c r="F3221" t="s">
        <v>4380</v>
      </c>
    </row>
    <row r="3222" spans="1:6" x14ac:dyDescent="0.25">
      <c r="A3222" t="s">
        <v>1522</v>
      </c>
      <c r="B3222" t="s">
        <v>4381</v>
      </c>
      <c r="C3222" t="s">
        <v>4382</v>
      </c>
      <c r="D3222" t="str">
        <f>HYPERLINK("http://service.sap.com/sap/support/notes/1627415","1627415")</f>
        <v>1627415</v>
      </c>
      <c r="E3222">
        <v>1</v>
      </c>
      <c r="F3222" t="s">
        <v>4383</v>
      </c>
    </row>
    <row r="3223" spans="1:6" x14ac:dyDescent="0.25">
      <c r="A3223" t="s">
        <v>1522</v>
      </c>
      <c r="B3223" t="s">
        <v>4384</v>
      </c>
      <c r="C3223" t="s">
        <v>4385</v>
      </c>
      <c r="D3223" t="str">
        <f>HYPERLINK("http://service.sap.com/sap/support/notes/742405","742405")</f>
        <v>742405</v>
      </c>
      <c r="E3223">
        <v>4</v>
      </c>
      <c r="F3223" t="s">
        <v>4386</v>
      </c>
    </row>
    <row r="3224" spans="1:6" x14ac:dyDescent="0.25">
      <c r="A3224" t="s">
        <v>1522</v>
      </c>
      <c r="B3224" t="s">
        <v>4384</v>
      </c>
      <c r="C3224" t="s">
        <v>4385</v>
      </c>
      <c r="D3224" t="str">
        <f>HYPERLINK("http://service.sap.com/sap/support/notes/1373012","1373012")</f>
        <v>1373012</v>
      </c>
      <c r="E3224">
        <v>1</v>
      </c>
      <c r="F3224" t="s">
        <v>4387</v>
      </c>
    </row>
    <row r="3225" spans="1:6" x14ac:dyDescent="0.25">
      <c r="A3225" t="s">
        <v>1522</v>
      </c>
      <c r="B3225" t="s">
        <v>4384</v>
      </c>
      <c r="C3225" t="s">
        <v>4385</v>
      </c>
      <c r="D3225" t="str">
        <f>HYPERLINK("http://service.sap.com/sap/support/notes/1505992","1505992")</f>
        <v>1505992</v>
      </c>
      <c r="E3225">
        <v>3</v>
      </c>
      <c r="F3225" t="s">
        <v>4388</v>
      </c>
    </row>
    <row r="3226" spans="1:6" x14ac:dyDescent="0.25">
      <c r="A3226" t="s">
        <v>1522</v>
      </c>
      <c r="B3226" t="s">
        <v>4384</v>
      </c>
      <c r="C3226" t="s">
        <v>4385</v>
      </c>
      <c r="D3226" t="str">
        <f>HYPERLINK("http://service.sap.com/sap/support/notes/1511522","1511522")</f>
        <v>1511522</v>
      </c>
      <c r="E3226">
        <v>4</v>
      </c>
      <c r="F3226" t="s">
        <v>4389</v>
      </c>
    </row>
    <row r="3227" spans="1:6" x14ac:dyDescent="0.25">
      <c r="A3227" t="s">
        <v>1522</v>
      </c>
      <c r="B3227" t="s">
        <v>4384</v>
      </c>
      <c r="C3227" t="s">
        <v>4385</v>
      </c>
      <c r="D3227" t="str">
        <f>HYPERLINK("http://service.sap.com/sap/support/notes/1527308","1527308")</f>
        <v>1527308</v>
      </c>
      <c r="E3227">
        <v>3</v>
      </c>
      <c r="F3227" t="s">
        <v>4390</v>
      </c>
    </row>
    <row r="3228" spans="1:6" x14ac:dyDescent="0.25">
      <c r="A3228" t="s">
        <v>1522</v>
      </c>
      <c r="B3228" t="s">
        <v>4384</v>
      </c>
      <c r="C3228" t="s">
        <v>4385</v>
      </c>
      <c r="D3228" t="str">
        <f>HYPERLINK("http://service.sap.com/sap/support/notes/1593405","1593405")</f>
        <v>1593405</v>
      </c>
      <c r="E3228">
        <v>5</v>
      </c>
      <c r="F3228" t="s">
        <v>4391</v>
      </c>
    </row>
    <row r="3229" spans="1:6" x14ac:dyDescent="0.25">
      <c r="A3229" t="s">
        <v>1522</v>
      </c>
      <c r="B3229" t="s">
        <v>968</v>
      </c>
      <c r="C3229" t="s">
        <v>969</v>
      </c>
      <c r="D3229" t="str">
        <f>HYPERLINK("http://service.sap.com/sap/support/notes/1459788","1459788")</f>
        <v>1459788</v>
      </c>
      <c r="E3229">
        <v>2</v>
      </c>
      <c r="F3229" t="s">
        <v>4392</v>
      </c>
    </row>
    <row r="3230" spans="1:6" x14ac:dyDescent="0.25">
      <c r="A3230" t="s">
        <v>1522</v>
      </c>
      <c r="B3230" t="s">
        <v>968</v>
      </c>
      <c r="C3230" t="s">
        <v>969</v>
      </c>
      <c r="D3230" t="str">
        <f>HYPERLINK("http://service.sap.com/sap/support/notes/1462302","1462302")</f>
        <v>1462302</v>
      </c>
      <c r="E3230">
        <v>4</v>
      </c>
      <c r="F3230" t="s">
        <v>4393</v>
      </c>
    </row>
    <row r="3231" spans="1:6" x14ac:dyDescent="0.25">
      <c r="A3231" t="s">
        <v>1522</v>
      </c>
      <c r="B3231" t="s">
        <v>968</v>
      </c>
      <c r="C3231" t="s">
        <v>969</v>
      </c>
      <c r="D3231" t="str">
        <f>HYPERLINK("http://service.sap.com/sap/support/notes/1498552","1498552")</f>
        <v>1498552</v>
      </c>
      <c r="E3231">
        <v>3</v>
      </c>
      <c r="F3231" t="s">
        <v>4394</v>
      </c>
    </row>
    <row r="3232" spans="1:6" x14ac:dyDescent="0.25">
      <c r="A3232" t="s">
        <v>1522</v>
      </c>
      <c r="B3232" t="s">
        <v>968</v>
      </c>
      <c r="C3232" t="s">
        <v>969</v>
      </c>
      <c r="D3232" t="str">
        <f>HYPERLINK("http://service.sap.com/sap/support/notes/1524112","1524112")</f>
        <v>1524112</v>
      </c>
      <c r="E3232">
        <v>2</v>
      </c>
      <c r="F3232" t="s">
        <v>4395</v>
      </c>
    </row>
    <row r="3233" spans="1:6" x14ac:dyDescent="0.25">
      <c r="A3233" t="s">
        <v>1522</v>
      </c>
      <c r="B3233" t="s">
        <v>968</v>
      </c>
      <c r="C3233" t="s">
        <v>969</v>
      </c>
      <c r="D3233" t="str">
        <f>HYPERLINK("http://service.sap.com/sap/support/notes/1561423","1561423")</f>
        <v>1561423</v>
      </c>
      <c r="E3233">
        <v>3</v>
      </c>
      <c r="F3233" t="s">
        <v>4396</v>
      </c>
    </row>
    <row r="3234" spans="1:6" x14ac:dyDescent="0.25">
      <c r="A3234" t="s">
        <v>1522</v>
      </c>
      <c r="B3234" t="s">
        <v>968</v>
      </c>
      <c r="C3234" t="s">
        <v>969</v>
      </c>
      <c r="D3234" t="str">
        <f>HYPERLINK("http://service.sap.com/sap/support/notes/1631669","1631669")</f>
        <v>1631669</v>
      </c>
      <c r="E3234">
        <v>1</v>
      </c>
      <c r="F3234" t="s">
        <v>4397</v>
      </c>
    </row>
    <row r="3235" spans="1:6" x14ac:dyDescent="0.25">
      <c r="A3235" t="s">
        <v>1522</v>
      </c>
      <c r="B3235" t="s">
        <v>968</v>
      </c>
      <c r="C3235" t="s">
        <v>969</v>
      </c>
      <c r="D3235" t="str">
        <f>HYPERLINK("http://service.sap.com/sap/support/notes/1637597","1637597")</f>
        <v>1637597</v>
      </c>
      <c r="E3235">
        <v>2</v>
      </c>
      <c r="F3235" t="s">
        <v>4398</v>
      </c>
    </row>
    <row r="3236" spans="1:6" x14ac:dyDescent="0.25">
      <c r="A3236" t="s">
        <v>1522</v>
      </c>
      <c r="B3236" t="s">
        <v>968</v>
      </c>
      <c r="C3236" t="s">
        <v>969</v>
      </c>
      <c r="D3236" t="str">
        <f>HYPERLINK("http://service.sap.com/sap/support/notes/1666918","1666918")</f>
        <v>1666918</v>
      </c>
      <c r="E3236">
        <v>1</v>
      </c>
      <c r="F3236" t="s">
        <v>4399</v>
      </c>
    </row>
    <row r="3237" spans="1:6" x14ac:dyDescent="0.25">
      <c r="A3237" t="s">
        <v>1522</v>
      </c>
      <c r="B3237" t="s">
        <v>4400</v>
      </c>
      <c r="C3237" t="s">
        <v>4401</v>
      </c>
      <c r="D3237" t="str">
        <f>HYPERLINK("http://service.sap.com/sap/support/notes/1628312","1628312")</f>
        <v>1628312</v>
      </c>
      <c r="E3237">
        <v>2</v>
      </c>
      <c r="F3237" t="s">
        <v>4402</v>
      </c>
    </row>
    <row r="3238" spans="1:6" x14ac:dyDescent="0.25">
      <c r="A3238" t="s">
        <v>1522</v>
      </c>
      <c r="B3238" t="s">
        <v>4403</v>
      </c>
      <c r="C3238" t="s">
        <v>4404</v>
      </c>
      <c r="D3238" t="str">
        <f>HYPERLINK("http://service.sap.com/sap/support/notes/1611672","1611672")</f>
        <v>1611672</v>
      </c>
      <c r="E3238">
        <v>2</v>
      </c>
      <c r="F3238" t="s">
        <v>4405</v>
      </c>
    </row>
    <row r="3239" spans="1:6" x14ac:dyDescent="0.25">
      <c r="A3239" t="s">
        <v>1522</v>
      </c>
      <c r="B3239" t="s">
        <v>4406</v>
      </c>
      <c r="C3239" t="s">
        <v>4407</v>
      </c>
      <c r="D3239" t="str">
        <f>HYPERLINK("http://service.sap.com/sap/support/notes/1532890","1532890")</f>
        <v>1532890</v>
      </c>
      <c r="E3239">
        <v>7</v>
      </c>
      <c r="F3239" t="s">
        <v>4408</v>
      </c>
    </row>
    <row r="3240" spans="1:6" x14ac:dyDescent="0.25">
      <c r="A3240" t="s">
        <v>1522</v>
      </c>
      <c r="B3240" t="s">
        <v>972</v>
      </c>
      <c r="C3240" t="s">
        <v>869</v>
      </c>
      <c r="D3240" t="str">
        <f>HYPERLINK("http://service.sap.com/sap/support/notes/1472838","1472838")</f>
        <v>1472838</v>
      </c>
      <c r="E3240">
        <v>3</v>
      </c>
      <c r="F3240" t="s">
        <v>4409</v>
      </c>
    </row>
    <row r="3241" spans="1:6" x14ac:dyDescent="0.25">
      <c r="A3241" t="s">
        <v>1522</v>
      </c>
      <c r="B3241" t="s">
        <v>972</v>
      </c>
      <c r="C3241" t="s">
        <v>869</v>
      </c>
      <c r="D3241" t="str">
        <f>HYPERLINK("http://service.sap.com/sap/support/notes/1571021","1571021")</f>
        <v>1571021</v>
      </c>
      <c r="E3241">
        <v>1</v>
      </c>
      <c r="F3241" t="s">
        <v>4410</v>
      </c>
    </row>
    <row r="3242" spans="1:6" x14ac:dyDescent="0.25">
      <c r="A3242" t="s">
        <v>1522</v>
      </c>
      <c r="B3242" t="s">
        <v>972</v>
      </c>
      <c r="C3242" t="s">
        <v>869</v>
      </c>
      <c r="D3242" t="str">
        <f>HYPERLINK("http://service.sap.com/sap/support/notes/1574690","1574690")</f>
        <v>1574690</v>
      </c>
      <c r="E3242">
        <v>2</v>
      </c>
      <c r="F3242" t="s">
        <v>4411</v>
      </c>
    </row>
    <row r="3243" spans="1:6" x14ac:dyDescent="0.25">
      <c r="A3243" t="s">
        <v>1522</v>
      </c>
      <c r="B3243" t="s">
        <v>972</v>
      </c>
      <c r="C3243" t="s">
        <v>869</v>
      </c>
      <c r="D3243" t="str">
        <f>HYPERLINK("http://service.sap.com/sap/support/notes/1601171","1601171")</f>
        <v>1601171</v>
      </c>
      <c r="E3243">
        <v>1</v>
      </c>
      <c r="F3243" t="s">
        <v>4412</v>
      </c>
    </row>
    <row r="3244" spans="1:6" x14ac:dyDescent="0.25">
      <c r="A3244" t="s">
        <v>1522</v>
      </c>
      <c r="B3244" t="s">
        <v>972</v>
      </c>
      <c r="C3244" t="s">
        <v>869</v>
      </c>
      <c r="D3244" t="str">
        <f>HYPERLINK("http://service.sap.com/sap/support/notes/1611603","1611603")</f>
        <v>1611603</v>
      </c>
      <c r="E3244">
        <v>4</v>
      </c>
      <c r="F3244" t="s">
        <v>4413</v>
      </c>
    </row>
    <row r="3245" spans="1:6" x14ac:dyDescent="0.25">
      <c r="A3245" t="s">
        <v>1522</v>
      </c>
      <c r="B3245" t="s">
        <v>972</v>
      </c>
      <c r="C3245" t="s">
        <v>869</v>
      </c>
      <c r="D3245" t="str">
        <f>HYPERLINK("http://service.sap.com/sap/support/notes/1630412","1630412")</f>
        <v>1630412</v>
      </c>
      <c r="E3245">
        <v>1</v>
      </c>
      <c r="F3245" t="s">
        <v>4414</v>
      </c>
    </row>
    <row r="3246" spans="1:6" x14ac:dyDescent="0.25">
      <c r="A3246" t="s">
        <v>1522</v>
      </c>
      <c r="B3246" t="s">
        <v>972</v>
      </c>
      <c r="C3246" t="s">
        <v>869</v>
      </c>
      <c r="D3246" t="str">
        <f>HYPERLINK("http://service.sap.com/sap/support/notes/1634044","1634044")</f>
        <v>1634044</v>
      </c>
      <c r="E3246">
        <v>1</v>
      </c>
      <c r="F3246" t="s">
        <v>4415</v>
      </c>
    </row>
    <row r="3247" spans="1:6" x14ac:dyDescent="0.25">
      <c r="A3247" t="s">
        <v>1522</v>
      </c>
      <c r="B3247" t="s">
        <v>972</v>
      </c>
      <c r="C3247" t="s">
        <v>869</v>
      </c>
      <c r="D3247" t="str">
        <f>HYPERLINK("http://service.sap.com/sap/support/notes/1640556","1640556")</f>
        <v>1640556</v>
      </c>
      <c r="E3247">
        <v>1</v>
      </c>
      <c r="F3247" t="s">
        <v>4416</v>
      </c>
    </row>
    <row r="3248" spans="1:6" x14ac:dyDescent="0.25">
      <c r="A3248" t="s">
        <v>1522</v>
      </c>
      <c r="B3248" t="s">
        <v>972</v>
      </c>
      <c r="C3248" t="s">
        <v>869</v>
      </c>
      <c r="D3248" t="str">
        <f>HYPERLINK("http://service.sap.com/sap/support/notes/1644595","1644595")</f>
        <v>1644595</v>
      </c>
      <c r="E3248">
        <v>1</v>
      </c>
      <c r="F3248" t="s">
        <v>4417</v>
      </c>
    </row>
    <row r="3249" spans="1:6" x14ac:dyDescent="0.25">
      <c r="A3249" t="s">
        <v>1522</v>
      </c>
      <c r="B3249" t="s">
        <v>972</v>
      </c>
      <c r="C3249" t="s">
        <v>869</v>
      </c>
      <c r="D3249" t="str">
        <f>HYPERLINK("http://service.sap.com/sap/support/notes/1644815","1644815")</f>
        <v>1644815</v>
      </c>
      <c r="E3249">
        <v>2</v>
      </c>
      <c r="F3249" t="s">
        <v>4418</v>
      </c>
    </row>
    <row r="3250" spans="1:6" x14ac:dyDescent="0.25">
      <c r="A3250" t="s">
        <v>1522</v>
      </c>
      <c r="B3250" t="s">
        <v>972</v>
      </c>
      <c r="C3250" t="s">
        <v>869</v>
      </c>
      <c r="D3250" t="str">
        <f>HYPERLINK("http://service.sap.com/sap/support/notes/1652865","1652865")</f>
        <v>1652865</v>
      </c>
      <c r="E3250">
        <v>1</v>
      </c>
      <c r="F3250" t="s">
        <v>4419</v>
      </c>
    </row>
    <row r="3251" spans="1:6" x14ac:dyDescent="0.25">
      <c r="A3251" t="s">
        <v>1522</v>
      </c>
      <c r="B3251" t="s">
        <v>972</v>
      </c>
      <c r="C3251" t="s">
        <v>869</v>
      </c>
      <c r="D3251" t="str">
        <f>HYPERLINK("http://service.sap.com/sap/support/notes/1666692","1666692")</f>
        <v>1666692</v>
      </c>
      <c r="E3251">
        <v>1</v>
      </c>
      <c r="F3251" t="s">
        <v>4420</v>
      </c>
    </row>
    <row r="3252" spans="1:6" x14ac:dyDescent="0.25">
      <c r="A3252" t="s">
        <v>1522</v>
      </c>
      <c r="B3252" t="s">
        <v>976</v>
      </c>
      <c r="C3252" t="s">
        <v>337</v>
      </c>
      <c r="D3252" t="str">
        <f>HYPERLINK("http://service.sap.com/sap/support/notes/1577039","1577039")</f>
        <v>1577039</v>
      </c>
      <c r="E3252">
        <v>3</v>
      </c>
      <c r="F3252" t="s">
        <v>4421</v>
      </c>
    </row>
    <row r="3253" spans="1:6" x14ac:dyDescent="0.25">
      <c r="A3253" t="s">
        <v>1522</v>
      </c>
      <c r="B3253" t="s">
        <v>4422</v>
      </c>
      <c r="C3253" t="s">
        <v>4146</v>
      </c>
      <c r="D3253" t="str">
        <f>HYPERLINK("http://service.sap.com/sap/support/notes/1562783","1562783")</f>
        <v>1562783</v>
      </c>
      <c r="E3253">
        <v>2</v>
      </c>
      <c r="F3253" t="s">
        <v>4423</v>
      </c>
    </row>
    <row r="3254" spans="1:6" x14ac:dyDescent="0.25">
      <c r="A3254" t="s">
        <v>1522</v>
      </c>
      <c r="B3254" t="s">
        <v>4424</v>
      </c>
      <c r="C3254" t="s">
        <v>14</v>
      </c>
      <c r="D3254" t="str">
        <f>HYPERLINK("http://service.sap.com/sap/support/notes/1544279","1544279")</f>
        <v>1544279</v>
      </c>
      <c r="E3254">
        <v>3</v>
      </c>
      <c r="F3254" t="s">
        <v>4425</v>
      </c>
    </row>
    <row r="3255" spans="1:6" x14ac:dyDescent="0.25">
      <c r="A3255" t="s">
        <v>1522</v>
      </c>
      <c r="B3255" t="s">
        <v>4426</v>
      </c>
      <c r="C3255" t="s">
        <v>4427</v>
      </c>
      <c r="D3255" t="str">
        <f>HYPERLINK("http://service.sap.com/sap/support/notes/1486211","1486211")</f>
        <v>1486211</v>
      </c>
      <c r="E3255">
        <v>2</v>
      </c>
      <c r="F3255" t="s">
        <v>4428</v>
      </c>
    </row>
    <row r="3256" spans="1:6" x14ac:dyDescent="0.25">
      <c r="A3256" t="s">
        <v>1522</v>
      </c>
      <c r="B3256" t="s">
        <v>4429</v>
      </c>
      <c r="C3256" t="s">
        <v>4430</v>
      </c>
    </row>
    <row r="3257" spans="1:6" x14ac:dyDescent="0.25">
      <c r="A3257" t="s">
        <v>1522</v>
      </c>
      <c r="B3257" t="s">
        <v>4431</v>
      </c>
      <c r="C3257" t="s">
        <v>4432</v>
      </c>
    </row>
    <row r="3258" spans="1:6" x14ac:dyDescent="0.25">
      <c r="A3258" t="s">
        <v>1522</v>
      </c>
      <c r="B3258" t="s">
        <v>4433</v>
      </c>
      <c r="C3258" t="s">
        <v>4434</v>
      </c>
      <c r="D3258" t="str">
        <f>HYPERLINK("http://service.sap.com/sap/support/notes/1614925","1614925")</f>
        <v>1614925</v>
      </c>
      <c r="E3258">
        <v>4</v>
      </c>
      <c r="F3258" t="s">
        <v>4435</v>
      </c>
    </row>
    <row r="3259" spans="1:6" x14ac:dyDescent="0.25">
      <c r="A3259" t="s">
        <v>1522</v>
      </c>
      <c r="B3259" t="s">
        <v>4433</v>
      </c>
      <c r="C3259" t="s">
        <v>4434</v>
      </c>
      <c r="D3259" t="str">
        <f>HYPERLINK("http://service.sap.com/sap/support/notes/1644665","1644665")</f>
        <v>1644665</v>
      </c>
      <c r="E3259">
        <v>1</v>
      </c>
      <c r="F3259" t="s">
        <v>4436</v>
      </c>
    </row>
    <row r="3260" spans="1:6" x14ac:dyDescent="0.25">
      <c r="A3260" t="s">
        <v>1522</v>
      </c>
      <c r="B3260" t="s">
        <v>978</v>
      </c>
      <c r="C3260" t="s">
        <v>979</v>
      </c>
    </row>
    <row r="3261" spans="1:6" x14ac:dyDescent="0.25">
      <c r="A3261" t="s">
        <v>1522</v>
      </c>
      <c r="B3261" t="s">
        <v>980</v>
      </c>
      <c r="C3261" t="s">
        <v>981</v>
      </c>
    </row>
    <row r="3262" spans="1:6" x14ac:dyDescent="0.25">
      <c r="A3262" t="s">
        <v>1522</v>
      </c>
      <c r="B3262" t="s">
        <v>982</v>
      </c>
      <c r="C3262" t="s">
        <v>983</v>
      </c>
    </row>
    <row r="3263" spans="1:6" x14ac:dyDescent="0.25">
      <c r="A3263" t="s">
        <v>1522</v>
      </c>
      <c r="B3263" t="s">
        <v>4437</v>
      </c>
      <c r="C3263" t="s">
        <v>4438</v>
      </c>
      <c r="D3263" t="str">
        <f>HYPERLINK("http://service.sap.com/sap/support/notes/1647589","1647589")</f>
        <v>1647589</v>
      </c>
      <c r="E3263">
        <v>2</v>
      </c>
      <c r="F3263" t="s">
        <v>4439</v>
      </c>
    </row>
    <row r="3264" spans="1:6" x14ac:dyDescent="0.25">
      <c r="A3264" t="s">
        <v>1522</v>
      </c>
      <c r="B3264" t="s">
        <v>4437</v>
      </c>
      <c r="C3264" t="s">
        <v>4438</v>
      </c>
      <c r="D3264" t="str">
        <f>HYPERLINK("http://service.sap.com/sap/support/notes/1648755","1648755")</f>
        <v>1648755</v>
      </c>
      <c r="E3264">
        <v>1</v>
      </c>
      <c r="F3264" t="s">
        <v>4440</v>
      </c>
    </row>
    <row r="3265" spans="1:6" x14ac:dyDescent="0.25">
      <c r="A3265" t="s">
        <v>1522</v>
      </c>
      <c r="B3265" t="s">
        <v>4437</v>
      </c>
      <c r="C3265" t="s">
        <v>4438</v>
      </c>
      <c r="D3265" t="str">
        <f>HYPERLINK("http://service.sap.com/sap/support/notes/1652319","1652319")</f>
        <v>1652319</v>
      </c>
      <c r="E3265">
        <v>3</v>
      </c>
      <c r="F3265" t="s">
        <v>4441</v>
      </c>
    </row>
    <row r="3266" spans="1:6" x14ac:dyDescent="0.25">
      <c r="A3266" t="s">
        <v>1522</v>
      </c>
      <c r="B3266" t="s">
        <v>4437</v>
      </c>
      <c r="C3266" t="s">
        <v>4438</v>
      </c>
      <c r="D3266" t="str">
        <f>HYPERLINK("http://service.sap.com/sap/support/notes/1661093","1661093")</f>
        <v>1661093</v>
      </c>
      <c r="E3266">
        <v>1</v>
      </c>
      <c r="F3266" t="s">
        <v>4442</v>
      </c>
    </row>
    <row r="3267" spans="1:6" x14ac:dyDescent="0.25">
      <c r="A3267" t="s">
        <v>1522</v>
      </c>
      <c r="B3267" t="s">
        <v>4443</v>
      </c>
      <c r="C3267" t="s">
        <v>4444</v>
      </c>
    </row>
    <row r="3268" spans="1:6" x14ac:dyDescent="0.25">
      <c r="A3268" t="s">
        <v>1522</v>
      </c>
      <c r="B3268" t="s">
        <v>4445</v>
      </c>
      <c r="C3268" t="s">
        <v>4446</v>
      </c>
      <c r="D3268" t="str">
        <f>HYPERLINK("http://service.sap.com/sap/support/notes/1665721","1665721")</f>
        <v>1665721</v>
      </c>
      <c r="E3268">
        <v>5</v>
      </c>
      <c r="F3268" t="s">
        <v>4447</v>
      </c>
    </row>
    <row r="3269" spans="1:6" x14ac:dyDescent="0.25">
      <c r="A3269" t="s">
        <v>1522</v>
      </c>
      <c r="B3269" t="s">
        <v>989</v>
      </c>
      <c r="C3269" t="s">
        <v>990</v>
      </c>
      <c r="D3269" t="str">
        <f>HYPERLINK("http://service.sap.com/sap/support/notes/1444581","1444581")</f>
        <v>1444581</v>
      </c>
      <c r="E3269">
        <v>1</v>
      </c>
      <c r="F3269" t="s">
        <v>3774</v>
      </c>
    </row>
    <row r="3270" spans="1:6" x14ac:dyDescent="0.25">
      <c r="A3270" t="s">
        <v>1522</v>
      </c>
      <c r="B3270" t="s">
        <v>989</v>
      </c>
      <c r="C3270" t="s">
        <v>990</v>
      </c>
      <c r="D3270" t="str">
        <f>HYPERLINK("http://service.sap.com/sap/support/notes/1602260","1602260")</f>
        <v>1602260</v>
      </c>
      <c r="E3270">
        <v>3</v>
      </c>
      <c r="F3270" t="s">
        <v>4448</v>
      </c>
    </row>
    <row r="3271" spans="1:6" x14ac:dyDescent="0.25">
      <c r="A3271" t="s">
        <v>1522</v>
      </c>
      <c r="B3271" t="s">
        <v>989</v>
      </c>
      <c r="C3271" t="s">
        <v>990</v>
      </c>
      <c r="D3271" t="str">
        <f>HYPERLINK("http://service.sap.com/sap/support/notes/1666416","1666416")</f>
        <v>1666416</v>
      </c>
      <c r="E3271">
        <v>1</v>
      </c>
      <c r="F3271" t="s">
        <v>4449</v>
      </c>
    </row>
    <row r="3272" spans="1:6" x14ac:dyDescent="0.25">
      <c r="A3272" t="s">
        <v>1522</v>
      </c>
      <c r="B3272" t="s">
        <v>992</v>
      </c>
      <c r="C3272" t="s">
        <v>993</v>
      </c>
      <c r="D3272" t="str">
        <f>HYPERLINK("http://service.sap.com/sap/support/notes/1642008","1642008")</f>
        <v>1642008</v>
      </c>
      <c r="E3272">
        <v>1</v>
      </c>
      <c r="F3272" t="s">
        <v>4450</v>
      </c>
    </row>
    <row r="3273" spans="1:6" x14ac:dyDescent="0.25">
      <c r="A3273" t="s">
        <v>1522</v>
      </c>
      <c r="B3273" t="s">
        <v>4451</v>
      </c>
      <c r="C3273" t="s">
        <v>4452</v>
      </c>
      <c r="D3273" t="str">
        <f>HYPERLINK("http://service.sap.com/sap/support/notes/1631610","1631610")</f>
        <v>1631610</v>
      </c>
      <c r="E3273">
        <v>1</v>
      </c>
      <c r="F3273" t="s">
        <v>4453</v>
      </c>
    </row>
    <row r="3274" spans="1:6" x14ac:dyDescent="0.25">
      <c r="A3274" t="s">
        <v>1522</v>
      </c>
      <c r="B3274" t="s">
        <v>4451</v>
      </c>
      <c r="C3274" t="s">
        <v>4452</v>
      </c>
      <c r="D3274" t="str">
        <f>HYPERLINK("http://service.sap.com/sap/support/notes/1638707","1638707")</f>
        <v>1638707</v>
      </c>
      <c r="E3274">
        <v>1</v>
      </c>
      <c r="F3274" t="s">
        <v>4454</v>
      </c>
    </row>
    <row r="3275" spans="1:6" x14ac:dyDescent="0.25">
      <c r="A3275" t="s">
        <v>1522</v>
      </c>
      <c r="B3275" t="s">
        <v>4451</v>
      </c>
      <c r="C3275" t="s">
        <v>4452</v>
      </c>
      <c r="D3275" t="str">
        <f>HYPERLINK("http://service.sap.com/sap/support/notes/1640723","1640723")</f>
        <v>1640723</v>
      </c>
      <c r="E3275">
        <v>1</v>
      </c>
      <c r="F3275" t="s">
        <v>4455</v>
      </c>
    </row>
    <row r="3276" spans="1:6" x14ac:dyDescent="0.25">
      <c r="A3276" t="s">
        <v>1522</v>
      </c>
      <c r="B3276" t="s">
        <v>4451</v>
      </c>
      <c r="C3276" t="s">
        <v>4452</v>
      </c>
      <c r="D3276" t="str">
        <f>HYPERLINK("http://service.sap.com/sap/support/notes/1641847","1641847")</f>
        <v>1641847</v>
      </c>
      <c r="E3276">
        <v>1</v>
      </c>
      <c r="F3276" t="s">
        <v>4456</v>
      </c>
    </row>
    <row r="3277" spans="1:6" x14ac:dyDescent="0.25">
      <c r="A3277" t="s">
        <v>1522</v>
      </c>
      <c r="B3277" t="s">
        <v>4451</v>
      </c>
      <c r="C3277" t="s">
        <v>4452</v>
      </c>
      <c r="D3277" t="str">
        <f>HYPERLINK("http://service.sap.com/sap/support/notes/1653052","1653052")</f>
        <v>1653052</v>
      </c>
      <c r="E3277">
        <v>1</v>
      </c>
      <c r="F3277" t="s">
        <v>4457</v>
      </c>
    </row>
    <row r="3278" spans="1:6" x14ac:dyDescent="0.25">
      <c r="A3278" t="s">
        <v>1522</v>
      </c>
      <c r="B3278" t="s">
        <v>4451</v>
      </c>
      <c r="C3278" t="s">
        <v>4452</v>
      </c>
      <c r="D3278" t="str">
        <f>HYPERLINK("http://service.sap.com/sap/support/notes/1659013","1659013")</f>
        <v>1659013</v>
      </c>
      <c r="E3278">
        <v>1</v>
      </c>
      <c r="F3278" t="s">
        <v>4458</v>
      </c>
    </row>
    <row r="3279" spans="1:6" x14ac:dyDescent="0.25">
      <c r="A3279" t="s">
        <v>1522</v>
      </c>
      <c r="B3279" t="s">
        <v>4451</v>
      </c>
      <c r="C3279" t="s">
        <v>4452</v>
      </c>
      <c r="D3279" t="str">
        <f>HYPERLINK("http://service.sap.com/sap/support/notes/1672340","1672340")</f>
        <v>1672340</v>
      </c>
      <c r="E3279">
        <v>1</v>
      </c>
      <c r="F3279" t="s">
        <v>4459</v>
      </c>
    </row>
    <row r="3280" spans="1:6" x14ac:dyDescent="0.25">
      <c r="A3280" t="s">
        <v>1522</v>
      </c>
      <c r="B3280" t="s">
        <v>997</v>
      </c>
      <c r="C3280" t="s">
        <v>998</v>
      </c>
      <c r="D3280" t="str">
        <f>HYPERLINK("http://service.sap.com/sap/support/notes/1606179","1606179")</f>
        <v>1606179</v>
      </c>
      <c r="E3280">
        <v>4</v>
      </c>
      <c r="F3280" t="s">
        <v>4460</v>
      </c>
    </row>
    <row r="3281" spans="1:6" x14ac:dyDescent="0.25">
      <c r="A3281" t="s">
        <v>1522</v>
      </c>
      <c r="B3281" t="s">
        <v>4461</v>
      </c>
      <c r="C3281" t="s">
        <v>1004</v>
      </c>
      <c r="D3281" t="str">
        <f>HYPERLINK("http://service.sap.com/sap/support/notes/1612931","1612931")</f>
        <v>1612931</v>
      </c>
      <c r="E3281">
        <v>2</v>
      </c>
      <c r="F3281" t="s">
        <v>4462</v>
      </c>
    </row>
    <row r="3282" spans="1:6" x14ac:dyDescent="0.25">
      <c r="A3282" t="s">
        <v>1522</v>
      </c>
      <c r="B3282" t="s">
        <v>4461</v>
      </c>
      <c r="C3282" t="s">
        <v>1004</v>
      </c>
      <c r="D3282" t="str">
        <f>HYPERLINK("http://service.sap.com/sap/support/notes/1670783","1670783")</f>
        <v>1670783</v>
      </c>
      <c r="E3282">
        <v>2</v>
      </c>
      <c r="F3282" t="s">
        <v>4463</v>
      </c>
    </row>
    <row r="3283" spans="1:6" x14ac:dyDescent="0.25">
      <c r="A3283" t="s">
        <v>1522</v>
      </c>
      <c r="B3283" t="s">
        <v>4464</v>
      </c>
      <c r="C3283" t="s">
        <v>4465</v>
      </c>
      <c r="D3283" t="str">
        <f>HYPERLINK("http://service.sap.com/sap/support/notes/1654744","1654744")</f>
        <v>1654744</v>
      </c>
      <c r="E3283">
        <v>1</v>
      </c>
      <c r="F3283" t="s">
        <v>4466</v>
      </c>
    </row>
    <row r="3284" spans="1:6" x14ac:dyDescent="0.25">
      <c r="A3284" t="s">
        <v>1522</v>
      </c>
      <c r="B3284" t="s">
        <v>4464</v>
      </c>
      <c r="C3284" t="s">
        <v>4465</v>
      </c>
      <c r="D3284" t="str">
        <f>HYPERLINK("http://service.sap.com/sap/support/notes/1656839","1656839")</f>
        <v>1656839</v>
      </c>
      <c r="E3284">
        <v>1</v>
      </c>
      <c r="F3284" t="s">
        <v>4467</v>
      </c>
    </row>
    <row r="3285" spans="1:6" x14ac:dyDescent="0.25">
      <c r="A3285" t="s">
        <v>1522</v>
      </c>
      <c r="B3285" t="s">
        <v>4468</v>
      </c>
      <c r="C3285" t="s">
        <v>4469</v>
      </c>
    </row>
    <row r="3286" spans="1:6" x14ac:dyDescent="0.25">
      <c r="A3286" t="s">
        <v>1522</v>
      </c>
      <c r="B3286" t="s">
        <v>4470</v>
      </c>
      <c r="C3286" t="s">
        <v>4471</v>
      </c>
      <c r="D3286" t="str">
        <f>HYPERLINK("http://service.sap.com/sap/support/notes/1653765","1653765")</f>
        <v>1653765</v>
      </c>
      <c r="E3286">
        <v>1</v>
      </c>
      <c r="F3286" t="s">
        <v>4472</v>
      </c>
    </row>
    <row r="3287" spans="1:6" x14ac:dyDescent="0.25">
      <c r="A3287" t="s">
        <v>1522</v>
      </c>
      <c r="B3287" t="s">
        <v>4470</v>
      </c>
      <c r="C3287" t="s">
        <v>4471</v>
      </c>
      <c r="D3287" t="str">
        <f>HYPERLINK("http://service.sap.com/sap/support/notes/1664764","1664764")</f>
        <v>1664764</v>
      </c>
      <c r="E3287">
        <v>1</v>
      </c>
      <c r="F3287" t="s">
        <v>4473</v>
      </c>
    </row>
    <row r="3288" spans="1:6" x14ac:dyDescent="0.25">
      <c r="A3288" t="s">
        <v>1522</v>
      </c>
      <c r="B3288" t="s">
        <v>4470</v>
      </c>
      <c r="C3288" t="s">
        <v>4471</v>
      </c>
      <c r="D3288" t="str">
        <f>HYPERLINK("http://service.sap.com/sap/support/notes/1672501","1672501")</f>
        <v>1672501</v>
      </c>
      <c r="E3288">
        <v>1</v>
      </c>
      <c r="F3288" t="s">
        <v>4474</v>
      </c>
    </row>
    <row r="3289" spans="1:6" x14ac:dyDescent="0.25">
      <c r="A3289" t="s">
        <v>1522</v>
      </c>
      <c r="B3289" t="s">
        <v>4475</v>
      </c>
      <c r="C3289" t="s">
        <v>4476</v>
      </c>
      <c r="D3289" t="str">
        <f>HYPERLINK("http://service.sap.com/sap/support/notes/1602461","1602461")</f>
        <v>1602461</v>
      </c>
      <c r="E3289">
        <v>2</v>
      </c>
      <c r="F3289" t="s">
        <v>4477</v>
      </c>
    </row>
    <row r="3290" spans="1:6" x14ac:dyDescent="0.25">
      <c r="A3290" t="s">
        <v>1522</v>
      </c>
      <c r="B3290" t="s">
        <v>4475</v>
      </c>
      <c r="C3290" t="s">
        <v>4476</v>
      </c>
      <c r="D3290" t="str">
        <f>HYPERLINK("http://service.sap.com/sap/support/notes/1604911","1604911")</f>
        <v>1604911</v>
      </c>
      <c r="E3290">
        <v>2</v>
      </c>
      <c r="F3290" t="s">
        <v>4478</v>
      </c>
    </row>
    <row r="3291" spans="1:6" x14ac:dyDescent="0.25">
      <c r="A3291" t="s">
        <v>1522</v>
      </c>
      <c r="B3291" t="s">
        <v>4479</v>
      </c>
      <c r="C3291" t="s">
        <v>3146</v>
      </c>
    </row>
    <row r="3292" spans="1:6" x14ac:dyDescent="0.25">
      <c r="A3292" t="s">
        <v>1522</v>
      </c>
      <c r="B3292" t="s">
        <v>4480</v>
      </c>
      <c r="C3292" t="s">
        <v>4481</v>
      </c>
      <c r="D3292" t="str">
        <f>HYPERLINK("http://service.sap.com/sap/support/notes/1546221","1546221")</f>
        <v>1546221</v>
      </c>
      <c r="E3292">
        <v>3</v>
      </c>
      <c r="F3292" t="s">
        <v>4482</v>
      </c>
    </row>
    <row r="3293" spans="1:6" x14ac:dyDescent="0.25">
      <c r="A3293" t="s">
        <v>1522</v>
      </c>
      <c r="B3293" t="s">
        <v>4480</v>
      </c>
      <c r="C3293" t="s">
        <v>4481</v>
      </c>
      <c r="D3293" t="str">
        <f>HYPERLINK("http://service.sap.com/sap/support/notes/1631949","1631949")</f>
        <v>1631949</v>
      </c>
      <c r="E3293">
        <v>1</v>
      </c>
      <c r="F3293" t="s">
        <v>4483</v>
      </c>
    </row>
    <row r="3294" spans="1:6" x14ac:dyDescent="0.25">
      <c r="A3294" t="s">
        <v>1522</v>
      </c>
      <c r="B3294" t="s">
        <v>4484</v>
      </c>
      <c r="C3294" t="s">
        <v>4485</v>
      </c>
      <c r="D3294" t="str">
        <f>HYPERLINK("http://service.sap.com/sap/support/notes/1331092","1331092")</f>
        <v>1331092</v>
      </c>
      <c r="E3294">
        <v>9</v>
      </c>
      <c r="F3294" t="s">
        <v>4486</v>
      </c>
    </row>
    <row r="3295" spans="1:6" x14ac:dyDescent="0.25">
      <c r="A3295" t="s">
        <v>1522</v>
      </c>
      <c r="B3295" t="s">
        <v>4484</v>
      </c>
      <c r="C3295" t="s">
        <v>4485</v>
      </c>
      <c r="D3295" t="str">
        <f>HYPERLINK("http://service.sap.com/sap/support/notes/1453731","1453731")</f>
        <v>1453731</v>
      </c>
      <c r="E3295">
        <v>3</v>
      </c>
      <c r="F3295" t="s">
        <v>4487</v>
      </c>
    </row>
    <row r="3296" spans="1:6" x14ac:dyDescent="0.25">
      <c r="A3296" t="s">
        <v>1522</v>
      </c>
      <c r="B3296" t="s">
        <v>4484</v>
      </c>
      <c r="C3296" t="s">
        <v>4485</v>
      </c>
      <c r="D3296" t="str">
        <f>HYPERLINK("http://service.sap.com/sap/support/notes/1500025","1500025")</f>
        <v>1500025</v>
      </c>
      <c r="E3296">
        <v>5</v>
      </c>
      <c r="F3296" t="s">
        <v>4488</v>
      </c>
    </row>
    <row r="3297" spans="1:6" x14ac:dyDescent="0.25">
      <c r="A3297" t="s">
        <v>1522</v>
      </c>
      <c r="B3297" t="s">
        <v>4484</v>
      </c>
      <c r="C3297" t="s">
        <v>4485</v>
      </c>
      <c r="D3297" t="str">
        <f>HYPERLINK("http://service.sap.com/sap/support/notes/1540782","1540782")</f>
        <v>1540782</v>
      </c>
      <c r="E3297">
        <v>2</v>
      </c>
      <c r="F3297" t="s">
        <v>4489</v>
      </c>
    </row>
    <row r="3298" spans="1:6" x14ac:dyDescent="0.25">
      <c r="A3298" t="s">
        <v>1522</v>
      </c>
      <c r="B3298" t="s">
        <v>4484</v>
      </c>
      <c r="C3298" t="s">
        <v>4485</v>
      </c>
      <c r="D3298" t="str">
        <f>HYPERLINK("http://service.sap.com/sap/support/notes/1611106","1611106")</f>
        <v>1611106</v>
      </c>
      <c r="E3298">
        <v>2</v>
      </c>
      <c r="F3298" t="s">
        <v>4490</v>
      </c>
    </row>
    <row r="3299" spans="1:6" x14ac:dyDescent="0.25">
      <c r="A3299" t="s">
        <v>1522</v>
      </c>
      <c r="B3299" t="s">
        <v>4484</v>
      </c>
      <c r="C3299" t="s">
        <v>4485</v>
      </c>
      <c r="D3299" t="str">
        <f>HYPERLINK("http://service.sap.com/sap/support/notes/1616615","1616615")</f>
        <v>1616615</v>
      </c>
      <c r="E3299">
        <v>2</v>
      </c>
      <c r="F3299" t="s">
        <v>4491</v>
      </c>
    </row>
    <row r="3300" spans="1:6" x14ac:dyDescent="0.25">
      <c r="A3300" t="s">
        <v>1522</v>
      </c>
      <c r="B3300" t="s">
        <v>4484</v>
      </c>
      <c r="C3300" t="s">
        <v>4485</v>
      </c>
      <c r="D3300" t="str">
        <f>HYPERLINK("http://service.sap.com/sap/support/notes/1618758","1618758")</f>
        <v>1618758</v>
      </c>
      <c r="E3300">
        <v>2</v>
      </c>
      <c r="F3300" t="s">
        <v>4492</v>
      </c>
    </row>
    <row r="3301" spans="1:6" x14ac:dyDescent="0.25">
      <c r="A3301" t="s">
        <v>1522</v>
      </c>
      <c r="B3301" t="s">
        <v>4484</v>
      </c>
      <c r="C3301" t="s">
        <v>4485</v>
      </c>
      <c r="D3301" t="str">
        <f>HYPERLINK("http://service.sap.com/sap/support/notes/1619039","1619039")</f>
        <v>1619039</v>
      </c>
      <c r="E3301">
        <v>2</v>
      </c>
      <c r="F3301" t="s">
        <v>4493</v>
      </c>
    </row>
    <row r="3302" spans="1:6" x14ac:dyDescent="0.25">
      <c r="A3302" t="s">
        <v>1522</v>
      </c>
      <c r="B3302" t="s">
        <v>4484</v>
      </c>
      <c r="C3302" t="s">
        <v>4485</v>
      </c>
      <c r="D3302" t="str">
        <f>HYPERLINK("http://service.sap.com/sap/support/notes/1643509","1643509")</f>
        <v>1643509</v>
      </c>
      <c r="E3302">
        <v>1</v>
      </c>
      <c r="F3302" t="s">
        <v>4494</v>
      </c>
    </row>
    <row r="3303" spans="1:6" x14ac:dyDescent="0.25">
      <c r="A3303" t="s">
        <v>1522</v>
      </c>
      <c r="B3303" t="s">
        <v>4484</v>
      </c>
      <c r="C3303" t="s">
        <v>4485</v>
      </c>
      <c r="D3303" t="str">
        <f>HYPERLINK("http://service.sap.com/sap/support/notes/1647258","1647258")</f>
        <v>1647258</v>
      </c>
      <c r="E3303">
        <v>1</v>
      </c>
      <c r="F3303" t="s">
        <v>4495</v>
      </c>
    </row>
    <row r="3304" spans="1:6" x14ac:dyDescent="0.25">
      <c r="A3304" t="s">
        <v>1522</v>
      </c>
      <c r="B3304" t="s">
        <v>4496</v>
      </c>
      <c r="C3304" t="s">
        <v>4497</v>
      </c>
      <c r="D3304" t="str">
        <f>HYPERLINK("http://service.sap.com/sap/support/notes/1656376","1656376")</f>
        <v>1656376</v>
      </c>
      <c r="E3304">
        <v>5</v>
      </c>
      <c r="F3304" t="s">
        <v>4498</v>
      </c>
    </row>
    <row r="3305" spans="1:6" x14ac:dyDescent="0.25">
      <c r="A3305" t="s">
        <v>1522</v>
      </c>
      <c r="B3305" t="s">
        <v>1000</v>
      </c>
      <c r="C3305" t="s">
        <v>4499</v>
      </c>
    </row>
    <row r="3306" spans="1:6" x14ac:dyDescent="0.25">
      <c r="A3306" t="s">
        <v>1522</v>
      </c>
      <c r="B3306" t="s">
        <v>4500</v>
      </c>
      <c r="C3306" t="s">
        <v>4501</v>
      </c>
      <c r="D3306" t="str">
        <f>HYPERLINK("http://service.sap.com/sap/support/notes/1628370","1628370")</f>
        <v>1628370</v>
      </c>
      <c r="E3306">
        <v>1</v>
      </c>
      <c r="F3306" t="s">
        <v>4502</v>
      </c>
    </row>
    <row r="3307" spans="1:6" x14ac:dyDescent="0.25">
      <c r="A3307" t="s">
        <v>1522</v>
      </c>
      <c r="B3307" t="s">
        <v>4500</v>
      </c>
      <c r="C3307" t="s">
        <v>4501</v>
      </c>
      <c r="D3307" t="str">
        <f>HYPERLINK("http://service.sap.com/sap/support/notes/1669654","1669654")</f>
        <v>1669654</v>
      </c>
      <c r="E3307">
        <v>1</v>
      </c>
      <c r="F3307" t="s">
        <v>4503</v>
      </c>
    </row>
    <row r="3308" spans="1:6" x14ac:dyDescent="0.25">
      <c r="A3308" t="s">
        <v>1522</v>
      </c>
      <c r="B3308" t="s">
        <v>4504</v>
      </c>
      <c r="C3308" t="s">
        <v>4505</v>
      </c>
      <c r="D3308" t="str">
        <f>HYPERLINK("http://service.sap.com/sap/support/notes/1637348","1637348")</f>
        <v>1637348</v>
      </c>
      <c r="E3308">
        <v>2</v>
      </c>
      <c r="F3308" t="s">
        <v>4506</v>
      </c>
    </row>
    <row r="3309" spans="1:6" x14ac:dyDescent="0.25">
      <c r="A3309" t="s">
        <v>1522</v>
      </c>
      <c r="B3309" t="s">
        <v>4504</v>
      </c>
      <c r="C3309" t="s">
        <v>4505</v>
      </c>
      <c r="D3309" t="str">
        <f>HYPERLINK("http://service.sap.com/sap/support/notes/1643660","1643660")</f>
        <v>1643660</v>
      </c>
      <c r="E3309">
        <v>2</v>
      </c>
      <c r="F3309" t="s">
        <v>4507</v>
      </c>
    </row>
    <row r="3310" spans="1:6" x14ac:dyDescent="0.25">
      <c r="A3310" t="s">
        <v>1522</v>
      </c>
      <c r="B3310" t="s">
        <v>4504</v>
      </c>
      <c r="C3310" t="s">
        <v>4505</v>
      </c>
      <c r="D3310" t="str">
        <f>HYPERLINK("http://service.sap.com/sap/support/notes/1665961","1665961")</f>
        <v>1665961</v>
      </c>
      <c r="E3310">
        <v>2</v>
      </c>
      <c r="F3310" t="s">
        <v>4508</v>
      </c>
    </row>
    <row r="3311" spans="1:6" x14ac:dyDescent="0.25">
      <c r="A3311" t="s">
        <v>1522</v>
      </c>
      <c r="B3311" t="s">
        <v>4509</v>
      </c>
      <c r="C3311" t="s">
        <v>4510</v>
      </c>
      <c r="D3311" t="str">
        <f>HYPERLINK("http://service.sap.com/sap/support/notes/1389723","1389723")</f>
        <v>1389723</v>
      </c>
      <c r="E3311">
        <v>2</v>
      </c>
      <c r="F3311" t="s">
        <v>4511</v>
      </c>
    </row>
    <row r="3312" spans="1:6" x14ac:dyDescent="0.25">
      <c r="A3312" t="s">
        <v>1522</v>
      </c>
      <c r="B3312" t="s">
        <v>4509</v>
      </c>
      <c r="C3312" t="s">
        <v>4510</v>
      </c>
      <c r="D3312" t="str">
        <f>HYPERLINK("http://service.sap.com/sap/support/notes/1592829","1592829")</f>
        <v>1592829</v>
      </c>
      <c r="E3312">
        <v>3</v>
      </c>
      <c r="F3312" t="s">
        <v>4512</v>
      </c>
    </row>
    <row r="3313" spans="1:6" x14ac:dyDescent="0.25">
      <c r="A3313" t="s">
        <v>1522</v>
      </c>
      <c r="B3313" t="s">
        <v>1003</v>
      </c>
      <c r="C3313" t="s">
        <v>1004</v>
      </c>
      <c r="D3313" t="str">
        <f>HYPERLINK("http://service.sap.com/sap/support/notes/1582802","1582802")</f>
        <v>1582802</v>
      </c>
      <c r="E3313">
        <v>2</v>
      </c>
      <c r="F3313" t="s">
        <v>4513</v>
      </c>
    </row>
    <row r="3314" spans="1:6" x14ac:dyDescent="0.25">
      <c r="A3314" t="s">
        <v>1522</v>
      </c>
      <c r="B3314" t="s">
        <v>1003</v>
      </c>
      <c r="C3314" t="s">
        <v>1004</v>
      </c>
      <c r="D3314" t="str">
        <f>HYPERLINK("http://service.sap.com/sap/support/notes/1605464","1605464")</f>
        <v>1605464</v>
      </c>
      <c r="E3314">
        <v>2</v>
      </c>
      <c r="F3314" t="s">
        <v>4514</v>
      </c>
    </row>
    <row r="3315" spans="1:6" x14ac:dyDescent="0.25">
      <c r="A3315" t="s">
        <v>1522</v>
      </c>
      <c r="B3315" t="s">
        <v>1003</v>
      </c>
      <c r="C3315" t="s">
        <v>1004</v>
      </c>
      <c r="D3315" t="str">
        <f>HYPERLINK("http://service.sap.com/sap/support/notes/1609590","1609590")</f>
        <v>1609590</v>
      </c>
      <c r="E3315">
        <v>2</v>
      </c>
      <c r="F3315" t="s">
        <v>4515</v>
      </c>
    </row>
    <row r="3316" spans="1:6" x14ac:dyDescent="0.25">
      <c r="A3316" t="s">
        <v>1522</v>
      </c>
      <c r="B3316" t="s">
        <v>1003</v>
      </c>
      <c r="C3316" t="s">
        <v>1004</v>
      </c>
      <c r="D3316" t="str">
        <f>HYPERLINK("http://service.sap.com/sap/support/notes/1630870","1630870")</f>
        <v>1630870</v>
      </c>
      <c r="E3316">
        <v>1</v>
      </c>
      <c r="F3316" t="s">
        <v>4516</v>
      </c>
    </row>
    <row r="3317" spans="1:6" x14ac:dyDescent="0.25">
      <c r="A3317" t="s">
        <v>1522</v>
      </c>
      <c r="B3317" t="s">
        <v>1003</v>
      </c>
      <c r="C3317" t="s">
        <v>1004</v>
      </c>
      <c r="D3317" t="str">
        <f>HYPERLINK("http://service.sap.com/sap/support/notes/1631564","1631564")</f>
        <v>1631564</v>
      </c>
      <c r="E3317">
        <v>1</v>
      </c>
      <c r="F3317" t="s">
        <v>4517</v>
      </c>
    </row>
    <row r="3318" spans="1:6" x14ac:dyDescent="0.25">
      <c r="A3318" t="s">
        <v>1522</v>
      </c>
      <c r="B3318" t="s">
        <v>1003</v>
      </c>
      <c r="C3318" t="s">
        <v>1004</v>
      </c>
      <c r="D3318" t="str">
        <f>HYPERLINK("http://service.sap.com/sap/support/notes/1632000","1632000")</f>
        <v>1632000</v>
      </c>
      <c r="E3318">
        <v>1</v>
      </c>
      <c r="F3318" t="s">
        <v>4518</v>
      </c>
    </row>
    <row r="3319" spans="1:6" x14ac:dyDescent="0.25">
      <c r="A3319" t="s">
        <v>1522</v>
      </c>
      <c r="B3319" t="s">
        <v>1003</v>
      </c>
      <c r="C3319" t="s">
        <v>1004</v>
      </c>
      <c r="D3319" t="str">
        <f>HYPERLINK("http://service.sap.com/sap/support/notes/1651247","1651247")</f>
        <v>1651247</v>
      </c>
      <c r="E3319">
        <v>1</v>
      </c>
      <c r="F3319" t="s">
        <v>4519</v>
      </c>
    </row>
    <row r="3320" spans="1:6" x14ac:dyDescent="0.25">
      <c r="A3320" t="s">
        <v>1522</v>
      </c>
      <c r="B3320" t="s">
        <v>1003</v>
      </c>
      <c r="C3320" t="s">
        <v>1004</v>
      </c>
      <c r="D3320" t="str">
        <f>HYPERLINK("http://service.sap.com/sap/support/notes/1662810","1662810")</f>
        <v>1662810</v>
      </c>
      <c r="E3320">
        <v>1</v>
      </c>
      <c r="F3320" t="s">
        <v>4520</v>
      </c>
    </row>
    <row r="3321" spans="1:6" x14ac:dyDescent="0.25">
      <c r="A3321" t="s">
        <v>1522</v>
      </c>
      <c r="B3321" t="s">
        <v>1006</v>
      </c>
      <c r="C3321" t="s">
        <v>1007</v>
      </c>
      <c r="D3321" t="str">
        <f>HYPERLINK("http://service.sap.com/sap/support/notes/1456000","1456000")</f>
        <v>1456000</v>
      </c>
      <c r="E3321">
        <v>4</v>
      </c>
      <c r="F3321" t="s">
        <v>4521</v>
      </c>
    </row>
    <row r="3322" spans="1:6" x14ac:dyDescent="0.25">
      <c r="A3322" t="s">
        <v>1522</v>
      </c>
      <c r="B3322" t="s">
        <v>1006</v>
      </c>
      <c r="C3322" t="s">
        <v>1007</v>
      </c>
      <c r="D3322" t="str">
        <f>HYPERLINK("http://service.sap.com/sap/support/notes/1461519","1461519")</f>
        <v>1461519</v>
      </c>
      <c r="E3322">
        <v>2</v>
      </c>
      <c r="F3322" t="s">
        <v>4522</v>
      </c>
    </row>
    <row r="3323" spans="1:6" x14ac:dyDescent="0.25">
      <c r="A3323" t="s">
        <v>1522</v>
      </c>
      <c r="B3323" t="s">
        <v>1006</v>
      </c>
      <c r="C3323" t="s">
        <v>1007</v>
      </c>
      <c r="D3323" t="str">
        <f>HYPERLINK("http://service.sap.com/sap/support/notes/1619556","1619556")</f>
        <v>1619556</v>
      </c>
      <c r="E3323">
        <v>3</v>
      </c>
      <c r="F3323" t="s">
        <v>4523</v>
      </c>
    </row>
    <row r="3324" spans="1:6" x14ac:dyDescent="0.25">
      <c r="A3324" t="s">
        <v>1522</v>
      </c>
      <c r="B3324" t="s">
        <v>1006</v>
      </c>
      <c r="C3324" t="s">
        <v>1007</v>
      </c>
      <c r="D3324" t="str">
        <f>HYPERLINK("http://service.sap.com/sap/support/notes/1622978","1622978")</f>
        <v>1622978</v>
      </c>
      <c r="E3324">
        <v>2</v>
      </c>
      <c r="F3324" t="s">
        <v>4524</v>
      </c>
    </row>
    <row r="3325" spans="1:6" x14ac:dyDescent="0.25">
      <c r="A3325" t="s">
        <v>1522</v>
      </c>
      <c r="B3325" t="s">
        <v>1006</v>
      </c>
      <c r="C3325" t="s">
        <v>1007</v>
      </c>
      <c r="D3325" t="str">
        <f>HYPERLINK("http://service.sap.com/sap/support/notes/1648900","1648900")</f>
        <v>1648900</v>
      </c>
      <c r="E3325">
        <v>1</v>
      </c>
      <c r="F3325" t="s">
        <v>4525</v>
      </c>
    </row>
    <row r="3326" spans="1:6" x14ac:dyDescent="0.25">
      <c r="A3326" t="s">
        <v>1522</v>
      </c>
      <c r="B3326" t="s">
        <v>1006</v>
      </c>
      <c r="C3326" t="s">
        <v>1007</v>
      </c>
      <c r="D3326" t="str">
        <f>HYPERLINK("http://service.sap.com/sap/support/notes/1656733","1656733")</f>
        <v>1656733</v>
      </c>
      <c r="E3326">
        <v>2</v>
      </c>
      <c r="F3326" t="s">
        <v>4526</v>
      </c>
    </row>
    <row r="3327" spans="1:6" x14ac:dyDescent="0.25">
      <c r="A3327" t="s">
        <v>1522</v>
      </c>
      <c r="B3327" t="s">
        <v>4527</v>
      </c>
      <c r="C3327" t="s">
        <v>4528</v>
      </c>
      <c r="D3327" t="str">
        <f>HYPERLINK("http://service.sap.com/sap/support/notes/1631544","1631544")</f>
        <v>1631544</v>
      </c>
      <c r="E3327">
        <v>2</v>
      </c>
      <c r="F3327" t="s">
        <v>4529</v>
      </c>
    </row>
    <row r="3328" spans="1:6" x14ac:dyDescent="0.25">
      <c r="A3328" t="s">
        <v>1522</v>
      </c>
      <c r="B3328" t="s">
        <v>4530</v>
      </c>
      <c r="C3328" t="s">
        <v>4531</v>
      </c>
      <c r="D3328" t="str">
        <f>HYPERLINK("http://service.sap.com/sap/support/notes/1642471","1642471")</f>
        <v>1642471</v>
      </c>
      <c r="E3328">
        <v>2</v>
      </c>
      <c r="F3328" t="s">
        <v>4532</v>
      </c>
    </row>
    <row r="3329" spans="1:6" x14ac:dyDescent="0.25">
      <c r="A3329" t="s">
        <v>1522</v>
      </c>
      <c r="B3329" t="s">
        <v>1010</v>
      </c>
      <c r="C3329" t="s">
        <v>1011</v>
      </c>
      <c r="D3329" t="str">
        <f>HYPERLINK("http://service.sap.com/sap/support/notes/1357339","1357339")</f>
        <v>1357339</v>
      </c>
      <c r="E3329">
        <v>4</v>
      </c>
      <c r="F3329" t="s">
        <v>4533</v>
      </c>
    </row>
    <row r="3330" spans="1:6" x14ac:dyDescent="0.25">
      <c r="A3330" t="s">
        <v>1522</v>
      </c>
      <c r="B3330" t="s">
        <v>1010</v>
      </c>
      <c r="C3330" t="s">
        <v>1011</v>
      </c>
      <c r="D3330" t="str">
        <f>HYPERLINK("http://service.sap.com/sap/support/notes/1569664","1569664")</f>
        <v>1569664</v>
      </c>
      <c r="E3330">
        <v>2</v>
      </c>
      <c r="F3330" t="s">
        <v>4534</v>
      </c>
    </row>
    <row r="3331" spans="1:6" x14ac:dyDescent="0.25">
      <c r="A3331" t="s">
        <v>1522</v>
      </c>
      <c r="B3331" t="s">
        <v>1010</v>
      </c>
      <c r="C3331" t="s">
        <v>1011</v>
      </c>
      <c r="D3331" t="str">
        <f>HYPERLINK("http://service.sap.com/sap/support/notes/1570099","1570099")</f>
        <v>1570099</v>
      </c>
      <c r="E3331">
        <v>2</v>
      </c>
      <c r="F3331" t="s">
        <v>4535</v>
      </c>
    </row>
    <row r="3332" spans="1:6" x14ac:dyDescent="0.25">
      <c r="A3332" t="s">
        <v>1522</v>
      </c>
      <c r="B3332" t="s">
        <v>1010</v>
      </c>
      <c r="C3332" t="s">
        <v>1011</v>
      </c>
      <c r="D3332" t="str">
        <f>HYPERLINK("http://service.sap.com/sap/support/notes/1585813","1585813")</f>
        <v>1585813</v>
      </c>
      <c r="E3332">
        <v>5</v>
      </c>
      <c r="F3332" t="s">
        <v>4536</v>
      </c>
    </row>
    <row r="3333" spans="1:6" x14ac:dyDescent="0.25">
      <c r="A3333" t="s">
        <v>1522</v>
      </c>
      <c r="B3333" t="s">
        <v>1010</v>
      </c>
      <c r="C3333" t="s">
        <v>1011</v>
      </c>
      <c r="D3333" t="str">
        <f>HYPERLINK("http://service.sap.com/sap/support/notes/1588179","1588179")</f>
        <v>1588179</v>
      </c>
      <c r="E3333">
        <v>2</v>
      </c>
      <c r="F3333" t="s">
        <v>4537</v>
      </c>
    </row>
    <row r="3334" spans="1:6" x14ac:dyDescent="0.25">
      <c r="A3334" t="s">
        <v>1522</v>
      </c>
      <c r="B3334" t="s">
        <v>1010</v>
      </c>
      <c r="C3334" t="s">
        <v>1011</v>
      </c>
      <c r="D3334" t="str">
        <f>HYPERLINK("http://service.sap.com/sap/support/notes/1590240","1590240")</f>
        <v>1590240</v>
      </c>
      <c r="E3334">
        <v>2</v>
      </c>
      <c r="F3334" t="s">
        <v>4538</v>
      </c>
    </row>
    <row r="3335" spans="1:6" x14ac:dyDescent="0.25">
      <c r="A3335" t="s">
        <v>1522</v>
      </c>
      <c r="B3335" t="s">
        <v>1010</v>
      </c>
      <c r="C3335" t="s">
        <v>1011</v>
      </c>
      <c r="D3335" t="str">
        <f>HYPERLINK("http://service.sap.com/sap/support/notes/1600258","1600258")</f>
        <v>1600258</v>
      </c>
      <c r="E3335">
        <v>2</v>
      </c>
      <c r="F3335" t="s">
        <v>4539</v>
      </c>
    </row>
    <row r="3336" spans="1:6" x14ac:dyDescent="0.25">
      <c r="A3336" t="s">
        <v>1522</v>
      </c>
      <c r="B3336" t="s">
        <v>1010</v>
      </c>
      <c r="C3336" t="s">
        <v>1011</v>
      </c>
      <c r="D3336" t="str">
        <f>HYPERLINK("http://service.sap.com/sap/support/notes/1605364","1605364")</f>
        <v>1605364</v>
      </c>
      <c r="E3336">
        <v>2</v>
      </c>
      <c r="F3336" t="s">
        <v>4540</v>
      </c>
    </row>
    <row r="3337" spans="1:6" x14ac:dyDescent="0.25">
      <c r="A3337" t="s">
        <v>1522</v>
      </c>
      <c r="B3337" t="s">
        <v>1010</v>
      </c>
      <c r="C3337" t="s">
        <v>1011</v>
      </c>
      <c r="D3337" t="str">
        <f>HYPERLINK("http://service.sap.com/sap/support/notes/1606399","1606399")</f>
        <v>1606399</v>
      </c>
      <c r="E3337">
        <v>2</v>
      </c>
      <c r="F3337" t="s">
        <v>4541</v>
      </c>
    </row>
    <row r="3338" spans="1:6" x14ac:dyDescent="0.25">
      <c r="A3338" t="s">
        <v>1522</v>
      </c>
      <c r="B3338" t="s">
        <v>1010</v>
      </c>
      <c r="C3338" t="s">
        <v>1011</v>
      </c>
      <c r="D3338" t="str">
        <f>HYPERLINK("http://service.sap.com/sap/support/notes/1621730","1621730")</f>
        <v>1621730</v>
      </c>
      <c r="E3338">
        <v>2</v>
      </c>
      <c r="F3338" t="s">
        <v>4542</v>
      </c>
    </row>
    <row r="3339" spans="1:6" x14ac:dyDescent="0.25">
      <c r="A3339" t="s">
        <v>1522</v>
      </c>
      <c r="B3339" t="s">
        <v>1010</v>
      </c>
      <c r="C3339" t="s">
        <v>1011</v>
      </c>
      <c r="D3339" t="str">
        <f>HYPERLINK("http://service.sap.com/sap/support/notes/1623490","1623490")</f>
        <v>1623490</v>
      </c>
      <c r="E3339">
        <v>2</v>
      </c>
      <c r="F3339" t="s">
        <v>4543</v>
      </c>
    </row>
    <row r="3340" spans="1:6" x14ac:dyDescent="0.25">
      <c r="A3340" t="s">
        <v>1522</v>
      </c>
      <c r="B3340" t="s">
        <v>1010</v>
      </c>
      <c r="C3340" t="s">
        <v>1011</v>
      </c>
      <c r="D3340" t="str">
        <f>HYPERLINK("http://service.sap.com/sap/support/notes/1629916","1629916")</f>
        <v>1629916</v>
      </c>
      <c r="E3340">
        <v>5</v>
      </c>
      <c r="F3340" t="s">
        <v>4544</v>
      </c>
    </row>
    <row r="3341" spans="1:6" x14ac:dyDescent="0.25">
      <c r="A3341" t="s">
        <v>1522</v>
      </c>
      <c r="B3341" t="s">
        <v>1010</v>
      </c>
      <c r="C3341" t="s">
        <v>1011</v>
      </c>
      <c r="D3341" t="str">
        <f>HYPERLINK("http://service.sap.com/sap/support/notes/1633875","1633875")</f>
        <v>1633875</v>
      </c>
      <c r="E3341">
        <v>2</v>
      </c>
      <c r="F3341" t="s">
        <v>4545</v>
      </c>
    </row>
    <row r="3342" spans="1:6" x14ac:dyDescent="0.25">
      <c r="A3342" t="s">
        <v>1522</v>
      </c>
      <c r="B3342" t="s">
        <v>1010</v>
      </c>
      <c r="C3342" t="s">
        <v>1011</v>
      </c>
      <c r="D3342" t="str">
        <f>HYPERLINK("http://service.sap.com/sap/support/notes/1638035","1638035")</f>
        <v>1638035</v>
      </c>
      <c r="E3342">
        <v>2</v>
      </c>
      <c r="F3342" t="s">
        <v>4546</v>
      </c>
    </row>
    <row r="3343" spans="1:6" x14ac:dyDescent="0.25">
      <c r="A3343" t="s">
        <v>1522</v>
      </c>
      <c r="B3343" t="s">
        <v>1010</v>
      </c>
      <c r="C3343" t="s">
        <v>1011</v>
      </c>
      <c r="D3343" t="str">
        <f>HYPERLINK("http://service.sap.com/sap/support/notes/1639243","1639243")</f>
        <v>1639243</v>
      </c>
      <c r="E3343">
        <v>1</v>
      </c>
      <c r="F3343" t="s">
        <v>4547</v>
      </c>
    </row>
    <row r="3344" spans="1:6" x14ac:dyDescent="0.25">
      <c r="A3344" t="s">
        <v>1522</v>
      </c>
      <c r="B3344" t="s">
        <v>1010</v>
      </c>
      <c r="C3344" t="s">
        <v>1011</v>
      </c>
      <c r="D3344" t="str">
        <f>HYPERLINK("http://service.sap.com/sap/support/notes/1641382","1641382")</f>
        <v>1641382</v>
      </c>
      <c r="E3344">
        <v>1</v>
      </c>
      <c r="F3344" t="s">
        <v>4548</v>
      </c>
    </row>
    <row r="3345" spans="1:6" x14ac:dyDescent="0.25">
      <c r="A3345" t="s">
        <v>1522</v>
      </c>
      <c r="B3345" t="s">
        <v>1010</v>
      </c>
      <c r="C3345" t="s">
        <v>1011</v>
      </c>
      <c r="D3345" t="str">
        <f>HYPERLINK("http://service.sap.com/sap/support/notes/1644243","1644243")</f>
        <v>1644243</v>
      </c>
      <c r="E3345">
        <v>2</v>
      </c>
      <c r="F3345" t="s">
        <v>4549</v>
      </c>
    </row>
    <row r="3346" spans="1:6" x14ac:dyDescent="0.25">
      <c r="A3346" t="s">
        <v>1522</v>
      </c>
      <c r="B3346" t="s">
        <v>1010</v>
      </c>
      <c r="C3346" t="s">
        <v>1011</v>
      </c>
      <c r="D3346" t="str">
        <f>HYPERLINK("http://service.sap.com/sap/support/notes/1652933","1652933")</f>
        <v>1652933</v>
      </c>
      <c r="E3346">
        <v>2</v>
      </c>
      <c r="F3346" t="s">
        <v>4550</v>
      </c>
    </row>
    <row r="3347" spans="1:6" x14ac:dyDescent="0.25">
      <c r="A3347" t="s">
        <v>1522</v>
      </c>
      <c r="B3347" t="s">
        <v>1010</v>
      </c>
      <c r="C3347" t="s">
        <v>1011</v>
      </c>
      <c r="D3347" t="str">
        <f>HYPERLINK("http://service.sap.com/sap/support/notes/1659218","1659218")</f>
        <v>1659218</v>
      </c>
      <c r="E3347">
        <v>1</v>
      </c>
      <c r="F3347" t="s">
        <v>4551</v>
      </c>
    </row>
    <row r="3348" spans="1:6" x14ac:dyDescent="0.25">
      <c r="A3348" t="s">
        <v>1522</v>
      </c>
      <c r="B3348" t="s">
        <v>1010</v>
      </c>
      <c r="C3348" t="s">
        <v>1011</v>
      </c>
      <c r="D3348" t="str">
        <f>HYPERLINK("http://service.sap.com/sap/support/notes/1659329","1659329")</f>
        <v>1659329</v>
      </c>
      <c r="E3348">
        <v>2</v>
      </c>
      <c r="F3348" t="s">
        <v>4552</v>
      </c>
    </row>
    <row r="3349" spans="1:6" x14ac:dyDescent="0.25">
      <c r="A3349" t="s">
        <v>1522</v>
      </c>
      <c r="B3349" t="s">
        <v>4553</v>
      </c>
      <c r="C3349" t="s">
        <v>4554</v>
      </c>
      <c r="D3349" t="str">
        <f>HYPERLINK("http://service.sap.com/sap/support/notes/1667010","1667010")</f>
        <v>1667010</v>
      </c>
      <c r="E3349">
        <v>3</v>
      </c>
      <c r="F3349" t="s">
        <v>4555</v>
      </c>
    </row>
    <row r="3350" spans="1:6" x14ac:dyDescent="0.25">
      <c r="A3350" t="s">
        <v>1522</v>
      </c>
      <c r="B3350" t="s">
        <v>1014</v>
      </c>
      <c r="C3350" t="s">
        <v>1015</v>
      </c>
      <c r="D3350" t="str">
        <f>HYPERLINK("http://service.sap.com/sap/support/notes/1333555","1333555")</f>
        <v>1333555</v>
      </c>
      <c r="E3350">
        <v>4</v>
      </c>
      <c r="F3350" t="s">
        <v>4556</v>
      </c>
    </row>
    <row r="3351" spans="1:6" x14ac:dyDescent="0.25">
      <c r="A3351" t="s">
        <v>1522</v>
      </c>
      <c r="B3351" t="s">
        <v>1014</v>
      </c>
      <c r="C3351" t="s">
        <v>1015</v>
      </c>
      <c r="D3351" t="str">
        <f>HYPERLINK("http://service.sap.com/sap/support/notes/1340129","1340129")</f>
        <v>1340129</v>
      </c>
      <c r="E3351">
        <v>3</v>
      </c>
      <c r="F3351" t="s">
        <v>4557</v>
      </c>
    </row>
    <row r="3352" spans="1:6" x14ac:dyDescent="0.25">
      <c r="A3352" t="s">
        <v>1522</v>
      </c>
      <c r="B3352" t="s">
        <v>1014</v>
      </c>
      <c r="C3352" t="s">
        <v>1015</v>
      </c>
      <c r="D3352" t="str">
        <f>HYPERLINK("http://service.sap.com/sap/support/notes/1351020","1351020")</f>
        <v>1351020</v>
      </c>
      <c r="E3352">
        <v>3</v>
      </c>
      <c r="F3352" t="s">
        <v>4558</v>
      </c>
    </row>
    <row r="3353" spans="1:6" x14ac:dyDescent="0.25">
      <c r="A3353" t="s">
        <v>1522</v>
      </c>
      <c r="B3353" t="s">
        <v>1014</v>
      </c>
      <c r="C3353" t="s">
        <v>1015</v>
      </c>
      <c r="D3353" t="str">
        <f>HYPERLINK("http://service.sap.com/sap/support/notes/1446351","1446351")</f>
        <v>1446351</v>
      </c>
      <c r="E3353">
        <v>3</v>
      </c>
      <c r="F3353" t="s">
        <v>4559</v>
      </c>
    </row>
    <row r="3354" spans="1:6" x14ac:dyDescent="0.25">
      <c r="A3354" t="s">
        <v>1522</v>
      </c>
      <c r="B3354" t="s">
        <v>1014</v>
      </c>
      <c r="C3354" t="s">
        <v>1015</v>
      </c>
      <c r="D3354" t="str">
        <f>HYPERLINK("http://service.sap.com/sap/support/notes/1496398","1496398")</f>
        <v>1496398</v>
      </c>
      <c r="E3354">
        <v>2</v>
      </c>
      <c r="F3354" t="s">
        <v>4560</v>
      </c>
    </row>
    <row r="3355" spans="1:6" x14ac:dyDescent="0.25">
      <c r="A3355" t="s">
        <v>1522</v>
      </c>
      <c r="B3355" t="s">
        <v>1014</v>
      </c>
      <c r="C3355" t="s">
        <v>1015</v>
      </c>
      <c r="D3355" t="str">
        <f>HYPERLINK("http://service.sap.com/sap/support/notes/1545858","1545858")</f>
        <v>1545858</v>
      </c>
      <c r="E3355">
        <v>3</v>
      </c>
      <c r="F3355" t="s">
        <v>4561</v>
      </c>
    </row>
    <row r="3356" spans="1:6" x14ac:dyDescent="0.25">
      <c r="A3356" t="s">
        <v>1522</v>
      </c>
      <c r="B3356" t="s">
        <v>1014</v>
      </c>
      <c r="C3356" t="s">
        <v>1015</v>
      </c>
      <c r="D3356" t="str">
        <f>HYPERLINK("http://service.sap.com/sap/support/notes/1559840","1559840")</f>
        <v>1559840</v>
      </c>
      <c r="E3356">
        <v>2</v>
      </c>
      <c r="F3356" t="s">
        <v>4562</v>
      </c>
    </row>
    <row r="3357" spans="1:6" x14ac:dyDescent="0.25">
      <c r="A3357" t="s">
        <v>1522</v>
      </c>
      <c r="B3357" t="s">
        <v>1014</v>
      </c>
      <c r="C3357" t="s">
        <v>1015</v>
      </c>
      <c r="D3357" t="str">
        <f>HYPERLINK("http://service.sap.com/sap/support/notes/1568833","1568833")</f>
        <v>1568833</v>
      </c>
      <c r="E3357">
        <v>2</v>
      </c>
      <c r="F3357" t="s">
        <v>4563</v>
      </c>
    </row>
    <row r="3358" spans="1:6" x14ac:dyDescent="0.25">
      <c r="A3358" t="s">
        <v>1522</v>
      </c>
      <c r="B3358" t="s">
        <v>1014</v>
      </c>
      <c r="C3358" t="s">
        <v>1015</v>
      </c>
      <c r="D3358" t="str">
        <f>HYPERLINK("http://service.sap.com/sap/support/notes/1578409","1578409")</f>
        <v>1578409</v>
      </c>
      <c r="E3358">
        <v>2</v>
      </c>
      <c r="F3358" t="s">
        <v>4564</v>
      </c>
    </row>
    <row r="3359" spans="1:6" x14ac:dyDescent="0.25">
      <c r="A3359" t="s">
        <v>1522</v>
      </c>
      <c r="B3359" t="s">
        <v>1014</v>
      </c>
      <c r="C3359" t="s">
        <v>1015</v>
      </c>
      <c r="D3359" t="str">
        <f>HYPERLINK("http://service.sap.com/sap/support/notes/1591739","1591739")</f>
        <v>1591739</v>
      </c>
      <c r="E3359">
        <v>2</v>
      </c>
      <c r="F3359" t="s">
        <v>4565</v>
      </c>
    </row>
    <row r="3360" spans="1:6" x14ac:dyDescent="0.25">
      <c r="A3360" t="s">
        <v>1522</v>
      </c>
      <c r="B3360" t="s">
        <v>1014</v>
      </c>
      <c r="C3360" t="s">
        <v>1015</v>
      </c>
      <c r="D3360" t="str">
        <f>HYPERLINK("http://service.sap.com/sap/support/notes/1593378","1593378")</f>
        <v>1593378</v>
      </c>
      <c r="E3360">
        <v>3</v>
      </c>
      <c r="F3360" t="s">
        <v>4566</v>
      </c>
    </row>
    <row r="3361" spans="1:6" x14ac:dyDescent="0.25">
      <c r="A3361" t="s">
        <v>1522</v>
      </c>
      <c r="B3361" t="s">
        <v>1014</v>
      </c>
      <c r="C3361" t="s">
        <v>1015</v>
      </c>
      <c r="D3361" t="str">
        <f>HYPERLINK("http://service.sap.com/sap/support/notes/1596879","1596879")</f>
        <v>1596879</v>
      </c>
      <c r="E3361">
        <v>2</v>
      </c>
      <c r="F3361" t="s">
        <v>4567</v>
      </c>
    </row>
    <row r="3362" spans="1:6" x14ac:dyDescent="0.25">
      <c r="A3362" t="s">
        <v>1522</v>
      </c>
      <c r="B3362" t="s">
        <v>1014</v>
      </c>
      <c r="C3362" t="s">
        <v>1015</v>
      </c>
      <c r="D3362" t="str">
        <f>HYPERLINK("http://service.sap.com/sap/support/notes/1599569","1599569")</f>
        <v>1599569</v>
      </c>
      <c r="E3362">
        <v>2</v>
      </c>
      <c r="F3362" t="s">
        <v>4568</v>
      </c>
    </row>
    <row r="3363" spans="1:6" x14ac:dyDescent="0.25">
      <c r="A3363" t="s">
        <v>1522</v>
      </c>
      <c r="B3363" t="s">
        <v>1014</v>
      </c>
      <c r="C3363" t="s">
        <v>1015</v>
      </c>
      <c r="D3363" t="str">
        <f>HYPERLINK("http://service.sap.com/sap/support/notes/1604646","1604646")</f>
        <v>1604646</v>
      </c>
      <c r="E3363">
        <v>7</v>
      </c>
      <c r="F3363" t="s">
        <v>1018</v>
      </c>
    </row>
    <row r="3364" spans="1:6" x14ac:dyDescent="0.25">
      <c r="A3364" t="s">
        <v>1522</v>
      </c>
      <c r="B3364" t="s">
        <v>1014</v>
      </c>
      <c r="C3364" t="s">
        <v>1015</v>
      </c>
      <c r="D3364" t="str">
        <f>HYPERLINK("http://service.sap.com/sap/support/notes/1605300","1605300")</f>
        <v>1605300</v>
      </c>
      <c r="E3364">
        <v>6</v>
      </c>
      <c r="F3364" t="s">
        <v>4569</v>
      </c>
    </row>
    <row r="3365" spans="1:6" x14ac:dyDescent="0.25">
      <c r="A3365" t="s">
        <v>1522</v>
      </c>
      <c r="B3365" t="s">
        <v>1014</v>
      </c>
      <c r="C3365" t="s">
        <v>1015</v>
      </c>
      <c r="D3365" t="str">
        <f>HYPERLINK("http://service.sap.com/sap/support/notes/1606054","1606054")</f>
        <v>1606054</v>
      </c>
      <c r="E3365">
        <v>1</v>
      </c>
      <c r="F3365" t="s">
        <v>4570</v>
      </c>
    </row>
    <row r="3366" spans="1:6" x14ac:dyDescent="0.25">
      <c r="A3366" t="s">
        <v>1522</v>
      </c>
      <c r="B3366" t="s">
        <v>1014</v>
      </c>
      <c r="C3366" t="s">
        <v>1015</v>
      </c>
      <c r="D3366" t="str">
        <f>HYPERLINK("http://service.sap.com/sap/support/notes/1618936","1618936")</f>
        <v>1618936</v>
      </c>
      <c r="E3366">
        <v>4</v>
      </c>
      <c r="F3366" t="s">
        <v>4571</v>
      </c>
    </row>
    <row r="3367" spans="1:6" x14ac:dyDescent="0.25">
      <c r="A3367" t="s">
        <v>1522</v>
      </c>
      <c r="B3367" t="s">
        <v>1014</v>
      </c>
      <c r="C3367" t="s">
        <v>1015</v>
      </c>
      <c r="D3367" t="str">
        <f>HYPERLINK("http://service.sap.com/sap/support/notes/1619425","1619425")</f>
        <v>1619425</v>
      </c>
      <c r="E3367">
        <v>2</v>
      </c>
      <c r="F3367" t="s">
        <v>4572</v>
      </c>
    </row>
    <row r="3368" spans="1:6" x14ac:dyDescent="0.25">
      <c r="A3368" t="s">
        <v>1522</v>
      </c>
      <c r="B3368" t="s">
        <v>1014</v>
      </c>
      <c r="C3368" t="s">
        <v>1015</v>
      </c>
      <c r="D3368" t="str">
        <f>HYPERLINK("http://service.sap.com/sap/support/notes/1619540","1619540")</f>
        <v>1619540</v>
      </c>
      <c r="E3368">
        <v>3</v>
      </c>
      <c r="F3368" t="s">
        <v>1017</v>
      </c>
    </row>
    <row r="3369" spans="1:6" x14ac:dyDescent="0.25">
      <c r="A3369" t="s">
        <v>1522</v>
      </c>
      <c r="B3369" t="s">
        <v>1014</v>
      </c>
      <c r="C3369" t="s">
        <v>1015</v>
      </c>
      <c r="D3369" t="str">
        <f>HYPERLINK("http://service.sap.com/sap/support/notes/1624132","1624132")</f>
        <v>1624132</v>
      </c>
      <c r="E3369">
        <v>1</v>
      </c>
      <c r="F3369" t="s">
        <v>4573</v>
      </c>
    </row>
    <row r="3370" spans="1:6" x14ac:dyDescent="0.25">
      <c r="A3370" t="s">
        <v>1522</v>
      </c>
      <c r="B3370" t="s">
        <v>1014</v>
      </c>
      <c r="C3370" t="s">
        <v>1015</v>
      </c>
      <c r="D3370" t="str">
        <f>HYPERLINK("http://service.sap.com/sap/support/notes/1624529","1624529")</f>
        <v>1624529</v>
      </c>
      <c r="E3370">
        <v>2</v>
      </c>
      <c r="F3370" t="s">
        <v>4574</v>
      </c>
    </row>
    <row r="3371" spans="1:6" x14ac:dyDescent="0.25">
      <c r="A3371" t="s">
        <v>1522</v>
      </c>
      <c r="B3371" t="s">
        <v>1014</v>
      </c>
      <c r="C3371" t="s">
        <v>1015</v>
      </c>
      <c r="D3371" t="str">
        <f>HYPERLINK("http://service.sap.com/sap/support/notes/1625093","1625093")</f>
        <v>1625093</v>
      </c>
      <c r="E3371">
        <v>2</v>
      </c>
      <c r="F3371" t="s">
        <v>4575</v>
      </c>
    </row>
    <row r="3372" spans="1:6" x14ac:dyDescent="0.25">
      <c r="A3372" t="s">
        <v>1522</v>
      </c>
      <c r="B3372" t="s">
        <v>1014</v>
      </c>
      <c r="C3372" t="s">
        <v>1015</v>
      </c>
      <c r="D3372" t="str">
        <f>HYPERLINK("http://service.sap.com/sap/support/notes/1633437","1633437")</f>
        <v>1633437</v>
      </c>
      <c r="E3372">
        <v>1</v>
      </c>
      <c r="F3372" t="s">
        <v>4576</v>
      </c>
    </row>
    <row r="3373" spans="1:6" x14ac:dyDescent="0.25">
      <c r="A3373" t="s">
        <v>1522</v>
      </c>
      <c r="B3373" t="s">
        <v>1014</v>
      </c>
      <c r="C3373" t="s">
        <v>1015</v>
      </c>
      <c r="D3373" t="str">
        <f>HYPERLINK("http://service.sap.com/sap/support/notes/1633922","1633922")</f>
        <v>1633922</v>
      </c>
      <c r="E3373">
        <v>3</v>
      </c>
      <c r="F3373" t="s">
        <v>4577</v>
      </c>
    </row>
    <row r="3374" spans="1:6" x14ac:dyDescent="0.25">
      <c r="A3374" t="s">
        <v>1522</v>
      </c>
      <c r="B3374" t="s">
        <v>1014</v>
      </c>
      <c r="C3374" t="s">
        <v>1015</v>
      </c>
      <c r="D3374" t="str">
        <f>HYPERLINK("http://service.sap.com/sap/support/notes/1635558","1635558")</f>
        <v>1635558</v>
      </c>
      <c r="E3374">
        <v>2</v>
      </c>
      <c r="F3374" t="s">
        <v>4578</v>
      </c>
    </row>
    <row r="3375" spans="1:6" x14ac:dyDescent="0.25">
      <c r="A3375" t="s">
        <v>1522</v>
      </c>
      <c r="B3375" t="s">
        <v>1014</v>
      </c>
      <c r="C3375" t="s">
        <v>1015</v>
      </c>
      <c r="D3375" t="str">
        <f>HYPERLINK("http://service.sap.com/sap/support/notes/1635882","1635882")</f>
        <v>1635882</v>
      </c>
      <c r="E3375">
        <v>1</v>
      </c>
      <c r="F3375" t="s">
        <v>4579</v>
      </c>
    </row>
    <row r="3376" spans="1:6" x14ac:dyDescent="0.25">
      <c r="A3376" t="s">
        <v>1522</v>
      </c>
      <c r="B3376" t="s">
        <v>1014</v>
      </c>
      <c r="C3376" t="s">
        <v>1015</v>
      </c>
      <c r="D3376" t="str">
        <f>HYPERLINK("http://service.sap.com/sap/support/notes/1638666","1638666")</f>
        <v>1638666</v>
      </c>
      <c r="E3376">
        <v>1</v>
      </c>
      <c r="F3376" t="s">
        <v>4580</v>
      </c>
    </row>
    <row r="3377" spans="1:6" x14ac:dyDescent="0.25">
      <c r="A3377" t="s">
        <v>1522</v>
      </c>
      <c r="B3377" t="s">
        <v>1014</v>
      </c>
      <c r="C3377" t="s">
        <v>1015</v>
      </c>
      <c r="D3377" t="str">
        <f>HYPERLINK("http://service.sap.com/sap/support/notes/1638878","1638878")</f>
        <v>1638878</v>
      </c>
      <c r="E3377">
        <v>1</v>
      </c>
      <c r="F3377" t="s">
        <v>4581</v>
      </c>
    </row>
    <row r="3378" spans="1:6" x14ac:dyDescent="0.25">
      <c r="A3378" t="s">
        <v>1522</v>
      </c>
      <c r="B3378" t="s">
        <v>1014</v>
      </c>
      <c r="C3378" t="s">
        <v>1015</v>
      </c>
      <c r="D3378" t="str">
        <f>HYPERLINK("http://service.sap.com/sap/support/notes/1639484","1639484")</f>
        <v>1639484</v>
      </c>
      <c r="E3378">
        <v>2</v>
      </c>
      <c r="F3378" t="s">
        <v>4582</v>
      </c>
    </row>
    <row r="3379" spans="1:6" x14ac:dyDescent="0.25">
      <c r="A3379" t="s">
        <v>1522</v>
      </c>
      <c r="B3379" t="s">
        <v>1014</v>
      </c>
      <c r="C3379" t="s">
        <v>1015</v>
      </c>
      <c r="D3379" t="str">
        <f>HYPERLINK("http://service.sap.com/sap/support/notes/1640042","1640042")</f>
        <v>1640042</v>
      </c>
      <c r="E3379">
        <v>1</v>
      </c>
      <c r="F3379" t="s">
        <v>4583</v>
      </c>
    </row>
    <row r="3380" spans="1:6" x14ac:dyDescent="0.25">
      <c r="A3380" t="s">
        <v>1522</v>
      </c>
      <c r="B3380" t="s">
        <v>1014</v>
      </c>
      <c r="C3380" t="s">
        <v>1015</v>
      </c>
      <c r="D3380" t="str">
        <f>HYPERLINK("http://service.sap.com/sap/support/notes/1641261","1641261")</f>
        <v>1641261</v>
      </c>
      <c r="E3380">
        <v>1</v>
      </c>
      <c r="F3380" t="s">
        <v>4584</v>
      </c>
    </row>
    <row r="3381" spans="1:6" x14ac:dyDescent="0.25">
      <c r="A3381" t="s">
        <v>1522</v>
      </c>
      <c r="B3381" t="s">
        <v>1014</v>
      </c>
      <c r="C3381" t="s">
        <v>1015</v>
      </c>
      <c r="D3381" t="str">
        <f>HYPERLINK("http://service.sap.com/sap/support/notes/1641463","1641463")</f>
        <v>1641463</v>
      </c>
      <c r="E3381">
        <v>2</v>
      </c>
      <c r="F3381" t="s">
        <v>4585</v>
      </c>
    </row>
    <row r="3382" spans="1:6" x14ac:dyDescent="0.25">
      <c r="A3382" t="s">
        <v>1522</v>
      </c>
      <c r="B3382" t="s">
        <v>1014</v>
      </c>
      <c r="C3382" t="s">
        <v>1015</v>
      </c>
      <c r="D3382" t="str">
        <f>HYPERLINK("http://service.sap.com/sap/support/notes/1642100","1642100")</f>
        <v>1642100</v>
      </c>
      <c r="E3382">
        <v>1</v>
      </c>
      <c r="F3382" t="s">
        <v>4586</v>
      </c>
    </row>
    <row r="3383" spans="1:6" x14ac:dyDescent="0.25">
      <c r="A3383" t="s">
        <v>1522</v>
      </c>
      <c r="B3383" t="s">
        <v>1014</v>
      </c>
      <c r="C3383" t="s">
        <v>1015</v>
      </c>
      <c r="D3383" t="str">
        <f>HYPERLINK("http://service.sap.com/sap/support/notes/1644002","1644002")</f>
        <v>1644002</v>
      </c>
      <c r="E3383">
        <v>1</v>
      </c>
      <c r="F3383" t="s">
        <v>4587</v>
      </c>
    </row>
    <row r="3384" spans="1:6" x14ac:dyDescent="0.25">
      <c r="A3384" t="s">
        <v>1522</v>
      </c>
      <c r="B3384" t="s">
        <v>1014</v>
      </c>
      <c r="C3384" t="s">
        <v>1015</v>
      </c>
      <c r="D3384" t="str">
        <f>HYPERLINK("http://service.sap.com/sap/support/notes/1644819","1644819")</f>
        <v>1644819</v>
      </c>
      <c r="E3384">
        <v>2</v>
      </c>
      <c r="F3384" t="s">
        <v>4588</v>
      </c>
    </row>
    <row r="3385" spans="1:6" x14ac:dyDescent="0.25">
      <c r="A3385" t="s">
        <v>1522</v>
      </c>
      <c r="B3385" t="s">
        <v>1014</v>
      </c>
      <c r="C3385" t="s">
        <v>1015</v>
      </c>
      <c r="D3385" t="str">
        <f>HYPERLINK("http://service.sap.com/sap/support/notes/1646114","1646114")</f>
        <v>1646114</v>
      </c>
      <c r="E3385">
        <v>2</v>
      </c>
      <c r="F3385" t="s">
        <v>4589</v>
      </c>
    </row>
    <row r="3386" spans="1:6" x14ac:dyDescent="0.25">
      <c r="A3386" t="s">
        <v>1522</v>
      </c>
      <c r="B3386" t="s">
        <v>1014</v>
      </c>
      <c r="C3386" t="s">
        <v>1015</v>
      </c>
      <c r="D3386" t="str">
        <f>HYPERLINK("http://service.sap.com/sap/support/notes/1651292","1651292")</f>
        <v>1651292</v>
      </c>
      <c r="E3386">
        <v>1</v>
      </c>
      <c r="F3386" t="s">
        <v>4590</v>
      </c>
    </row>
    <row r="3387" spans="1:6" x14ac:dyDescent="0.25">
      <c r="A3387" t="s">
        <v>1522</v>
      </c>
      <c r="B3387" t="s">
        <v>1014</v>
      </c>
      <c r="C3387" t="s">
        <v>1015</v>
      </c>
      <c r="D3387" t="str">
        <f>HYPERLINK("http://service.sap.com/sap/support/notes/1657935","1657935")</f>
        <v>1657935</v>
      </c>
      <c r="E3387">
        <v>1</v>
      </c>
      <c r="F3387" t="s">
        <v>4591</v>
      </c>
    </row>
    <row r="3388" spans="1:6" x14ac:dyDescent="0.25">
      <c r="A3388" t="s">
        <v>1522</v>
      </c>
      <c r="B3388" t="s">
        <v>1014</v>
      </c>
      <c r="C3388" t="s">
        <v>1015</v>
      </c>
      <c r="D3388" t="str">
        <f>HYPERLINK("http://service.sap.com/sap/support/notes/1661899","1661899")</f>
        <v>1661899</v>
      </c>
      <c r="E3388">
        <v>2</v>
      </c>
      <c r="F3388" t="s">
        <v>4592</v>
      </c>
    </row>
    <row r="3389" spans="1:6" x14ac:dyDescent="0.25">
      <c r="A3389" t="s">
        <v>1522</v>
      </c>
      <c r="B3389" t="s">
        <v>1014</v>
      </c>
      <c r="C3389" t="s">
        <v>1015</v>
      </c>
      <c r="D3389" t="str">
        <f>HYPERLINK("http://service.sap.com/sap/support/notes/1662075","1662075")</f>
        <v>1662075</v>
      </c>
      <c r="E3389">
        <v>2</v>
      </c>
      <c r="F3389" t="s">
        <v>4593</v>
      </c>
    </row>
    <row r="3390" spans="1:6" x14ac:dyDescent="0.25">
      <c r="A3390" t="s">
        <v>1522</v>
      </c>
      <c r="B3390" t="s">
        <v>1014</v>
      </c>
      <c r="C3390" t="s">
        <v>1015</v>
      </c>
      <c r="D3390" t="str">
        <f>HYPERLINK("http://service.sap.com/sap/support/notes/1663232","1663232")</f>
        <v>1663232</v>
      </c>
      <c r="E3390">
        <v>1</v>
      </c>
      <c r="F3390" t="s">
        <v>4594</v>
      </c>
    </row>
    <row r="3391" spans="1:6" x14ac:dyDescent="0.25">
      <c r="A3391" t="s">
        <v>1522</v>
      </c>
      <c r="B3391" t="s">
        <v>1014</v>
      </c>
      <c r="C3391" t="s">
        <v>1015</v>
      </c>
      <c r="D3391" t="str">
        <f>HYPERLINK("http://service.sap.com/sap/support/notes/1663778","1663778")</f>
        <v>1663778</v>
      </c>
      <c r="E3391">
        <v>2</v>
      </c>
      <c r="F3391" t="s">
        <v>4595</v>
      </c>
    </row>
    <row r="3392" spans="1:6" x14ac:dyDescent="0.25">
      <c r="A3392" t="s">
        <v>1522</v>
      </c>
      <c r="B3392" t="s">
        <v>1014</v>
      </c>
      <c r="C3392" t="s">
        <v>1015</v>
      </c>
      <c r="D3392" t="str">
        <f>HYPERLINK("http://service.sap.com/sap/support/notes/1673235","1673235")</f>
        <v>1673235</v>
      </c>
      <c r="E3392">
        <v>2</v>
      </c>
      <c r="F3392" t="s">
        <v>4596</v>
      </c>
    </row>
    <row r="3393" spans="1:6" x14ac:dyDescent="0.25">
      <c r="A3393" t="s">
        <v>1522</v>
      </c>
      <c r="B3393" t="s">
        <v>1022</v>
      </c>
      <c r="C3393" t="s">
        <v>126</v>
      </c>
      <c r="D3393" t="str">
        <f>HYPERLINK("http://service.sap.com/sap/support/notes/1620041","1620041")</f>
        <v>1620041</v>
      </c>
      <c r="E3393">
        <v>2</v>
      </c>
      <c r="F3393" t="s">
        <v>4597</v>
      </c>
    </row>
    <row r="3394" spans="1:6" x14ac:dyDescent="0.25">
      <c r="A3394" t="s">
        <v>1522</v>
      </c>
      <c r="B3394" t="s">
        <v>1022</v>
      </c>
      <c r="C3394" t="s">
        <v>126</v>
      </c>
      <c r="D3394" t="str">
        <f>HYPERLINK("http://service.sap.com/sap/support/notes/1660309","1660309")</f>
        <v>1660309</v>
      </c>
      <c r="E3394">
        <v>1</v>
      </c>
      <c r="F3394" t="s">
        <v>4598</v>
      </c>
    </row>
    <row r="3395" spans="1:6" x14ac:dyDescent="0.25">
      <c r="A3395" t="s">
        <v>1522</v>
      </c>
      <c r="B3395" t="s">
        <v>1022</v>
      </c>
      <c r="C3395" t="s">
        <v>126</v>
      </c>
      <c r="D3395" t="str">
        <f>HYPERLINK("http://service.sap.com/sap/support/notes/1662922","1662922")</f>
        <v>1662922</v>
      </c>
      <c r="E3395">
        <v>2</v>
      </c>
      <c r="F3395" t="s">
        <v>4599</v>
      </c>
    </row>
    <row r="3396" spans="1:6" x14ac:dyDescent="0.25">
      <c r="A3396" t="s">
        <v>1522</v>
      </c>
      <c r="B3396" t="s">
        <v>4600</v>
      </c>
      <c r="C3396" t="s">
        <v>2440</v>
      </c>
      <c r="D3396" t="str">
        <f>HYPERLINK("http://service.sap.com/sap/support/notes/1576224","1576224")</f>
        <v>1576224</v>
      </c>
      <c r="E3396">
        <v>2</v>
      </c>
      <c r="F3396" t="s">
        <v>4601</v>
      </c>
    </row>
    <row r="3397" spans="1:6" x14ac:dyDescent="0.25">
      <c r="A3397" t="s">
        <v>1522</v>
      </c>
      <c r="B3397" t="s">
        <v>4600</v>
      </c>
      <c r="C3397" t="s">
        <v>2440</v>
      </c>
      <c r="D3397" t="str">
        <f>HYPERLINK("http://service.sap.com/sap/support/notes/1603038","1603038")</f>
        <v>1603038</v>
      </c>
      <c r="E3397">
        <v>2</v>
      </c>
      <c r="F3397" t="s">
        <v>4602</v>
      </c>
    </row>
    <row r="3398" spans="1:6" x14ac:dyDescent="0.25">
      <c r="A3398" t="s">
        <v>1522</v>
      </c>
      <c r="B3398" t="s">
        <v>4600</v>
      </c>
      <c r="C3398" t="s">
        <v>2440</v>
      </c>
      <c r="D3398" t="str">
        <f>HYPERLINK("http://service.sap.com/sap/support/notes/1616410","1616410")</f>
        <v>1616410</v>
      </c>
      <c r="E3398">
        <v>2</v>
      </c>
      <c r="F3398" t="s">
        <v>4603</v>
      </c>
    </row>
    <row r="3399" spans="1:6" x14ac:dyDescent="0.25">
      <c r="A3399" t="s">
        <v>1522</v>
      </c>
      <c r="B3399" t="s">
        <v>4600</v>
      </c>
      <c r="C3399" t="s">
        <v>2440</v>
      </c>
      <c r="D3399" t="str">
        <f>HYPERLINK("http://service.sap.com/sap/support/notes/1639207","1639207")</f>
        <v>1639207</v>
      </c>
      <c r="E3399">
        <v>2</v>
      </c>
      <c r="F3399" t="s">
        <v>4604</v>
      </c>
    </row>
    <row r="3400" spans="1:6" x14ac:dyDescent="0.25">
      <c r="A3400" t="s">
        <v>1522</v>
      </c>
      <c r="B3400" t="s">
        <v>1027</v>
      </c>
      <c r="C3400" t="s">
        <v>1028</v>
      </c>
      <c r="D3400" t="str">
        <f>HYPERLINK("http://service.sap.com/sap/support/notes/1605029","1605029")</f>
        <v>1605029</v>
      </c>
      <c r="E3400">
        <v>3</v>
      </c>
      <c r="F3400" t="s">
        <v>4605</v>
      </c>
    </row>
    <row r="3401" spans="1:6" x14ac:dyDescent="0.25">
      <c r="A3401" t="s">
        <v>1522</v>
      </c>
      <c r="B3401" t="s">
        <v>4606</v>
      </c>
      <c r="C3401" t="s">
        <v>4607</v>
      </c>
      <c r="D3401" t="str">
        <f>HYPERLINK("http://service.sap.com/sap/support/notes/1643733","1643733")</f>
        <v>1643733</v>
      </c>
      <c r="E3401">
        <v>2</v>
      </c>
      <c r="F3401" t="s">
        <v>4608</v>
      </c>
    </row>
    <row r="3402" spans="1:6" x14ac:dyDescent="0.25">
      <c r="A3402" t="s">
        <v>1522</v>
      </c>
      <c r="B3402" t="s">
        <v>4609</v>
      </c>
      <c r="C3402" t="s">
        <v>4610</v>
      </c>
      <c r="D3402" t="str">
        <f>HYPERLINK("http://service.sap.com/sap/support/notes/1632661","1632661")</f>
        <v>1632661</v>
      </c>
      <c r="E3402">
        <v>1</v>
      </c>
      <c r="F3402" t="s">
        <v>4611</v>
      </c>
    </row>
    <row r="3403" spans="1:6" x14ac:dyDescent="0.25">
      <c r="A3403" t="s">
        <v>1522</v>
      </c>
      <c r="B3403" t="s">
        <v>4609</v>
      </c>
      <c r="C3403" t="s">
        <v>4610</v>
      </c>
      <c r="D3403" t="str">
        <f>HYPERLINK("http://service.sap.com/sap/support/notes/1634660","1634660")</f>
        <v>1634660</v>
      </c>
      <c r="E3403">
        <v>2</v>
      </c>
      <c r="F3403" t="s">
        <v>4612</v>
      </c>
    </row>
    <row r="3404" spans="1:6" x14ac:dyDescent="0.25">
      <c r="A3404" t="s">
        <v>1522</v>
      </c>
      <c r="B3404" t="s">
        <v>4609</v>
      </c>
      <c r="C3404" t="s">
        <v>4610</v>
      </c>
      <c r="D3404" t="str">
        <f>HYPERLINK("http://service.sap.com/sap/support/notes/1649454","1649454")</f>
        <v>1649454</v>
      </c>
      <c r="E3404">
        <v>1</v>
      </c>
      <c r="F3404" t="s">
        <v>4613</v>
      </c>
    </row>
    <row r="3405" spans="1:6" x14ac:dyDescent="0.25">
      <c r="A3405" t="s">
        <v>1522</v>
      </c>
      <c r="B3405" t="s">
        <v>4609</v>
      </c>
      <c r="C3405" t="s">
        <v>4610</v>
      </c>
      <c r="D3405" t="str">
        <f>HYPERLINK("http://service.sap.com/sap/support/notes/1651448","1651448")</f>
        <v>1651448</v>
      </c>
      <c r="E3405">
        <v>1</v>
      </c>
      <c r="F3405" t="s">
        <v>4614</v>
      </c>
    </row>
    <row r="3406" spans="1:6" x14ac:dyDescent="0.25">
      <c r="A3406" t="s">
        <v>1522</v>
      </c>
      <c r="B3406" t="s">
        <v>4609</v>
      </c>
      <c r="C3406" t="s">
        <v>4610</v>
      </c>
      <c r="D3406" t="str">
        <f>HYPERLINK("http://service.sap.com/sap/support/notes/1652584","1652584")</f>
        <v>1652584</v>
      </c>
      <c r="E3406">
        <v>1</v>
      </c>
      <c r="F3406" t="s">
        <v>4615</v>
      </c>
    </row>
    <row r="3407" spans="1:6" x14ac:dyDescent="0.25">
      <c r="A3407" t="s">
        <v>1522</v>
      </c>
      <c r="B3407" t="s">
        <v>4616</v>
      </c>
      <c r="C3407" t="s">
        <v>4617</v>
      </c>
      <c r="D3407" t="str">
        <f>HYPERLINK("http://service.sap.com/sap/support/notes/1369228","1369228")</f>
        <v>1369228</v>
      </c>
      <c r="E3407">
        <v>3</v>
      </c>
      <c r="F3407" t="s">
        <v>4618</v>
      </c>
    </row>
    <row r="3408" spans="1:6" x14ac:dyDescent="0.25">
      <c r="A3408" t="s">
        <v>1522</v>
      </c>
      <c r="B3408" t="s">
        <v>4616</v>
      </c>
      <c r="C3408" t="s">
        <v>4617</v>
      </c>
      <c r="D3408" t="str">
        <f>HYPERLINK("http://service.sap.com/sap/support/notes/1634057","1634057")</f>
        <v>1634057</v>
      </c>
      <c r="E3408">
        <v>1</v>
      </c>
      <c r="F3408" t="s">
        <v>4619</v>
      </c>
    </row>
    <row r="3409" spans="1:6" x14ac:dyDescent="0.25">
      <c r="A3409" t="s">
        <v>1522</v>
      </c>
      <c r="B3409" t="s">
        <v>4620</v>
      </c>
      <c r="C3409" t="s">
        <v>4621</v>
      </c>
      <c r="D3409" t="str">
        <f>HYPERLINK("http://service.sap.com/sap/support/notes/1643325","1643325")</f>
        <v>1643325</v>
      </c>
      <c r="E3409">
        <v>2</v>
      </c>
      <c r="F3409" t="s">
        <v>4622</v>
      </c>
    </row>
    <row r="3410" spans="1:6" x14ac:dyDescent="0.25">
      <c r="A3410" t="s">
        <v>1522</v>
      </c>
      <c r="B3410" t="s">
        <v>4623</v>
      </c>
      <c r="C3410" t="s">
        <v>4624</v>
      </c>
      <c r="D3410" t="str">
        <f>HYPERLINK("http://service.sap.com/sap/support/notes/1636268","1636268")</f>
        <v>1636268</v>
      </c>
      <c r="E3410">
        <v>2</v>
      </c>
      <c r="F3410" t="s">
        <v>4625</v>
      </c>
    </row>
    <row r="3411" spans="1:6" x14ac:dyDescent="0.25">
      <c r="A3411" t="s">
        <v>1522</v>
      </c>
      <c r="B3411" t="s">
        <v>1030</v>
      </c>
      <c r="C3411" t="s">
        <v>165</v>
      </c>
      <c r="D3411" t="str">
        <f>HYPERLINK("http://service.sap.com/sap/support/notes/529999","529999")</f>
        <v>529999</v>
      </c>
      <c r="E3411">
        <v>4</v>
      </c>
      <c r="F3411" t="s">
        <v>4626</v>
      </c>
    </row>
    <row r="3412" spans="1:6" x14ac:dyDescent="0.25">
      <c r="A3412" t="s">
        <v>1522</v>
      </c>
      <c r="B3412" t="s">
        <v>4627</v>
      </c>
      <c r="C3412" t="s">
        <v>4628</v>
      </c>
      <c r="D3412" t="str">
        <f>HYPERLINK("http://service.sap.com/sap/support/notes/1502421","1502421")</f>
        <v>1502421</v>
      </c>
      <c r="E3412">
        <v>3</v>
      </c>
      <c r="F3412" t="s">
        <v>4629</v>
      </c>
    </row>
    <row r="3413" spans="1:6" x14ac:dyDescent="0.25">
      <c r="A3413" t="s">
        <v>1522</v>
      </c>
      <c r="B3413" t="s">
        <v>4630</v>
      </c>
      <c r="C3413" t="s">
        <v>632</v>
      </c>
    </row>
    <row r="3414" spans="1:6" x14ac:dyDescent="0.25">
      <c r="A3414" t="s">
        <v>1522</v>
      </c>
      <c r="B3414" t="s">
        <v>4631</v>
      </c>
      <c r="C3414" t="s">
        <v>4632</v>
      </c>
      <c r="D3414" t="str">
        <f>HYPERLINK("http://service.sap.com/sap/support/notes/1578932","1578932")</f>
        <v>1578932</v>
      </c>
      <c r="E3414">
        <v>2</v>
      </c>
      <c r="F3414" t="s">
        <v>4633</v>
      </c>
    </row>
    <row r="3415" spans="1:6" x14ac:dyDescent="0.25">
      <c r="A3415" t="s">
        <v>1522</v>
      </c>
      <c r="B3415" t="s">
        <v>4634</v>
      </c>
      <c r="C3415" t="s">
        <v>4635</v>
      </c>
      <c r="D3415" t="str">
        <f>HYPERLINK("http://service.sap.com/sap/support/notes/1515773","1515773")</f>
        <v>1515773</v>
      </c>
      <c r="E3415">
        <v>2</v>
      </c>
      <c r="F3415" t="s">
        <v>4636</v>
      </c>
    </row>
    <row r="3416" spans="1:6" x14ac:dyDescent="0.25">
      <c r="A3416" t="s">
        <v>1522</v>
      </c>
      <c r="B3416" t="s">
        <v>4634</v>
      </c>
      <c r="C3416" t="s">
        <v>4635</v>
      </c>
      <c r="D3416" t="str">
        <f>HYPERLINK("http://service.sap.com/sap/support/notes/1537089","1537089")</f>
        <v>1537089</v>
      </c>
      <c r="E3416">
        <v>5</v>
      </c>
      <c r="F3416" t="s">
        <v>4637</v>
      </c>
    </row>
    <row r="3417" spans="1:6" x14ac:dyDescent="0.25">
      <c r="A3417" t="s">
        <v>1522</v>
      </c>
      <c r="B3417" t="s">
        <v>4634</v>
      </c>
      <c r="C3417" t="s">
        <v>4635</v>
      </c>
      <c r="D3417" t="str">
        <f>HYPERLINK("http://service.sap.com/sap/support/notes/1605466","1605466")</f>
        <v>1605466</v>
      </c>
      <c r="E3417">
        <v>2</v>
      </c>
      <c r="F3417" t="s">
        <v>4638</v>
      </c>
    </row>
    <row r="3418" spans="1:6" x14ac:dyDescent="0.25">
      <c r="A3418" t="s">
        <v>1522</v>
      </c>
      <c r="B3418" t="s">
        <v>4634</v>
      </c>
      <c r="C3418" t="s">
        <v>4635</v>
      </c>
      <c r="D3418" t="str">
        <f>HYPERLINK("http://service.sap.com/sap/support/notes/1612124","1612124")</f>
        <v>1612124</v>
      </c>
      <c r="E3418">
        <v>2</v>
      </c>
      <c r="F3418" t="s">
        <v>4639</v>
      </c>
    </row>
    <row r="3419" spans="1:6" x14ac:dyDescent="0.25">
      <c r="A3419" t="s">
        <v>1522</v>
      </c>
      <c r="B3419" t="s">
        <v>4634</v>
      </c>
      <c r="C3419" t="s">
        <v>4635</v>
      </c>
      <c r="D3419" t="str">
        <f>HYPERLINK("http://service.sap.com/sap/support/notes/1612594","1612594")</f>
        <v>1612594</v>
      </c>
      <c r="E3419">
        <v>4</v>
      </c>
      <c r="F3419" t="s">
        <v>4640</v>
      </c>
    </row>
    <row r="3420" spans="1:6" x14ac:dyDescent="0.25">
      <c r="A3420" t="s">
        <v>1522</v>
      </c>
      <c r="B3420" t="s">
        <v>4634</v>
      </c>
      <c r="C3420" t="s">
        <v>4635</v>
      </c>
      <c r="D3420" t="str">
        <f>HYPERLINK("http://service.sap.com/sap/support/notes/1634679","1634679")</f>
        <v>1634679</v>
      </c>
      <c r="E3420">
        <v>3</v>
      </c>
      <c r="F3420" t="s">
        <v>4641</v>
      </c>
    </row>
    <row r="3421" spans="1:6" x14ac:dyDescent="0.25">
      <c r="A3421" t="s">
        <v>1522</v>
      </c>
      <c r="B3421" t="s">
        <v>4634</v>
      </c>
      <c r="C3421" t="s">
        <v>4635</v>
      </c>
      <c r="D3421" t="str">
        <f>HYPERLINK("http://service.sap.com/sap/support/notes/1644807","1644807")</f>
        <v>1644807</v>
      </c>
      <c r="E3421">
        <v>2</v>
      </c>
      <c r="F3421" t="s">
        <v>4642</v>
      </c>
    </row>
    <row r="3422" spans="1:6" x14ac:dyDescent="0.25">
      <c r="A3422" t="s">
        <v>1522</v>
      </c>
      <c r="B3422" t="s">
        <v>4634</v>
      </c>
      <c r="C3422" t="s">
        <v>4635</v>
      </c>
      <c r="D3422" t="str">
        <f>HYPERLINK("http://service.sap.com/sap/support/notes/1648909","1648909")</f>
        <v>1648909</v>
      </c>
      <c r="E3422">
        <v>1</v>
      </c>
      <c r="F3422" t="s">
        <v>4643</v>
      </c>
    </row>
    <row r="3423" spans="1:6" x14ac:dyDescent="0.25">
      <c r="A3423" t="s">
        <v>1522</v>
      </c>
      <c r="B3423" t="s">
        <v>4644</v>
      </c>
      <c r="C3423" t="s">
        <v>4645</v>
      </c>
      <c r="D3423" t="str">
        <f>HYPERLINK("http://service.sap.com/sap/support/notes/1638312","1638312")</f>
        <v>1638312</v>
      </c>
      <c r="E3423">
        <v>1</v>
      </c>
      <c r="F3423" t="s">
        <v>4646</v>
      </c>
    </row>
    <row r="3424" spans="1:6" x14ac:dyDescent="0.25">
      <c r="A3424" t="s">
        <v>1522</v>
      </c>
      <c r="B3424" t="s">
        <v>4644</v>
      </c>
      <c r="C3424" t="s">
        <v>4645</v>
      </c>
      <c r="D3424" t="str">
        <f>HYPERLINK("http://service.sap.com/sap/support/notes/1651742","1651742")</f>
        <v>1651742</v>
      </c>
      <c r="E3424">
        <v>5</v>
      </c>
      <c r="F3424" t="s">
        <v>4647</v>
      </c>
    </row>
    <row r="3425" spans="1:6" x14ac:dyDescent="0.25">
      <c r="A3425" t="s">
        <v>1522</v>
      </c>
      <c r="B3425" t="s">
        <v>4644</v>
      </c>
      <c r="C3425" t="s">
        <v>4645</v>
      </c>
      <c r="D3425" t="str">
        <f>HYPERLINK("http://service.sap.com/sap/support/notes/1655595","1655595")</f>
        <v>1655595</v>
      </c>
      <c r="E3425">
        <v>1</v>
      </c>
      <c r="F3425" t="s">
        <v>4648</v>
      </c>
    </row>
    <row r="3426" spans="1:6" x14ac:dyDescent="0.25">
      <c r="A3426" t="s">
        <v>1522</v>
      </c>
      <c r="B3426" t="s">
        <v>4644</v>
      </c>
      <c r="C3426" t="s">
        <v>4645</v>
      </c>
      <c r="D3426" t="str">
        <f>HYPERLINK("http://service.sap.com/sap/support/notes/1672413","1672413")</f>
        <v>1672413</v>
      </c>
      <c r="E3426">
        <v>1</v>
      </c>
      <c r="F3426" t="s">
        <v>4649</v>
      </c>
    </row>
    <row r="3427" spans="1:6" x14ac:dyDescent="0.25">
      <c r="A3427" t="s">
        <v>1522</v>
      </c>
      <c r="B3427" t="s">
        <v>4650</v>
      </c>
      <c r="C3427" t="s">
        <v>4651</v>
      </c>
    </row>
    <row r="3428" spans="1:6" x14ac:dyDescent="0.25">
      <c r="A3428" t="s">
        <v>1522</v>
      </c>
      <c r="B3428" t="s">
        <v>4652</v>
      </c>
      <c r="C3428" t="s">
        <v>4653</v>
      </c>
      <c r="D3428" t="str">
        <f>HYPERLINK("http://service.sap.com/sap/support/notes/964450","964450")</f>
        <v>964450</v>
      </c>
      <c r="E3428">
        <v>4</v>
      </c>
      <c r="F3428" t="s">
        <v>4654</v>
      </c>
    </row>
    <row r="3429" spans="1:6" x14ac:dyDescent="0.25">
      <c r="A3429" t="s">
        <v>1522</v>
      </c>
      <c r="B3429" t="s">
        <v>4655</v>
      </c>
      <c r="C3429" t="s">
        <v>4656</v>
      </c>
      <c r="D3429" t="str">
        <f>HYPERLINK("http://service.sap.com/sap/support/notes/1564829","1564829")</f>
        <v>1564829</v>
      </c>
      <c r="E3429">
        <v>2</v>
      </c>
      <c r="F3429" t="s">
        <v>4657</v>
      </c>
    </row>
    <row r="3430" spans="1:6" x14ac:dyDescent="0.25">
      <c r="A3430" t="s">
        <v>1522</v>
      </c>
      <c r="B3430" t="s">
        <v>4658</v>
      </c>
      <c r="C3430" t="s">
        <v>4659</v>
      </c>
      <c r="D3430" t="str">
        <f>HYPERLINK("http://service.sap.com/sap/support/notes/1645343","1645343")</f>
        <v>1645343</v>
      </c>
      <c r="E3430">
        <v>2</v>
      </c>
      <c r="F3430" t="s">
        <v>4660</v>
      </c>
    </row>
    <row r="3431" spans="1:6" x14ac:dyDescent="0.25">
      <c r="A3431" t="s">
        <v>1522</v>
      </c>
      <c r="B3431" t="s">
        <v>1036</v>
      </c>
      <c r="C3431" t="s">
        <v>350</v>
      </c>
      <c r="D3431" t="str">
        <f>HYPERLINK("http://service.sap.com/sap/support/notes/1628366","1628366")</f>
        <v>1628366</v>
      </c>
      <c r="E3431">
        <v>1</v>
      </c>
      <c r="F3431" t="s">
        <v>4661</v>
      </c>
    </row>
    <row r="3432" spans="1:6" x14ac:dyDescent="0.25">
      <c r="A3432" t="s">
        <v>1522</v>
      </c>
      <c r="B3432" t="s">
        <v>4662</v>
      </c>
      <c r="C3432" t="s">
        <v>3643</v>
      </c>
      <c r="D3432" t="str">
        <f>HYPERLINK("http://service.sap.com/sap/support/notes/856005","856005")</f>
        <v>856005</v>
      </c>
      <c r="E3432">
        <v>4</v>
      </c>
      <c r="F3432" t="s">
        <v>4663</v>
      </c>
    </row>
    <row r="3433" spans="1:6" x14ac:dyDescent="0.25">
      <c r="A3433" t="s">
        <v>1522</v>
      </c>
      <c r="B3433" t="s">
        <v>4664</v>
      </c>
      <c r="C3433" t="s">
        <v>1408</v>
      </c>
      <c r="D3433" t="str">
        <f>HYPERLINK("http://service.sap.com/sap/support/notes/1630852","1630852")</f>
        <v>1630852</v>
      </c>
      <c r="E3433">
        <v>1</v>
      </c>
      <c r="F3433" t="s">
        <v>4665</v>
      </c>
    </row>
    <row r="3434" spans="1:6" x14ac:dyDescent="0.25">
      <c r="A3434" t="s">
        <v>1522</v>
      </c>
      <c r="B3434" t="s">
        <v>4666</v>
      </c>
      <c r="C3434" t="s">
        <v>4667</v>
      </c>
      <c r="D3434" t="str">
        <f>HYPERLINK("http://service.sap.com/sap/support/notes/1650266","1650266")</f>
        <v>1650266</v>
      </c>
      <c r="E3434">
        <v>1</v>
      </c>
      <c r="F3434" t="s">
        <v>4668</v>
      </c>
    </row>
    <row r="3435" spans="1:6" x14ac:dyDescent="0.25">
      <c r="A3435" t="s">
        <v>1522</v>
      </c>
      <c r="B3435" t="s">
        <v>4669</v>
      </c>
      <c r="C3435" t="s">
        <v>4670</v>
      </c>
      <c r="D3435" t="str">
        <f>HYPERLINK("http://service.sap.com/sap/support/notes/1629826","1629826")</f>
        <v>1629826</v>
      </c>
      <c r="E3435">
        <v>1</v>
      </c>
      <c r="F3435" t="s">
        <v>4671</v>
      </c>
    </row>
    <row r="3436" spans="1:6" x14ac:dyDescent="0.25">
      <c r="A3436" t="s">
        <v>1522</v>
      </c>
      <c r="B3436" t="s">
        <v>4672</v>
      </c>
      <c r="C3436" t="s">
        <v>4673</v>
      </c>
      <c r="D3436" t="str">
        <f>HYPERLINK("http://service.sap.com/sap/support/notes/1650054","1650054")</f>
        <v>1650054</v>
      </c>
      <c r="E3436">
        <v>1</v>
      </c>
      <c r="F3436" t="s">
        <v>4674</v>
      </c>
    </row>
    <row r="3437" spans="1:6" x14ac:dyDescent="0.25">
      <c r="A3437" t="s">
        <v>1522</v>
      </c>
      <c r="B3437" t="s">
        <v>4675</v>
      </c>
      <c r="C3437" t="s">
        <v>4676</v>
      </c>
      <c r="D3437" t="str">
        <f>HYPERLINK("http://service.sap.com/sap/support/notes/1612489","1612489")</f>
        <v>1612489</v>
      </c>
      <c r="E3437">
        <v>1</v>
      </c>
      <c r="F3437" t="s">
        <v>4677</v>
      </c>
    </row>
    <row r="3438" spans="1:6" x14ac:dyDescent="0.25">
      <c r="A3438" t="s">
        <v>1522</v>
      </c>
      <c r="B3438" t="s">
        <v>1040</v>
      </c>
      <c r="C3438" t="s">
        <v>1041</v>
      </c>
      <c r="D3438" t="str">
        <f>HYPERLINK("http://service.sap.com/sap/support/notes/1615655","1615655")</f>
        <v>1615655</v>
      </c>
      <c r="E3438">
        <v>1</v>
      </c>
      <c r="F3438" t="s">
        <v>4678</v>
      </c>
    </row>
    <row r="3439" spans="1:6" x14ac:dyDescent="0.25">
      <c r="A3439" t="s">
        <v>1522</v>
      </c>
      <c r="B3439" t="s">
        <v>1040</v>
      </c>
      <c r="C3439" t="s">
        <v>1041</v>
      </c>
      <c r="D3439" t="str">
        <f>HYPERLINK("http://service.sap.com/sap/support/notes/1667057","1667057")</f>
        <v>1667057</v>
      </c>
      <c r="E3439">
        <v>1</v>
      </c>
      <c r="F3439" t="s">
        <v>4679</v>
      </c>
    </row>
    <row r="3440" spans="1:6" x14ac:dyDescent="0.25">
      <c r="A3440" t="s">
        <v>1522</v>
      </c>
      <c r="B3440" t="s">
        <v>1040</v>
      </c>
      <c r="C3440" t="s">
        <v>1041</v>
      </c>
      <c r="D3440" t="str">
        <f>HYPERLINK("http://service.sap.com/sap/support/notes/1667357","1667357")</f>
        <v>1667357</v>
      </c>
      <c r="E3440">
        <v>3</v>
      </c>
      <c r="F3440" t="s">
        <v>4680</v>
      </c>
    </row>
    <row r="3441" spans="1:6" x14ac:dyDescent="0.25">
      <c r="A3441" t="s">
        <v>1522</v>
      </c>
      <c r="B3441" t="s">
        <v>1043</v>
      </c>
      <c r="C3441" t="s">
        <v>1044</v>
      </c>
    </row>
    <row r="3442" spans="1:6" x14ac:dyDescent="0.25">
      <c r="A3442" t="s">
        <v>1522</v>
      </c>
      <c r="B3442" t="s">
        <v>1045</v>
      </c>
      <c r="C3442" t="s">
        <v>1046</v>
      </c>
      <c r="D3442" t="str">
        <f>HYPERLINK("http://service.sap.com/sap/support/notes/1649429","1649429")</f>
        <v>1649429</v>
      </c>
      <c r="E3442">
        <v>1</v>
      </c>
      <c r="F3442" t="s">
        <v>4681</v>
      </c>
    </row>
    <row r="3443" spans="1:6" x14ac:dyDescent="0.25">
      <c r="A3443" t="s">
        <v>1522</v>
      </c>
      <c r="B3443" t="s">
        <v>1045</v>
      </c>
      <c r="C3443" t="s">
        <v>1046</v>
      </c>
      <c r="D3443" t="str">
        <f>HYPERLINK("http://service.sap.com/sap/support/notes/1671365","1671365")</f>
        <v>1671365</v>
      </c>
      <c r="E3443">
        <v>1</v>
      </c>
      <c r="F3443" t="s">
        <v>4682</v>
      </c>
    </row>
    <row r="3444" spans="1:6" x14ac:dyDescent="0.25">
      <c r="A3444" t="s">
        <v>1522</v>
      </c>
      <c r="B3444" t="s">
        <v>1048</v>
      </c>
      <c r="C3444" t="s">
        <v>4683</v>
      </c>
      <c r="D3444" t="str">
        <f>HYPERLINK("http://service.sap.com/sap/support/notes/1615014","1615014")</f>
        <v>1615014</v>
      </c>
      <c r="E3444">
        <v>2</v>
      </c>
      <c r="F3444" t="s">
        <v>4684</v>
      </c>
    </row>
    <row r="3445" spans="1:6" x14ac:dyDescent="0.25">
      <c r="A3445" t="s">
        <v>1522</v>
      </c>
      <c r="B3445" t="s">
        <v>1048</v>
      </c>
      <c r="C3445" t="s">
        <v>4683</v>
      </c>
      <c r="D3445" t="str">
        <f>HYPERLINK("http://service.sap.com/sap/support/notes/1622672","1622672")</f>
        <v>1622672</v>
      </c>
      <c r="E3445">
        <v>1</v>
      </c>
      <c r="F3445" t="s">
        <v>4685</v>
      </c>
    </row>
    <row r="3446" spans="1:6" x14ac:dyDescent="0.25">
      <c r="A3446" t="s">
        <v>1522</v>
      </c>
      <c r="B3446" t="s">
        <v>1048</v>
      </c>
      <c r="C3446" t="s">
        <v>4683</v>
      </c>
      <c r="D3446" t="str">
        <f>HYPERLINK("http://service.sap.com/sap/support/notes/1663682","1663682")</f>
        <v>1663682</v>
      </c>
      <c r="E3446">
        <v>2</v>
      </c>
      <c r="F3446" t="s">
        <v>4686</v>
      </c>
    </row>
    <row r="3447" spans="1:6" x14ac:dyDescent="0.25">
      <c r="A3447" t="s">
        <v>1522</v>
      </c>
      <c r="B3447" t="s">
        <v>1050</v>
      </c>
      <c r="C3447" t="s">
        <v>1051</v>
      </c>
      <c r="D3447" t="str">
        <f>HYPERLINK("http://service.sap.com/sap/support/notes/1626604","1626604")</f>
        <v>1626604</v>
      </c>
      <c r="E3447">
        <v>1</v>
      </c>
      <c r="F3447" t="s">
        <v>4687</v>
      </c>
    </row>
    <row r="3448" spans="1:6" x14ac:dyDescent="0.25">
      <c r="A3448" t="s">
        <v>1522</v>
      </c>
      <c r="B3448" t="s">
        <v>1050</v>
      </c>
      <c r="C3448" t="s">
        <v>1051</v>
      </c>
      <c r="D3448" t="str">
        <f>HYPERLINK("http://service.sap.com/sap/support/notes/1641553","1641553")</f>
        <v>1641553</v>
      </c>
      <c r="E3448">
        <v>1</v>
      </c>
      <c r="F3448" t="s">
        <v>4688</v>
      </c>
    </row>
    <row r="3449" spans="1:6" x14ac:dyDescent="0.25">
      <c r="A3449" t="s">
        <v>1522</v>
      </c>
      <c r="B3449" t="s">
        <v>1050</v>
      </c>
      <c r="C3449" t="s">
        <v>1051</v>
      </c>
      <c r="D3449" t="str">
        <f>HYPERLINK("http://service.sap.com/sap/support/notes/1644263","1644263")</f>
        <v>1644263</v>
      </c>
      <c r="E3449">
        <v>1</v>
      </c>
      <c r="F3449" t="s">
        <v>4689</v>
      </c>
    </row>
    <row r="3450" spans="1:6" x14ac:dyDescent="0.25">
      <c r="A3450" t="s">
        <v>1522</v>
      </c>
      <c r="B3450" t="s">
        <v>1050</v>
      </c>
      <c r="C3450" t="s">
        <v>1051</v>
      </c>
      <c r="D3450" t="str">
        <f>HYPERLINK("http://service.sap.com/sap/support/notes/1668612","1668612")</f>
        <v>1668612</v>
      </c>
      <c r="E3450">
        <v>1</v>
      </c>
      <c r="F3450" t="s">
        <v>4690</v>
      </c>
    </row>
    <row r="3451" spans="1:6" x14ac:dyDescent="0.25">
      <c r="A3451" t="s">
        <v>1522</v>
      </c>
      <c r="B3451" t="s">
        <v>4691</v>
      </c>
      <c r="C3451" t="s">
        <v>4692</v>
      </c>
      <c r="D3451" t="str">
        <f>HYPERLINK("http://service.sap.com/sap/support/notes/1619435","1619435")</f>
        <v>1619435</v>
      </c>
      <c r="E3451">
        <v>1</v>
      </c>
      <c r="F3451" t="s">
        <v>4693</v>
      </c>
    </row>
    <row r="3452" spans="1:6" x14ac:dyDescent="0.25">
      <c r="A3452" t="s">
        <v>1522</v>
      </c>
      <c r="B3452" t="s">
        <v>4691</v>
      </c>
      <c r="C3452" t="s">
        <v>4692</v>
      </c>
      <c r="D3452" t="str">
        <f>HYPERLINK("http://service.sap.com/sap/support/notes/1641032","1641032")</f>
        <v>1641032</v>
      </c>
      <c r="E3452">
        <v>1</v>
      </c>
      <c r="F3452" t="s">
        <v>4694</v>
      </c>
    </row>
    <row r="3453" spans="1:6" x14ac:dyDescent="0.25">
      <c r="A3453" t="s">
        <v>1522</v>
      </c>
      <c r="B3453" t="s">
        <v>4695</v>
      </c>
      <c r="C3453" t="s">
        <v>4696</v>
      </c>
      <c r="D3453" t="str">
        <f>HYPERLINK("http://service.sap.com/sap/support/notes/1623357","1623357")</f>
        <v>1623357</v>
      </c>
      <c r="E3453">
        <v>1</v>
      </c>
      <c r="F3453" t="s">
        <v>4697</v>
      </c>
    </row>
    <row r="3454" spans="1:6" x14ac:dyDescent="0.25">
      <c r="A3454" t="s">
        <v>1522</v>
      </c>
      <c r="B3454" t="s">
        <v>1057</v>
      </c>
      <c r="C3454" t="s">
        <v>1058</v>
      </c>
    </row>
    <row r="3455" spans="1:6" x14ac:dyDescent="0.25">
      <c r="A3455" t="s">
        <v>1522</v>
      </c>
      <c r="B3455" t="s">
        <v>4698</v>
      </c>
      <c r="C3455" t="s">
        <v>4699</v>
      </c>
      <c r="D3455" t="str">
        <f>HYPERLINK("http://service.sap.com/sap/support/notes/1633218","1633218")</f>
        <v>1633218</v>
      </c>
      <c r="E3455">
        <v>2</v>
      </c>
      <c r="F3455" t="s">
        <v>4700</v>
      </c>
    </row>
    <row r="3456" spans="1:6" x14ac:dyDescent="0.25">
      <c r="A3456" t="s">
        <v>1522</v>
      </c>
      <c r="B3456" t="s">
        <v>4698</v>
      </c>
      <c r="C3456" t="s">
        <v>4699</v>
      </c>
      <c r="D3456" t="str">
        <f>HYPERLINK("http://service.sap.com/sap/support/notes/1636209","1636209")</f>
        <v>1636209</v>
      </c>
      <c r="E3456">
        <v>1</v>
      </c>
      <c r="F3456" t="s">
        <v>4701</v>
      </c>
    </row>
    <row r="3457" spans="1:6" x14ac:dyDescent="0.25">
      <c r="A3457" t="s">
        <v>1522</v>
      </c>
      <c r="B3457" t="s">
        <v>4698</v>
      </c>
      <c r="C3457" t="s">
        <v>4699</v>
      </c>
      <c r="D3457" t="str">
        <f>HYPERLINK("http://service.sap.com/sap/support/notes/1641545","1641545")</f>
        <v>1641545</v>
      </c>
      <c r="E3457">
        <v>2</v>
      </c>
      <c r="F3457" t="s">
        <v>4702</v>
      </c>
    </row>
    <row r="3458" spans="1:6" x14ac:dyDescent="0.25">
      <c r="A3458" t="s">
        <v>1522</v>
      </c>
      <c r="B3458" t="s">
        <v>4698</v>
      </c>
      <c r="C3458" t="s">
        <v>4699</v>
      </c>
      <c r="D3458" t="str">
        <f>HYPERLINK("http://service.sap.com/sap/support/notes/1645674","1645674")</f>
        <v>1645674</v>
      </c>
      <c r="E3458">
        <v>1</v>
      </c>
      <c r="F3458" t="s">
        <v>4703</v>
      </c>
    </row>
    <row r="3459" spans="1:6" x14ac:dyDescent="0.25">
      <c r="A3459" t="s">
        <v>1522</v>
      </c>
      <c r="B3459" t="s">
        <v>1059</v>
      </c>
      <c r="C3459" t="s">
        <v>632</v>
      </c>
      <c r="D3459" t="str">
        <f>HYPERLINK("http://service.sap.com/sap/support/notes/421571","421571")</f>
        <v>421571</v>
      </c>
      <c r="E3459">
        <v>10</v>
      </c>
      <c r="F3459" t="s">
        <v>4704</v>
      </c>
    </row>
    <row r="3460" spans="1:6" x14ac:dyDescent="0.25">
      <c r="A3460" t="s">
        <v>1522</v>
      </c>
      <c r="B3460" t="s">
        <v>1060</v>
      </c>
      <c r="C3460" t="s">
        <v>1061</v>
      </c>
      <c r="D3460" t="str">
        <f>HYPERLINK("http://service.sap.com/sap/support/notes/1626208","1626208")</f>
        <v>1626208</v>
      </c>
      <c r="E3460">
        <v>1</v>
      </c>
      <c r="F3460" t="s">
        <v>4705</v>
      </c>
    </row>
    <row r="3461" spans="1:6" x14ac:dyDescent="0.25">
      <c r="A3461" t="s">
        <v>1522</v>
      </c>
      <c r="B3461" t="s">
        <v>1060</v>
      </c>
      <c r="C3461" t="s">
        <v>1061</v>
      </c>
      <c r="D3461" t="str">
        <f>HYPERLINK("http://service.sap.com/sap/support/notes/1628829","1628829")</f>
        <v>1628829</v>
      </c>
      <c r="E3461">
        <v>2</v>
      </c>
      <c r="F3461" t="s">
        <v>4706</v>
      </c>
    </row>
    <row r="3462" spans="1:6" x14ac:dyDescent="0.25">
      <c r="A3462" t="s">
        <v>1522</v>
      </c>
      <c r="B3462" t="s">
        <v>1060</v>
      </c>
      <c r="C3462" t="s">
        <v>1061</v>
      </c>
      <c r="D3462" t="str">
        <f>HYPERLINK("http://service.sap.com/sap/support/notes/1667992","1667992")</f>
        <v>1667992</v>
      </c>
      <c r="E3462">
        <v>1</v>
      </c>
      <c r="F3462" t="s">
        <v>4707</v>
      </c>
    </row>
    <row r="3463" spans="1:6" x14ac:dyDescent="0.25">
      <c r="A3463" t="s">
        <v>1522</v>
      </c>
      <c r="B3463" t="s">
        <v>4708</v>
      </c>
      <c r="C3463" t="s">
        <v>4709</v>
      </c>
      <c r="D3463" t="str">
        <f>HYPERLINK("http://service.sap.com/sap/support/notes/1651506","1651506")</f>
        <v>1651506</v>
      </c>
      <c r="E3463">
        <v>3</v>
      </c>
      <c r="F3463" t="s">
        <v>4710</v>
      </c>
    </row>
    <row r="3464" spans="1:6" x14ac:dyDescent="0.25">
      <c r="A3464" t="s">
        <v>1522</v>
      </c>
      <c r="B3464" t="s">
        <v>1063</v>
      </c>
      <c r="C3464" t="s">
        <v>1064</v>
      </c>
      <c r="D3464" t="str">
        <f>HYPERLINK("http://service.sap.com/sap/support/notes/1624183","1624183")</f>
        <v>1624183</v>
      </c>
      <c r="E3464">
        <v>3</v>
      </c>
      <c r="F3464" t="s">
        <v>4711</v>
      </c>
    </row>
    <row r="3465" spans="1:6" x14ac:dyDescent="0.25">
      <c r="A3465" t="s">
        <v>1522</v>
      </c>
      <c r="B3465" t="s">
        <v>1063</v>
      </c>
      <c r="C3465" t="s">
        <v>1064</v>
      </c>
      <c r="D3465" t="str">
        <f>HYPERLINK("http://service.sap.com/sap/support/notes/1641166","1641166")</f>
        <v>1641166</v>
      </c>
      <c r="E3465">
        <v>1</v>
      </c>
      <c r="F3465" t="s">
        <v>4712</v>
      </c>
    </row>
    <row r="3466" spans="1:6" x14ac:dyDescent="0.25">
      <c r="A3466" t="s">
        <v>1522</v>
      </c>
      <c r="B3466" t="s">
        <v>1066</v>
      </c>
      <c r="C3466" t="s">
        <v>1067</v>
      </c>
    </row>
    <row r="3467" spans="1:6" x14ac:dyDescent="0.25">
      <c r="A3467" t="s">
        <v>1522</v>
      </c>
      <c r="B3467" t="s">
        <v>1068</v>
      </c>
      <c r="C3467" t="s">
        <v>1069</v>
      </c>
      <c r="D3467" t="str">
        <f>HYPERLINK("http://service.sap.com/sap/support/notes/1642066","1642066")</f>
        <v>1642066</v>
      </c>
      <c r="E3467">
        <v>1</v>
      </c>
      <c r="F3467" t="s">
        <v>4713</v>
      </c>
    </row>
    <row r="3468" spans="1:6" x14ac:dyDescent="0.25">
      <c r="A3468" t="s">
        <v>1522</v>
      </c>
      <c r="B3468" t="s">
        <v>4714</v>
      </c>
      <c r="C3468" t="s">
        <v>4715</v>
      </c>
      <c r="D3468" t="str">
        <f>HYPERLINK("http://service.sap.com/sap/support/notes/1606311","1606311")</f>
        <v>1606311</v>
      </c>
      <c r="E3468">
        <v>1</v>
      </c>
      <c r="F3468" t="s">
        <v>4716</v>
      </c>
    </row>
    <row r="3469" spans="1:6" x14ac:dyDescent="0.25">
      <c r="A3469" t="s">
        <v>1522</v>
      </c>
      <c r="B3469" t="s">
        <v>4714</v>
      </c>
      <c r="C3469" t="s">
        <v>4715</v>
      </c>
      <c r="D3469" t="str">
        <f>HYPERLINK("http://service.sap.com/sap/support/notes/1615754","1615754")</f>
        <v>1615754</v>
      </c>
      <c r="E3469">
        <v>1</v>
      </c>
      <c r="F3469" t="s">
        <v>4717</v>
      </c>
    </row>
    <row r="3470" spans="1:6" x14ac:dyDescent="0.25">
      <c r="A3470" t="s">
        <v>1522</v>
      </c>
      <c r="B3470" t="s">
        <v>4714</v>
      </c>
      <c r="C3470" t="s">
        <v>4715</v>
      </c>
      <c r="D3470" t="str">
        <f>HYPERLINK("http://service.sap.com/sap/support/notes/1630450","1630450")</f>
        <v>1630450</v>
      </c>
      <c r="E3470">
        <v>1</v>
      </c>
      <c r="F3470" t="s">
        <v>4718</v>
      </c>
    </row>
    <row r="3471" spans="1:6" x14ac:dyDescent="0.25">
      <c r="A3471" t="s">
        <v>1522</v>
      </c>
      <c r="B3471" t="s">
        <v>4719</v>
      </c>
      <c r="C3471" t="s">
        <v>4720</v>
      </c>
      <c r="D3471" t="str">
        <f>HYPERLINK("http://service.sap.com/sap/support/notes/1627494","1627494")</f>
        <v>1627494</v>
      </c>
      <c r="E3471">
        <v>1</v>
      </c>
      <c r="F3471" t="s">
        <v>4721</v>
      </c>
    </row>
    <row r="3472" spans="1:6" x14ac:dyDescent="0.25">
      <c r="A3472" t="s">
        <v>1522</v>
      </c>
      <c r="B3472" t="s">
        <v>1071</v>
      </c>
      <c r="C3472" t="s">
        <v>1072</v>
      </c>
      <c r="D3472" t="str">
        <f>HYPERLINK("http://service.sap.com/sap/support/notes/1635696","1635696")</f>
        <v>1635696</v>
      </c>
      <c r="E3472">
        <v>1</v>
      </c>
      <c r="F3472" t="s">
        <v>4722</v>
      </c>
    </row>
    <row r="3473" spans="1:6" x14ac:dyDescent="0.25">
      <c r="A3473" t="s">
        <v>1522</v>
      </c>
      <c r="B3473" t="s">
        <v>1071</v>
      </c>
      <c r="C3473" t="s">
        <v>1072</v>
      </c>
      <c r="D3473" t="str">
        <f>HYPERLINK("http://service.sap.com/sap/support/notes/1661635","1661635")</f>
        <v>1661635</v>
      </c>
      <c r="E3473">
        <v>1</v>
      </c>
      <c r="F3473" t="s">
        <v>4723</v>
      </c>
    </row>
    <row r="3474" spans="1:6" x14ac:dyDescent="0.25">
      <c r="A3474" t="s">
        <v>1522</v>
      </c>
      <c r="B3474" t="s">
        <v>1074</v>
      </c>
      <c r="C3474" t="s">
        <v>1075</v>
      </c>
      <c r="D3474" t="str">
        <f>HYPERLINK("http://service.sap.com/sap/support/notes/1624158","1624158")</f>
        <v>1624158</v>
      </c>
      <c r="E3474">
        <v>1</v>
      </c>
      <c r="F3474" t="s">
        <v>4724</v>
      </c>
    </row>
    <row r="3475" spans="1:6" x14ac:dyDescent="0.25">
      <c r="A3475" t="s">
        <v>1522</v>
      </c>
      <c r="B3475" t="s">
        <v>4725</v>
      </c>
      <c r="C3475" t="s">
        <v>4726</v>
      </c>
      <c r="D3475" t="str">
        <f>HYPERLINK("http://service.sap.com/sap/support/notes/1629827","1629827")</f>
        <v>1629827</v>
      </c>
      <c r="E3475">
        <v>1</v>
      </c>
      <c r="F3475" t="s">
        <v>4727</v>
      </c>
    </row>
    <row r="3476" spans="1:6" x14ac:dyDescent="0.25">
      <c r="A3476" t="s">
        <v>1522</v>
      </c>
      <c r="B3476" t="s">
        <v>4725</v>
      </c>
      <c r="C3476" t="s">
        <v>4726</v>
      </c>
      <c r="D3476" t="str">
        <f>HYPERLINK("http://service.sap.com/sap/support/notes/1631514","1631514")</f>
        <v>1631514</v>
      </c>
      <c r="E3476">
        <v>1</v>
      </c>
      <c r="F3476" t="s">
        <v>4728</v>
      </c>
    </row>
    <row r="3477" spans="1:6" x14ac:dyDescent="0.25">
      <c r="A3477" t="s">
        <v>1522</v>
      </c>
      <c r="B3477" t="s">
        <v>4725</v>
      </c>
      <c r="C3477" t="s">
        <v>4726</v>
      </c>
      <c r="D3477" t="str">
        <f>HYPERLINK("http://service.sap.com/sap/support/notes/1650145","1650145")</f>
        <v>1650145</v>
      </c>
      <c r="E3477">
        <v>7</v>
      </c>
      <c r="F3477" t="s">
        <v>4729</v>
      </c>
    </row>
    <row r="3478" spans="1:6" x14ac:dyDescent="0.25">
      <c r="A3478" t="s">
        <v>1522</v>
      </c>
      <c r="B3478" t="s">
        <v>4725</v>
      </c>
      <c r="C3478" t="s">
        <v>4726</v>
      </c>
      <c r="D3478" t="str">
        <f>HYPERLINK("http://service.sap.com/sap/support/notes/1660764","1660764")</f>
        <v>1660764</v>
      </c>
      <c r="E3478">
        <v>4</v>
      </c>
      <c r="F3478" t="s">
        <v>4730</v>
      </c>
    </row>
    <row r="3479" spans="1:6" x14ac:dyDescent="0.25">
      <c r="A3479" t="s">
        <v>1522</v>
      </c>
      <c r="B3479" t="s">
        <v>4725</v>
      </c>
      <c r="C3479" t="s">
        <v>4726</v>
      </c>
      <c r="D3479" t="str">
        <f>HYPERLINK("http://service.sap.com/sap/support/notes/1661807","1661807")</f>
        <v>1661807</v>
      </c>
      <c r="E3479">
        <v>2</v>
      </c>
      <c r="F3479" t="s">
        <v>4731</v>
      </c>
    </row>
    <row r="3480" spans="1:6" x14ac:dyDescent="0.25">
      <c r="A3480" t="s">
        <v>1522</v>
      </c>
      <c r="B3480" t="s">
        <v>4725</v>
      </c>
      <c r="C3480" t="s">
        <v>4726</v>
      </c>
      <c r="D3480" t="str">
        <f>HYPERLINK("http://service.sap.com/sap/support/notes/1669730","1669730")</f>
        <v>1669730</v>
      </c>
      <c r="E3480">
        <v>3</v>
      </c>
      <c r="F3480" t="s">
        <v>4732</v>
      </c>
    </row>
    <row r="3481" spans="1:6" x14ac:dyDescent="0.25">
      <c r="A3481" t="s">
        <v>1522</v>
      </c>
      <c r="B3481" t="s">
        <v>4725</v>
      </c>
      <c r="C3481" t="s">
        <v>4726</v>
      </c>
      <c r="D3481" t="str">
        <f>HYPERLINK("http://service.sap.com/sap/support/notes/1670079","1670079")</f>
        <v>1670079</v>
      </c>
      <c r="E3481">
        <v>2</v>
      </c>
      <c r="F3481" t="s">
        <v>4733</v>
      </c>
    </row>
    <row r="3482" spans="1:6" x14ac:dyDescent="0.25">
      <c r="A3482" t="s">
        <v>1522</v>
      </c>
      <c r="B3482" t="s">
        <v>4725</v>
      </c>
      <c r="C3482" t="s">
        <v>4726</v>
      </c>
      <c r="D3482" t="str">
        <f>HYPERLINK("http://service.sap.com/sap/support/notes/1670514","1670514")</f>
        <v>1670514</v>
      </c>
      <c r="E3482">
        <v>1</v>
      </c>
      <c r="F3482" t="s">
        <v>4734</v>
      </c>
    </row>
    <row r="3483" spans="1:6" x14ac:dyDescent="0.25">
      <c r="A3483" t="s">
        <v>1522</v>
      </c>
      <c r="B3483" t="s">
        <v>4725</v>
      </c>
      <c r="C3483" t="s">
        <v>4726</v>
      </c>
      <c r="D3483" t="str">
        <f>HYPERLINK("http://service.sap.com/sap/support/notes/1671129","1671129")</f>
        <v>1671129</v>
      </c>
      <c r="E3483">
        <v>1</v>
      </c>
      <c r="F3483" t="s">
        <v>4735</v>
      </c>
    </row>
    <row r="3484" spans="1:6" x14ac:dyDescent="0.25">
      <c r="A3484" t="s">
        <v>1522</v>
      </c>
      <c r="B3484" t="s">
        <v>4725</v>
      </c>
      <c r="C3484" t="s">
        <v>4726</v>
      </c>
      <c r="D3484" t="str">
        <f>HYPERLINK("http://service.sap.com/sap/support/notes/1671224","1671224")</f>
        <v>1671224</v>
      </c>
      <c r="E3484">
        <v>3</v>
      </c>
      <c r="F3484" t="s">
        <v>4736</v>
      </c>
    </row>
    <row r="3485" spans="1:6" x14ac:dyDescent="0.25">
      <c r="A3485" t="s">
        <v>1522</v>
      </c>
      <c r="B3485" t="s">
        <v>4725</v>
      </c>
      <c r="C3485" t="s">
        <v>4726</v>
      </c>
      <c r="D3485" t="str">
        <f>HYPERLINK("http://service.sap.com/sap/support/notes/1673677","1673677")</f>
        <v>1673677</v>
      </c>
      <c r="E3485">
        <v>1</v>
      </c>
      <c r="F3485" t="s">
        <v>4737</v>
      </c>
    </row>
    <row r="3486" spans="1:6" x14ac:dyDescent="0.25">
      <c r="A3486" t="s">
        <v>1522</v>
      </c>
      <c r="B3486" t="s">
        <v>4738</v>
      </c>
      <c r="C3486" t="s">
        <v>4739</v>
      </c>
      <c r="D3486" t="str">
        <f>HYPERLINK("http://service.sap.com/sap/support/notes/1631522","1631522")</f>
        <v>1631522</v>
      </c>
      <c r="E3486">
        <v>1</v>
      </c>
      <c r="F3486" t="s">
        <v>4740</v>
      </c>
    </row>
    <row r="3487" spans="1:6" x14ac:dyDescent="0.25">
      <c r="A3487" t="s">
        <v>1522</v>
      </c>
      <c r="B3487" t="s">
        <v>1077</v>
      </c>
      <c r="C3487" t="s">
        <v>1078</v>
      </c>
      <c r="D3487" t="str">
        <f>HYPERLINK("http://service.sap.com/sap/support/notes/1664508","1664508")</f>
        <v>1664508</v>
      </c>
      <c r="E3487">
        <v>1</v>
      </c>
      <c r="F3487" t="s">
        <v>4741</v>
      </c>
    </row>
    <row r="3488" spans="1:6" x14ac:dyDescent="0.25">
      <c r="A3488" t="s">
        <v>1522</v>
      </c>
      <c r="B3488" t="s">
        <v>4742</v>
      </c>
      <c r="C3488" t="s">
        <v>4743</v>
      </c>
      <c r="D3488" t="str">
        <f>HYPERLINK("http://service.sap.com/sap/support/notes/1624834","1624834")</f>
        <v>1624834</v>
      </c>
      <c r="E3488">
        <v>1</v>
      </c>
      <c r="F3488" t="s">
        <v>4744</v>
      </c>
    </row>
    <row r="3489" spans="1:6" x14ac:dyDescent="0.25">
      <c r="A3489" t="s">
        <v>1522</v>
      </c>
      <c r="B3489" t="s">
        <v>4742</v>
      </c>
      <c r="C3489" t="s">
        <v>4743</v>
      </c>
      <c r="D3489" t="str">
        <f>HYPERLINK("http://service.sap.com/sap/support/notes/1655559","1655559")</f>
        <v>1655559</v>
      </c>
      <c r="E3489">
        <v>1</v>
      </c>
      <c r="F3489" t="s">
        <v>4745</v>
      </c>
    </row>
    <row r="3490" spans="1:6" x14ac:dyDescent="0.25">
      <c r="A3490" t="s">
        <v>1522</v>
      </c>
      <c r="B3490" t="s">
        <v>4742</v>
      </c>
      <c r="C3490" t="s">
        <v>4743</v>
      </c>
      <c r="D3490" t="str">
        <f>HYPERLINK("http://service.sap.com/sap/support/notes/1665343","1665343")</f>
        <v>1665343</v>
      </c>
      <c r="E3490">
        <v>2</v>
      </c>
      <c r="F3490" t="s">
        <v>4746</v>
      </c>
    </row>
    <row r="3491" spans="1:6" x14ac:dyDescent="0.25">
      <c r="A3491" t="s">
        <v>1522</v>
      </c>
      <c r="B3491" t="s">
        <v>4747</v>
      </c>
      <c r="C3491" t="s">
        <v>4748</v>
      </c>
      <c r="D3491" t="str">
        <f>HYPERLINK("http://service.sap.com/sap/support/notes/1663978","1663978")</f>
        <v>1663978</v>
      </c>
      <c r="E3491">
        <v>1</v>
      </c>
      <c r="F3491" t="s">
        <v>4749</v>
      </c>
    </row>
    <row r="3492" spans="1:6" x14ac:dyDescent="0.25">
      <c r="A3492" t="s">
        <v>1522</v>
      </c>
      <c r="B3492" t="s">
        <v>4750</v>
      </c>
      <c r="C3492" t="s">
        <v>4751</v>
      </c>
      <c r="D3492" t="str">
        <f>HYPERLINK("http://service.sap.com/sap/support/notes/1649354","1649354")</f>
        <v>1649354</v>
      </c>
      <c r="E3492">
        <v>1</v>
      </c>
      <c r="F3492" t="s">
        <v>4752</v>
      </c>
    </row>
    <row r="3493" spans="1:6" x14ac:dyDescent="0.25">
      <c r="A3493" t="s">
        <v>1522</v>
      </c>
      <c r="B3493" t="s">
        <v>4753</v>
      </c>
      <c r="C3493" t="s">
        <v>4754</v>
      </c>
      <c r="D3493" t="str">
        <f>HYPERLINK("http://service.sap.com/sap/support/notes/1623805","1623805")</f>
        <v>1623805</v>
      </c>
      <c r="E3493">
        <v>1</v>
      </c>
      <c r="F3493" t="s">
        <v>4755</v>
      </c>
    </row>
    <row r="3494" spans="1:6" x14ac:dyDescent="0.25">
      <c r="A3494" t="s">
        <v>1522</v>
      </c>
      <c r="B3494" t="s">
        <v>1083</v>
      </c>
      <c r="C3494" t="s">
        <v>1084</v>
      </c>
      <c r="D3494" t="str">
        <f>HYPERLINK("http://service.sap.com/sap/support/notes/1607967","1607967")</f>
        <v>1607967</v>
      </c>
      <c r="E3494">
        <v>1</v>
      </c>
      <c r="F3494" t="s">
        <v>1085</v>
      </c>
    </row>
    <row r="3495" spans="1:6" x14ac:dyDescent="0.25">
      <c r="A3495" t="s">
        <v>1522</v>
      </c>
      <c r="B3495" t="s">
        <v>1083</v>
      </c>
      <c r="C3495" t="s">
        <v>1084</v>
      </c>
      <c r="D3495" t="str">
        <f>HYPERLINK("http://service.sap.com/sap/support/notes/1624944","1624944")</f>
        <v>1624944</v>
      </c>
      <c r="E3495">
        <v>1</v>
      </c>
      <c r="F3495" t="s">
        <v>4756</v>
      </c>
    </row>
    <row r="3496" spans="1:6" x14ac:dyDescent="0.25">
      <c r="A3496" t="s">
        <v>1522</v>
      </c>
      <c r="B3496" t="s">
        <v>1083</v>
      </c>
      <c r="C3496" t="s">
        <v>1084</v>
      </c>
      <c r="D3496" t="str">
        <f>HYPERLINK("http://service.sap.com/sap/support/notes/1651051","1651051")</f>
        <v>1651051</v>
      </c>
      <c r="E3496">
        <v>3</v>
      </c>
      <c r="F3496" t="s">
        <v>4757</v>
      </c>
    </row>
    <row r="3497" spans="1:6" x14ac:dyDescent="0.25">
      <c r="A3497" t="s">
        <v>1522</v>
      </c>
      <c r="B3497" t="s">
        <v>4758</v>
      </c>
      <c r="C3497" t="s">
        <v>4759</v>
      </c>
    </row>
    <row r="3498" spans="1:6" x14ac:dyDescent="0.25">
      <c r="A3498" t="s">
        <v>1522</v>
      </c>
      <c r="B3498" t="s">
        <v>4760</v>
      </c>
      <c r="C3498" t="s">
        <v>4020</v>
      </c>
      <c r="D3498" t="str">
        <f>HYPERLINK("http://service.sap.com/sap/support/notes/1652154","1652154")</f>
        <v>1652154</v>
      </c>
      <c r="E3498">
        <v>1</v>
      </c>
      <c r="F3498" t="s">
        <v>4761</v>
      </c>
    </row>
    <row r="3499" spans="1:6" x14ac:dyDescent="0.25">
      <c r="A3499" t="s">
        <v>1522</v>
      </c>
      <c r="B3499" t="s">
        <v>4762</v>
      </c>
      <c r="C3499" t="s">
        <v>4763</v>
      </c>
      <c r="D3499" t="str">
        <f>HYPERLINK("http://service.sap.com/sap/support/notes/1628094","1628094")</f>
        <v>1628094</v>
      </c>
      <c r="E3499">
        <v>1</v>
      </c>
      <c r="F3499" t="s">
        <v>4764</v>
      </c>
    </row>
    <row r="3500" spans="1:6" x14ac:dyDescent="0.25">
      <c r="A3500" t="s">
        <v>1522</v>
      </c>
      <c r="B3500" t="s">
        <v>4762</v>
      </c>
      <c r="C3500" t="s">
        <v>4763</v>
      </c>
      <c r="D3500" t="str">
        <f>HYPERLINK("http://service.sap.com/sap/support/notes/1666519","1666519")</f>
        <v>1666519</v>
      </c>
      <c r="E3500">
        <v>2</v>
      </c>
      <c r="F3500" t="s">
        <v>4765</v>
      </c>
    </row>
    <row r="3501" spans="1:6" x14ac:dyDescent="0.25">
      <c r="A3501" t="s">
        <v>1522</v>
      </c>
      <c r="B3501" t="s">
        <v>1087</v>
      </c>
      <c r="C3501" t="s">
        <v>1088</v>
      </c>
      <c r="D3501" t="str">
        <f>HYPERLINK("http://service.sap.com/sap/support/notes/1231458","1231458")</f>
        <v>1231458</v>
      </c>
      <c r="E3501">
        <v>2</v>
      </c>
      <c r="F3501" t="s">
        <v>4766</v>
      </c>
    </row>
    <row r="3502" spans="1:6" x14ac:dyDescent="0.25">
      <c r="A3502" t="s">
        <v>1522</v>
      </c>
      <c r="B3502" t="s">
        <v>1087</v>
      </c>
      <c r="C3502" t="s">
        <v>1088</v>
      </c>
      <c r="D3502" t="str">
        <f>HYPERLINK("http://service.sap.com/sap/support/notes/1665018","1665018")</f>
        <v>1665018</v>
      </c>
      <c r="E3502">
        <v>1</v>
      </c>
      <c r="F3502" t="s">
        <v>4767</v>
      </c>
    </row>
    <row r="3503" spans="1:6" x14ac:dyDescent="0.25">
      <c r="A3503" t="s">
        <v>1522</v>
      </c>
      <c r="B3503" t="s">
        <v>1089</v>
      </c>
      <c r="C3503" t="s">
        <v>1090</v>
      </c>
      <c r="D3503" t="str">
        <f>HYPERLINK("http://service.sap.com/sap/support/notes/1600484","1600484")</f>
        <v>1600484</v>
      </c>
      <c r="E3503">
        <v>3</v>
      </c>
      <c r="F3503" t="s">
        <v>4768</v>
      </c>
    </row>
    <row r="3504" spans="1:6" x14ac:dyDescent="0.25">
      <c r="A3504" t="s">
        <v>1522</v>
      </c>
      <c r="B3504" t="s">
        <v>1089</v>
      </c>
      <c r="C3504" t="s">
        <v>1090</v>
      </c>
      <c r="D3504" t="str">
        <f>HYPERLINK("http://service.sap.com/sap/support/notes/1622436","1622436")</f>
        <v>1622436</v>
      </c>
      <c r="E3504">
        <v>1</v>
      </c>
      <c r="F3504" t="s">
        <v>4769</v>
      </c>
    </row>
    <row r="3505" spans="1:6" x14ac:dyDescent="0.25">
      <c r="A3505" t="s">
        <v>1522</v>
      </c>
      <c r="B3505" t="s">
        <v>1089</v>
      </c>
      <c r="C3505" t="s">
        <v>1090</v>
      </c>
      <c r="D3505" t="str">
        <f>HYPERLINK("http://service.sap.com/sap/support/notes/1633997","1633997")</f>
        <v>1633997</v>
      </c>
      <c r="E3505">
        <v>1</v>
      </c>
      <c r="F3505" t="s">
        <v>4770</v>
      </c>
    </row>
    <row r="3506" spans="1:6" x14ac:dyDescent="0.25">
      <c r="A3506" t="s">
        <v>1522</v>
      </c>
      <c r="B3506" t="s">
        <v>1089</v>
      </c>
      <c r="C3506" t="s">
        <v>1090</v>
      </c>
      <c r="D3506" t="str">
        <f>HYPERLINK("http://service.sap.com/sap/support/notes/1647060","1647060")</f>
        <v>1647060</v>
      </c>
      <c r="E3506">
        <v>1</v>
      </c>
      <c r="F3506" t="s">
        <v>4771</v>
      </c>
    </row>
    <row r="3507" spans="1:6" x14ac:dyDescent="0.25">
      <c r="A3507" t="s">
        <v>1522</v>
      </c>
      <c r="B3507" t="s">
        <v>1089</v>
      </c>
      <c r="C3507" t="s">
        <v>1090</v>
      </c>
      <c r="D3507" t="str">
        <f>HYPERLINK("http://service.sap.com/sap/support/notes/1656384","1656384")</f>
        <v>1656384</v>
      </c>
      <c r="E3507">
        <v>1</v>
      </c>
      <c r="F3507" t="s">
        <v>4772</v>
      </c>
    </row>
    <row r="3508" spans="1:6" x14ac:dyDescent="0.25">
      <c r="A3508" t="s">
        <v>1522</v>
      </c>
      <c r="B3508" t="s">
        <v>1089</v>
      </c>
      <c r="C3508" t="s">
        <v>1090</v>
      </c>
      <c r="D3508" t="str">
        <f>HYPERLINK("http://service.sap.com/sap/support/notes/1660379","1660379")</f>
        <v>1660379</v>
      </c>
      <c r="E3508">
        <v>3</v>
      </c>
      <c r="F3508" t="s">
        <v>4773</v>
      </c>
    </row>
    <row r="3509" spans="1:6" x14ac:dyDescent="0.25">
      <c r="A3509" t="s">
        <v>1522</v>
      </c>
      <c r="B3509" t="s">
        <v>4774</v>
      </c>
      <c r="C3509" t="s">
        <v>4775</v>
      </c>
      <c r="D3509" t="str">
        <f>HYPERLINK("http://service.sap.com/sap/support/notes/1631866","1631866")</f>
        <v>1631866</v>
      </c>
      <c r="E3509">
        <v>1</v>
      </c>
      <c r="F3509" t="s">
        <v>4776</v>
      </c>
    </row>
    <row r="3510" spans="1:6" x14ac:dyDescent="0.25">
      <c r="A3510" t="s">
        <v>1522</v>
      </c>
      <c r="B3510" t="s">
        <v>4774</v>
      </c>
      <c r="C3510" t="s">
        <v>4775</v>
      </c>
      <c r="D3510" t="str">
        <f>HYPERLINK("http://service.sap.com/sap/support/notes/1653712","1653712")</f>
        <v>1653712</v>
      </c>
      <c r="E3510">
        <v>1</v>
      </c>
      <c r="F3510" t="s">
        <v>4777</v>
      </c>
    </row>
    <row r="3511" spans="1:6" x14ac:dyDescent="0.25">
      <c r="A3511" t="s">
        <v>1522</v>
      </c>
      <c r="B3511" t="s">
        <v>4774</v>
      </c>
      <c r="C3511" t="s">
        <v>4775</v>
      </c>
      <c r="D3511" t="str">
        <f>HYPERLINK("http://service.sap.com/sap/support/notes/1666763","1666763")</f>
        <v>1666763</v>
      </c>
      <c r="E3511">
        <v>1</v>
      </c>
      <c r="F3511" t="s">
        <v>4778</v>
      </c>
    </row>
    <row r="3512" spans="1:6" x14ac:dyDescent="0.25">
      <c r="A3512" t="s">
        <v>1522</v>
      </c>
      <c r="B3512" t="s">
        <v>4774</v>
      </c>
      <c r="C3512" t="s">
        <v>4775</v>
      </c>
      <c r="D3512" t="str">
        <f>HYPERLINK("http://service.sap.com/sap/support/notes/1672387","1672387")</f>
        <v>1672387</v>
      </c>
      <c r="E3512">
        <v>2</v>
      </c>
      <c r="F3512" t="s">
        <v>4779</v>
      </c>
    </row>
    <row r="3513" spans="1:6" x14ac:dyDescent="0.25">
      <c r="A3513" t="s">
        <v>1522</v>
      </c>
      <c r="B3513" t="s">
        <v>4780</v>
      </c>
      <c r="C3513" t="s">
        <v>4781</v>
      </c>
      <c r="D3513" t="str">
        <f>HYPERLINK("http://service.sap.com/sap/support/notes/1613763","1613763")</f>
        <v>1613763</v>
      </c>
      <c r="E3513">
        <v>3</v>
      </c>
      <c r="F3513" t="s">
        <v>4782</v>
      </c>
    </row>
    <row r="3514" spans="1:6" x14ac:dyDescent="0.25">
      <c r="A3514" t="s">
        <v>1522</v>
      </c>
      <c r="B3514" t="s">
        <v>4780</v>
      </c>
      <c r="C3514" t="s">
        <v>4781</v>
      </c>
      <c r="D3514" t="str">
        <f>HYPERLINK("http://service.sap.com/sap/support/notes/1618700","1618700")</f>
        <v>1618700</v>
      </c>
      <c r="E3514">
        <v>2</v>
      </c>
      <c r="F3514" t="s">
        <v>4783</v>
      </c>
    </row>
    <row r="3515" spans="1:6" x14ac:dyDescent="0.25">
      <c r="A3515" t="s">
        <v>1522</v>
      </c>
      <c r="B3515" t="s">
        <v>4780</v>
      </c>
      <c r="C3515" t="s">
        <v>4781</v>
      </c>
      <c r="D3515" t="str">
        <f>HYPERLINK("http://service.sap.com/sap/support/notes/1654199","1654199")</f>
        <v>1654199</v>
      </c>
      <c r="E3515">
        <v>2</v>
      </c>
      <c r="F3515" t="s">
        <v>4784</v>
      </c>
    </row>
    <row r="3516" spans="1:6" x14ac:dyDescent="0.25">
      <c r="A3516" t="s">
        <v>1522</v>
      </c>
      <c r="B3516" t="s">
        <v>4780</v>
      </c>
      <c r="C3516" t="s">
        <v>4781</v>
      </c>
      <c r="D3516" t="str">
        <f>HYPERLINK("http://service.sap.com/sap/support/notes/1659397","1659397")</f>
        <v>1659397</v>
      </c>
      <c r="E3516">
        <v>1</v>
      </c>
      <c r="F3516" t="s">
        <v>4785</v>
      </c>
    </row>
    <row r="3517" spans="1:6" x14ac:dyDescent="0.25">
      <c r="A3517" t="s">
        <v>1522</v>
      </c>
      <c r="B3517" t="s">
        <v>4786</v>
      </c>
      <c r="C3517" t="s">
        <v>350</v>
      </c>
      <c r="D3517" t="str">
        <f>HYPERLINK("http://service.sap.com/sap/support/notes/1641281","1641281")</f>
        <v>1641281</v>
      </c>
      <c r="E3517">
        <v>1</v>
      </c>
      <c r="F3517" t="s">
        <v>4787</v>
      </c>
    </row>
    <row r="3518" spans="1:6" x14ac:dyDescent="0.25">
      <c r="A3518" t="s">
        <v>1522</v>
      </c>
      <c r="B3518" t="s">
        <v>4786</v>
      </c>
      <c r="C3518" t="s">
        <v>350</v>
      </c>
      <c r="D3518" t="str">
        <f>HYPERLINK("http://service.sap.com/sap/support/notes/1649280","1649280")</f>
        <v>1649280</v>
      </c>
      <c r="E3518">
        <v>1</v>
      </c>
      <c r="F3518" t="s">
        <v>4788</v>
      </c>
    </row>
    <row r="3519" spans="1:6" x14ac:dyDescent="0.25">
      <c r="A3519" t="s">
        <v>1522</v>
      </c>
      <c r="B3519" t="s">
        <v>1097</v>
      </c>
      <c r="C3519" t="s">
        <v>1098</v>
      </c>
      <c r="D3519" t="str">
        <f>HYPERLINK("http://service.sap.com/sap/support/notes/1624858","1624858")</f>
        <v>1624858</v>
      </c>
      <c r="E3519">
        <v>1</v>
      </c>
      <c r="F3519" t="s">
        <v>4789</v>
      </c>
    </row>
    <row r="3520" spans="1:6" x14ac:dyDescent="0.25">
      <c r="A3520" t="s">
        <v>1522</v>
      </c>
      <c r="B3520" t="s">
        <v>1097</v>
      </c>
      <c r="C3520" t="s">
        <v>1098</v>
      </c>
      <c r="D3520" t="str">
        <f>HYPERLINK("http://service.sap.com/sap/support/notes/1627473","1627473")</f>
        <v>1627473</v>
      </c>
      <c r="E3520">
        <v>1</v>
      </c>
      <c r="F3520" t="s">
        <v>4790</v>
      </c>
    </row>
    <row r="3521" spans="1:6" x14ac:dyDescent="0.25">
      <c r="A3521" t="s">
        <v>1522</v>
      </c>
      <c r="B3521" t="s">
        <v>1097</v>
      </c>
      <c r="C3521" t="s">
        <v>1098</v>
      </c>
      <c r="D3521" t="str">
        <f>HYPERLINK("http://service.sap.com/sap/support/notes/1628445","1628445")</f>
        <v>1628445</v>
      </c>
      <c r="E3521">
        <v>1</v>
      </c>
      <c r="F3521" t="s">
        <v>4791</v>
      </c>
    </row>
    <row r="3522" spans="1:6" x14ac:dyDescent="0.25">
      <c r="A3522" t="s">
        <v>1522</v>
      </c>
      <c r="B3522" t="s">
        <v>1097</v>
      </c>
      <c r="C3522" t="s">
        <v>1098</v>
      </c>
      <c r="D3522" t="str">
        <f>HYPERLINK("http://service.sap.com/sap/support/notes/1643142","1643142")</f>
        <v>1643142</v>
      </c>
      <c r="E3522">
        <v>1</v>
      </c>
      <c r="F3522" t="s">
        <v>4792</v>
      </c>
    </row>
    <row r="3523" spans="1:6" x14ac:dyDescent="0.25">
      <c r="A3523" t="s">
        <v>1522</v>
      </c>
      <c r="B3523" t="s">
        <v>4793</v>
      </c>
      <c r="C3523" t="s">
        <v>4794</v>
      </c>
      <c r="D3523" t="str">
        <f>HYPERLINK("http://service.sap.com/sap/support/notes/1627550","1627550")</f>
        <v>1627550</v>
      </c>
      <c r="E3523">
        <v>1</v>
      </c>
      <c r="F3523" t="s">
        <v>4795</v>
      </c>
    </row>
    <row r="3524" spans="1:6" x14ac:dyDescent="0.25">
      <c r="A3524" t="s">
        <v>1522</v>
      </c>
      <c r="B3524" t="s">
        <v>4793</v>
      </c>
      <c r="C3524" t="s">
        <v>4794</v>
      </c>
      <c r="D3524" t="str">
        <f>HYPERLINK("http://service.sap.com/sap/support/notes/1638442","1638442")</f>
        <v>1638442</v>
      </c>
      <c r="E3524">
        <v>1</v>
      </c>
      <c r="F3524" t="s">
        <v>4796</v>
      </c>
    </row>
    <row r="3525" spans="1:6" x14ac:dyDescent="0.25">
      <c r="A3525" t="s">
        <v>1522</v>
      </c>
      <c r="B3525" t="s">
        <v>4793</v>
      </c>
      <c r="C3525" t="s">
        <v>4794</v>
      </c>
      <c r="D3525" t="str">
        <f>HYPERLINK("http://service.sap.com/sap/support/notes/1639573","1639573")</f>
        <v>1639573</v>
      </c>
      <c r="E3525">
        <v>1</v>
      </c>
      <c r="F3525" t="s">
        <v>4797</v>
      </c>
    </row>
    <row r="3526" spans="1:6" x14ac:dyDescent="0.25">
      <c r="A3526" t="s">
        <v>1522</v>
      </c>
      <c r="B3526" t="s">
        <v>4793</v>
      </c>
      <c r="C3526" t="s">
        <v>4794</v>
      </c>
      <c r="D3526" t="str">
        <f>HYPERLINK("http://service.sap.com/sap/support/notes/1649437","1649437")</f>
        <v>1649437</v>
      </c>
      <c r="E3526">
        <v>1</v>
      </c>
      <c r="F3526" t="s">
        <v>4798</v>
      </c>
    </row>
    <row r="3527" spans="1:6" x14ac:dyDescent="0.25">
      <c r="A3527" t="s">
        <v>1522</v>
      </c>
      <c r="B3527" t="s">
        <v>4793</v>
      </c>
      <c r="C3527" t="s">
        <v>4794</v>
      </c>
      <c r="D3527" t="str">
        <f>HYPERLINK("http://service.sap.com/sap/support/notes/1657734","1657734")</f>
        <v>1657734</v>
      </c>
      <c r="E3527">
        <v>1</v>
      </c>
      <c r="F3527" t="s">
        <v>4799</v>
      </c>
    </row>
    <row r="3528" spans="1:6" x14ac:dyDescent="0.25">
      <c r="A3528" t="s">
        <v>1522</v>
      </c>
      <c r="B3528" t="s">
        <v>4793</v>
      </c>
      <c r="C3528" t="s">
        <v>4794</v>
      </c>
      <c r="D3528" t="str">
        <f>HYPERLINK("http://service.sap.com/sap/support/notes/1658420","1658420")</f>
        <v>1658420</v>
      </c>
      <c r="E3528">
        <v>1</v>
      </c>
      <c r="F3528" t="s">
        <v>4800</v>
      </c>
    </row>
    <row r="3529" spans="1:6" x14ac:dyDescent="0.25">
      <c r="A3529" t="s">
        <v>1522</v>
      </c>
      <c r="B3529" t="s">
        <v>4793</v>
      </c>
      <c r="C3529" t="s">
        <v>4794</v>
      </c>
      <c r="D3529" t="str">
        <f>HYPERLINK("http://service.sap.com/sap/support/notes/1670145","1670145")</f>
        <v>1670145</v>
      </c>
      <c r="E3529">
        <v>1</v>
      </c>
      <c r="F3529" t="s">
        <v>4801</v>
      </c>
    </row>
    <row r="3530" spans="1:6" x14ac:dyDescent="0.25">
      <c r="A3530" t="s">
        <v>1522</v>
      </c>
      <c r="B3530" t="s">
        <v>1100</v>
      </c>
      <c r="C3530" t="s">
        <v>1101</v>
      </c>
      <c r="D3530" t="str">
        <f>HYPERLINK("http://service.sap.com/sap/support/notes/1147010","1147010")</f>
        <v>1147010</v>
      </c>
      <c r="E3530">
        <v>7</v>
      </c>
      <c r="F3530" t="s">
        <v>4802</v>
      </c>
    </row>
    <row r="3531" spans="1:6" x14ac:dyDescent="0.25">
      <c r="A3531" t="s">
        <v>1522</v>
      </c>
      <c r="B3531" t="s">
        <v>1100</v>
      </c>
      <c r="C3531" t="s">
        <v>1101</v>
      </c>
      <c r="D3531" t="str">
        <f>HYPERLINK("http://service.sap.com/sap/support/notes/1625613","1625613")</f>
        <v>1625613</v>
      </c>
      <c r="E3531">
        <v>2</v>
      </c>
      <c r="F3531" t="s">
        <v>4803</v>
      </c>
    </row>
    <row r="3532" spans="1:6" x14ac:dyDescent="0.25">
      <c r="A3532" t="s">
        <v>1522</v>
      </c>
      <c r="B3532" t="s">
        <v>1100</v>
      </c>
      <c r="C3532" t="s">
        <v>1101</v>
      </c>
      <c r="D3532" t="str">
        <f>HYPERLINK("http://service.sap.com/sap/support/notes/1626710","1626710")</f>
        <v>1626710</v>
      </c>
      <c r="E3532">
        <v>2</v>
      </c>
      <c r="F3532" t="s">
        <v>4804</v>
      </c>
    </row>
    <row r="3533" spans="1:6" x14ac:dyDescent="0.25">
      <c r="A3533" t="s">
        <v>1522</v>
      </c>
      <c r="B3533" t="s">
        <v>1100</v>
      </c>
      <c r="C3533" t="s">
        <v>1101</v>
      </c>
      <c r="D3533" t="str">
        <f>HYPERLINK("http://service.sap.com/sap/support/notes/1633277","1633277")</f>
        <v>1633277</v>
      </c>
      <c r="E3533">
        <v>1</v>
      </c>
      <c r="F3533" t="s">
        <v>4805</v>
      </c>
    </row>
    <row r="3534" spans="1:6" x14ac:dyDescent="0.25">
      <c r="A3534" t="s">
        <v>1522</v>
      </c>
      <c r="B3534" t="s">
        <v>1100</v>
      </c>
      <c r="C3534" t="s">
        <v>1101</v>
      </c>
      <c r="D3534" t="str">
        <f>HYPERLINK("http://service.sap.com/sap/support/notes/1636592","1636592")</f>
        <v>1636592</v>
      </c>
      <c r="E3534">
        <v>1</v>
      </c>
      <c r="F3534" t="s">
        <v>4806</v>
      </c>
    </row>
    <row r="3535" spans="1:6" x14ac:dyDescent="0.25">
      <c r="A3535" t="s">
        <v>1522</v>
      </c>
      <c r="B3535" t="s">
        <v>1100</v>
      </c>
      <c r="C3535" t="s">
        <v>1101</v>
      </c>
      <c r="D3535" t="str">
        <f>HYPERLINK("http://service.sap.com/sap/support/notes/1637100","1637100")</f>
        <v>1637100</v>
      </c>
      <c r="E3535">
        <v>1</v>
      </c>
      <c r="F3535" t="s">
        <v>4807</v>
      </c>
    </row>
    <row r="3536" spans="1:6" x14ac:dyDescent="0.25">
      <c r="A3536" t="s">
        <v>1522</v>
      </c>
      <c r="B3536" t="s">
        <v>1100</v>
      </c>
      <c r="C3536" t="s">
        <v>1101</v>
      </c>
      <c r="D3536" t="str">
        <f>HYPERLINK("http://service.sap.com/sap/support/notes/1657660","1657660")</f>
        <v>1657660</v>
      </c>
      <c r="E3536">
        <v>1</v>
      </c>
      <c r="F3536" t="s">
        <v>4808</v>
      </c>
    </row>
    <row r="3537" spans="1:6" x14ac:dyDescent="0.25">
      <c r="A3537" t="s">
        <v>1522</v>
      </c>
      <c r="B3537" t="s">
        <v>1100</v>
      </c>
      <c r="C3537" t="s">
        <v>1101</v>
      </c>
      <c r="D3537" t="str">
        <f>HYPERLINK("http://service.sap.com/sap/support/notes/1662921","1662921")</f>
        <v>1662921</v>
      </c>
      <c r="E3537">
        <v>1</v>
      </c>
      <c r="F3537" t="s">
        <v>4809</v>
      </c>
    </row>
    <row r="3538" spans="1:6" x14ac:dyDescent="0.25">
      <c r="A3538" t="s">
        <v>1522</v>
      </c>
      <c r="B3538" t="s">
        <v>1100</v>
      </c>
      <c r="C3538" t="s">
        <v>1101</v>
      </c>
      <c r="D3538" t="str">
        <f>HYPERLINK("http://service.sap.com/sap/support/notes/1664595","1664595")</f>
        <v>1664595</v>
      </c>
      <c r="E3538">
        <v>1</v>
      </c>
      <c r="F3538" t="s">
        <v>4810</v>
      </c>
    </row>
    <row r="3539" spans="1:6" x14ac:dyDescent="0.25">
      <c r="A3539" t="s">
        <v>1522</v>
      </c>
      <c r="B3539" t="s">
        <v>4811</v>
      </c>
      <c r="C3539" t="s">
        <v>4812</v>
      </c>
      <c r="D3539" t="str">
        <f>HYPERLINK("http://service.sap.com/sap/support/notes/1622876","1622876")</f>
        <v>1622876</v>
      </c>
      <c r="E3539">
        <v>1</v>
      </c>
      <c r="F3539" t="s">
        <v>4813</v>
      </c>
    </row>
    <row r="3540" spans="1:6" x14ac:dyDescent="0.25">
      <c r="A3540" t="s">
        <v>1522</v>
      </c>
      <c r="B3540" t="s">
        <v>4814</v>
      </c>
      <c r="C3540" t="s">
        <v>4815</v>
      </c>
      <c r="D3540" t="str">
        <f>HYPERLINK("http://service.sap.com/sap/support/notes/1643912","1643912")</f>
        <v>1643912</v>
      </c>
      <c r="E3540">
        <v>1</v>
      </c>
      <c r="F3540" t="s">
        <v>4816</v>
      </c>
    </row>
    <row r="3541" spans="1:6" x14ac:dyDescent="0.25">
      <c r="A3541" t="s">
        <v>1522</v>
      </c>
      <c r="B3541" t="s">
        <v>4814</v>
      </c>
      <c r="C3541" t="s">
        <v>4815</v>
      </c>
      <c r="D3541" t="str">
        <f>HYPERLINK("http://service.sap.com/sap/support/notes/1650722","1650722")</f>
        <v>1650722</v>
      </c>
      <c r="E3541">
        <v>2</v>
      </c>
      <c r="F3541" t="s">
        <v>4817</v>
      </c>
    </row>
    <row r="3542" spans="1:6" x14ac:dyDescent="0.25">
      <c r="A3542" t="s">
        <v>1522</v>
      </c>
      <c r="B3542" t="s">
        <v>4818</v>
      </c>
      <c r="C3542" t="s">
        <v>4819</v>
      </c>
    </row>
    <row r="3543" spans="1:6" x14ac:dyDescent="0.25">
      <c r="A3543" t="s">
        <v>1522</v>
      </c>
      <c r="B3543" t="s">
        <v>4820</v>
      </c>
      <c r="C3543" t="s">
        <v>4821</v>
      </c>
    </row>
    <row r="3544" spans="1:6" x14ac:dyDescent="0.25">
      <c r="A3544" t="s">
        <v>1522</v>
      </c>
      <c r="B3544" t="s">
        <v>4822</v>
      </c>
      <c r="C3544" t="s">
        <v>4823</v>
      </c>
    </row>
    <row r="3545" spans="1:6" x14ac:dyDescent="0.25">
      <c r="A3545" t="s">
        <v>1522</v>
      </c>
      <c r="B3545" t="s">
        <v>4824</v>
      </c>
      <c r="C3545" t="s">
        <v>4825</v>
      </c>
      <c r="D3545" t="str">
        <f>HYPERLINK("http://service.sap.com/sap/support/notes/1641624","1641624")</f>
        <v>1641624</v>
      </c>
      <c r="E3545">
        <v>2</v>
      </c>
      <c r="F3545" t="s">
        <v>4826</v>
      </c>
    </row>
    <row r="3546" spans="1:6" x14ac:dyDescent="0.25">
      <c r="A3546" t="s">
        <v>1522</v>
      </c>
      <c r="B3546" t="s">
        <v>4824</v>
      </c>
      <c r="C3546" t="s">
        <v>4825</v>
      </c>
      <c r="D3546" t="str">
        <f>HYPERLINK("http://service.sap.com/sap/support/notes/1654720","1654720")</f>
        <v>1654720</v>
      </c>
      <c r="E3546">
        <v>1</v>
      </c>
      <c r="F3546" t="s">
        <v>4827</v>
      </c>
    </row>
    <row r="3547" spans="1:6" x14ac:dyDescent="0.25">
      <c r="A3547" t="s">
        <v>1522</v>
      </c>
      <c r="B3547" t="s">
        <v>1105</v>
      </c>
      <c r="C3547" t="s">
        <v>1106</v>
      </c>
    </row>
    <row r="3548" spans="1:6" x14ac:dyDescent="0.25">
      <c r="A3548" t="s">
        <v>1522</v>
      </c>
      <c r="B3548" t="s">
        <v>4828</v>
      </c>
      <c r="C3548" t="s">
        <v>4829</v>
      </c>
    </row>
    <row r="3549" spans="1:6" x14ac:dyDescent="0.25">
      <c r="A3549" t="s">
        <v>1522</v>
      </c>
      <c r="B3549" t="s">
        <v>4830</v>
      </c>
      <c r="C3549" t="s">
        <v>4831</v>
      </c>
      <c r="D3549" t="str">
        <f>HYPERLINK("http://service.sap.com/sap/support/notes/1428001","1428001")</f>
        <v>1428001</v>
      </c>
      <c r="E3549">
        <v>4</v>
      </c>
      <c r="F3549" t="s">
        <v>4832</v>
      </c>
    </row>
    <row r="3550" spans="1:6" x14ac:dyDescent="0.25">
      <c r="A3550" t="s">
        <v>1522</v>
      </c>
      <c r="B3550" t="s">
        <v>4830</v>
      </c>
      <c r="C3550" t="s">
        <v>4831</v>
      </c>
      <c r="D3550" t="str">
        <f>HYPERLINK("http://service.sap.com/sap/support/notes/1556008","1556008")</f>
        <v>1556008</v>
      </c>
      <c r="E3550">
        <v>2</v>
      </c>
      <c r="F3550" t="s">
        <v>4833</v>
      </c>
    </row>
    <row r="3551" spans="1:6" x14ac:dyDescent="0.25">
      <c r="A3551" t="s">
        <v>1522</v>
      </c>
      <c r="B3551" t="s">
        <v>4830</v>
      </c>
      <c r="C3551" t="s">
        <v>4831</v>
      </c>
      <c r="D3551" t="str">
        <f>HYPERLINK("http://service.sap.com/sap/support/notes/1626277","1626277")</f>
        <v>1626277</v>
      </c>
      <c r="E3551">
        <v>2</v>
      </c>
      <c r="F3551" t="s">
        <v>4834</v>
      </c>
    </row>
    <row r="3552" spans="1:6" x14ac:dyDescent="0.25">
      <c r="A3552" t="s">
        <v>1522</v>
      </c>
      <c r="B3552" t="s">
        <v>4830</v>
      </c>
      <c r="C3552" t="s">
        <v>4831</v>
      </c>
      <c r="D3552" t="str">
        <f>HYPERLINK("http://service.sap.com/sap/support/notes/1669752","1669752")</f>
        <v>1669752</v>
      </c>
      <c r="E3552">
        <v>2</v>
      </c>
      <c r="F3552" t="s">
        <v>4835</v>
      </c>
    </row>
    <row r="3553" spans="1:6" x14ac:dyDescent="0.25">
      <c r="A3553" t="s">
        <v>1522</v>
      </c>
      <c r="B3553" t="s">
        <v>4836</v>
      </c>
      <c r="C3553" t="s">
        <v>4837</v>
      </c>
      <c r="D3553" t="str">
        <f>HYPERLINK("http://service.sap.com/sap/support/notes/1630444","1630444")</f>
        <v>1630444</v>
      </c>
      <c r="E3553">
        <v>2</v>
      </c>
      <c r="F3553" t="s">
        <v>4838</v>
      </c>
    </row>
    <row r="3554" spans="1:6" x14ac:dyDescent="0.25">
      <c r="A3554" t="s">
        <v>1522</v>
      </c>
      <c r="B3554" t="s">
        <v>4839</v>
      </c>
      <c r="C3554" t="s">
        <v>4840</v>
      </c>
      <c r="D3554" t="str">
        <f>HYPERLINK("http://service.sap.com/sap/support/notes/1650526","1650526")</f>
        <v>1650526</v>
      </c>
      <c r="E3554">
        <v>1</v>
      </c>
      <c r="F3554" t="s">
        <v>4841</v>
      </c>
    </row>
    <row r="3555" spans="1:6" x14ac:dyDescent="0.25">
      <c r="A3555" t="s">
        <v>1522</v>
      </c>
      <c r="B3555" t="s">
        <v>4842</v>
      </c>
      <c r="C3555" t="s">
        <v>4843</v>
      </c>
      <c r="D3555" t="str">
        <f>HYPERLINK("http://service.sap.com/sap/support/notes/1645780","1645780")</f>
        <v>1645780</v>
      </c>
      <c r="E3555">
        <v>1</v>
      </c>
      <c r="F3555" t="s">
        <v>4844</v>
      </c>
    </row>
    <row r="3556" spans="1:6" x14ac:dyDescent="0.25">
      <c r="A3556" t="s">
        <v>1522</v>
      </c>
      <c r="B3556" t="s">
        <v>4842</v>
      </c>
      <c r="C3556" t="s">
        <v>4843</v>
      </c>
      <c r="D3556" t="str">
        <f>HYPERLINK("http://service.sap.com/sap/support/notes/1652690","1652690")</f>
        <v>1652690</v>
      </c>
      <c r="E3556">
        <v>1</v>
      </c>
      <c r="F3556" t="s">
        <v>4845</v>
      </c>
    </row>
    <row r="3557" spans="1:6" x14ac:dyDescent="0.25">
      <c r="A3557" t="s">
        <v>1522</v>
      </c>
      <c r="B3557" t="s">
        <v>4846</v>
      </c>
      <c r="C3557" t="s">
        <v>4840</v>
      </c>
      <c r="D3557" t="str">
        <f>HYPERLINK("http://service.sap.com/sap/support/notes/1576096","1576096")</f>
        <v>1576096</v>
      </c>
      <c r="E3557">
        <v>3</v>
      </c>
      <c r="F3557" t="s">
        <v>4847</v>
      </c>
    </row>
    <row r="3558" spans="1:6" x14ac:dyDescent="0.25">
      <c r="A3558" t="s">
        <v>1522</v>
      </c>
      <c r="B3558" t="s">
        <v>4848</v>
      </c>
      <c r="C3558" t="s">
        <v>4849</v>
      </c>
      <c r="D3558" t="str">
        <f>HYPERLINK("http://service.sap.com/sap/support/notes/1623347","1623347")</f>
        <v>1623347</v>
      </c>
      <c r="E3558">
        <v>2</v>
      </c>
      <c r="F3558" t="s">
        <v>4850</v>
      </c>
    </row>
    <row r="3559" spans="1:6" x14ac:dyDescent="0.25">
      <c r="A3559" t="s">
        <v>1522</v>
      </c>
      <c r="B3559" t="s">
        <v>4851</v>
      </c>
      <c r="C3559" t="s">
        <v>4852</v>
      </c>
    </row>
    <row r="3560" spans="1:6" x14ac:dyDescent="0.25">
      <c r="A3560" t="s">
        <v>1522</v>
      </c>
      <c r="B3560" t="s">
        <v>4853</v>
      </c>
      <c r="C3560" t="s">
        <v>4651</v>
      </c>
      <c r="D3560" t="str">
        <f>HYPERLINK("http://service.sap.com/sap/support/notes/1655201","1655201")</f>
        <v>1655201</v>
      </c>
      <c r="E3560">
        <v>1</v>
      </c>
      <c r="F3560" t="s">
        <v>4854</v>
      </c>
    </row>
    <row r="3561" spans="1:6" x14ac:dyDescent="0.25">
      <c r="A3561" t="s">
        <v>1522</v>
      </c>
      <c r="B3561" t="s">
        <v>4855</v>
      </c>
      <c r="C3561" t="s">
        <v>4856</v>
      </c>
      <c r="D3561" t="str">
        <f>HYPERLINK("http://service.sap.com/sap/support/notes/1639528","1639528")</f>
        <v>1639528</v>
      </c>
      <c r="E3561">
        <v>2</v>
      </c>
      <c r="F3561" t="s">
        <v>4857</v>
      </c>
    </row>
    <row r="3562" spans="1:6" x14ac:dyDescent="0.25">
      <c r="A3562" t="s">
        <v>1522</v>
      </c>
      <c r="B3562" t="s">
        <v>4858</v>
      </c>
      <c r="C3562" t="s">
        <v>4859</v>
      </c>
    </row>
    <row r="3563" spans="1:6" x14ac:dyDescent="0.25">
      <c r="A3563" t="s">
        <v>1522</v>
      </c>
      <c r="B3563" t="s">
        <v>4860</v>
      </c>
      <c r="C3563" t="s">
        <v>4861</v>
      </c>
      <c r="D3563" t="str">
        <f>HYPERLINK("http://service.sap.com/sap/support/notes/1644844","1644844")</f>
        <v>1644844</v>
      </c>
      <c r="E3563">
        <v>1</v>
      </c>
      <c r="F3563" t="s">
        <v>4862</v>
      </c>
    </row>
    <row r="3564" spans="1:6" x14ac:dyDescent="0.25">
      <c r="A3564" t="s">
        <v>1522</v>
      </c>
      <c r="B3564" t="s">
        <v>1107</v>
      </c>
      <c r="C3564" t="s">
        <v>350</v>
      </c>
      <c r="D3564" t="str">
        <f>HYPERLINK("http://service.sap.com/sap/support/notes/1656964","1656964")</f>
        <v>1656964</v>
      </c>
      <c r="E3564">
        <v>1</v>
      </c>
      <c r="F3564" t="s">
        <v>4863</v>
      </c>
    </row>
    <row r="3565" spans="1:6" x14ac:dyDescent="0.25">
      <c r="A3565" t="s">
        <v>1522</v>
      </c>
      <c r="B3565" t="s">
        <v>1107</v>
      </c>
      <c r="C3565" t="s">
        <v>350</v>
      </c>
      <c r="D3565" t="str">
        <f>HYPERLINK("http://service.sap.com/sap/support/notes/1665416","1665416")</f>
        <v>1665416</v>
      </c>
      <c r="E3565">
        <v>2</v>
      </c>
      <c r="F3565" t="s">
        <v>4864</v>
      </c>
    </row>
    <row r="3566" spans="1:6" x14ac:dyDescent="0.25">
      <c r="A3566" t="s">
        <v>1522</v>
      </c>
      <c r="B3566" t="s">
        <v>4865</v>
      </c>
      <c r="C3566" t="s">
        <v>2128</v>
      </c>
      <c r="D3566" t="str">
        <f>HYPERLINK("http://service.sap.com/sap/support/notes/1607963","1607963")</f>
        <v>1607963</v>
      </c>
      <c r="E3566">
        <v>2</v>
      </c>
      <c r="F3566" t="s">
        <v>4866</v>
      </c>
    </row>
    <row r="3567" spans="1:6" x14ac:dyDescent="0.25">
      <c r="A3567" t="s">
        <v>1522</v>
      </c>
      <c r="B3567" t="s">
        <v>4865</v>
      </c>
      <c r="C3567" t="s">
        <v>2128</v>
      </c>
      <c r="D3567" t="str">
        <f>HYPERLINK("http://service.sap.com/sap/support/notes/1631421","1631421")</f>
        <v>1631421</v>
      </c>
      <c r="E3567">
        <v>1</v>
      </c>
      <c r="F3567" t="s">
        <v>4867</v>
      </c>
    </row>
    <row r="3568" spans="1:6" x14ac:dyDescent="0.25">
      <c r="A3568" t="s">
        <v>1522</v>
      </c>
      <c r="B3568" t="s">
        <v>4865</v>
      </c>
      <c r="C3568" t="s">
        <v>2128</v>
      </c>
      <c r="D3568" t="str">
        <f>HYPERLINK("http://service.sap.com/sap/support/notes/1634707","1634707")</f>
        <v>1634707</v>
      </c>
      <c r="E3568">
        <v>2</v>
      </c>
      <c r="F3568" t="s">
        <v>4868</v>
      </c>
    </row>
    <row r="3569" spans="1:6" x14ac:dyDescent="0.25">
      <c r="A3569" t="s">
        <v>1522</v>
      </c>
      <c r="B3569" t="s">
        <v>4865</v>
      </c>
      <c r="C3569" t="s">
        <v>2128</v>
      </c>
      <c r="D3569" t="str">
        <f>HYPERLINK("http://service.sap.com/sap/support/notes/1663749","1663749")</f>
        <v>1663749</v>
      </c>
      <c r="E3569">
        <v>3</v>
      </c>
      <c r="F3569" t="s">
        <v>4869</v>
      </c>
    </row>
    <row r="3570" spans="1:6" x14ac:dyDescent="0.25">
      <c r="A3570" t="s">
        <v>1522</v>
      </c>
      <c r="B3570" t="s">
        <v>4865</v>
      </c>
      <c r="C3570" t="s">
        <v>2128</v>
      </c>
      <c r="D3570" t="str">
        <f>HYPERLINK("http://service.sap.com/sap/support/notes/1667028","1667028")</f>
        <v>1667028</v>
      </c>
      <c r="E3570">
        <v>3</v>
      </c>
      <c r="F3570" t="s">
        <v>4870</v>
      </c>
    </row>
    <row r="3571" spans="1:6" x14ac:dyDescent="0.25">
      <c r="A3571" t="s">
        <v>1522</v>
      </c>
      <c r="B3571" t="s">
        <v>4865</v>
      </c>
      <c r="C3571" t="s">
        <v>2128</v>
      </c>
      <c r="D3571" t="str">
        <f>HYPERLINK("http://service.sap.com/sap/support/notes/1668650","1668650")</f>
        <v>1668650</v>
      </c>
      <c r="E3571">
        <v>2</v>
      </c>
      <c r="F3571" t="s">
        <v>4871</v>
      </c>
    </row>
    <row r="3572" spans="1:6" x14ac:dyDescent="0.25">
      <c r="A3572" t="s">
        <v>1522</v>
      </c>
      <c r="B3572" t="s">
        <v>1109</v>
      </c>
      <c r="C3572" t="s">
        <v>1110</v>
      </c>
      <c r="D3572" t="str">
        <f>HYPERLINK("http://service.sap.com/sap/support/notes/1634257","1634257")</f>
        <v>1634257</v>
      </c>
      <c r="E3572">
        <v>2</v>
      </c>
      <c r="F3572" t="s">
        <v>4872</v>
      </c>
    </row>
    <row r="3573" spans="1:6" x14ac:dyDescent="0.25">
      <c r="A3573" t="s">
        <v>1522</v>
      </c>
      <c r="B3573" t="s">
        <v>1109</v>
      </c>
      <c r="C3573" t="s">
        <v>1110</v>
      </c>
      <c r="D3573" t="str">
        <f>HYPERLINK("http://service.sap.com/sap/support/notes/1643961","1643961")</f>
        <v>1643961</v>
      </c>
      <c r="E3573">
        <v>5</v>
      </c>
      <c r="F3573" t="s">
        <v>4873</v>
      </c>
    </row>
    <row r="3574" spans="1:6" x14ac:dyDescent="0.25">
      <c r="A3574" t="s">
        <v>1522</v>
      </c>
      <c r="B3574" t="s">
        <v>1109</v>
      </c>
      <c r="C3574" t="s">
        <v>1110</v>
      </c>
      <c r="D3574" t="str">
        <f>HYPERLINK("http://service.sap.com/sap/support/notes/1645524","1645524")</f>
        <v>1645524</v>
      </c>
      <c r="E3574">
        <v>2</v>
      </c>
      <c r="F3574" t="s">
        <v>4874</v>
      </c>
    </row>
    <row r="3575" spans="1:6" x14ac:dyDescent="0.25">
      <c r="A3575" t="s">
        <v>1522</v>
      </c>
      <c r="B3575" t="s">
        <v>1109</v>
      </c>
      <c r="C3575" t="s">
        <v>1110</v>
      </c>
      <c r="D3575" t="str">
        <f>HYPERLINK("http://service.sap.com/sap/support/notes/1654544","1654544")</f>
        <v>1654544</v>
      </c>
      <c r="E3575">
        <v>1</v>
      </c>
      <c r="F3575" t="s">
        <v>4875</v>
      </c>
    </row>
    <row r="3576" spans="1:6" x14ac:dyDescent="0.25">
      <c r="A3576" t="s">
        <v>1522</v>
      </c>
      <c r="B3576" t="s">
        <v>4876</v>
      </c>
      <c r="C3576" t="s">
        <v>1373</v>
      </c>
      <c r="D3576" t="str">
        <f>HYPERLINK("http://service.sap.com/sap/support/notes/1628595","1628595")</f>
        <v>1628595</v>
      </c>
      <c r="E3576">
        <v>2</v>
      </c>
      <c r="F3576" t="s">
        <v>4877</v>
      </c>
    </row>
    <row r="3577" spans="1:6" x14ac:dyDescent="0.25">
      <c r="A3577" t="s">
        <v>1522</v>
      </c>
      <c r="B3577" t="s">
        <v>4876</v>
      </c>
      <c r="C3577" t="s">
        <v>1373</v>
      </c>
      <c r="D3577" t="str">
        <f>HYPERLINK("http://service.sap.com/sap/support/notes/1628596","1628596")</f>
        <v>1628596</v>
      </c>
      <c r="E3577">
        <v>9</v>
      </c>
      <c r="F3577" t="s">
        <v>4878</v>
      </c>
    </row>
    <row r="3578" spans="1:6" x14ac:dyDescent="0.25">
      <c r="A3578" t="s">
        <v>1522</v>
      </c>
      <c r="B3578" t="s">
        <v>4876</v>
      </c>
      <c r="C3578" t="s">
        <v>1373</v>
      </c>
      <c r="D3578" t="str">
        <f>HYPERLINK("http://service.sap.com/sap/support/notes/1639511","1639511")</f>
        <v>1639511</v>
      </c>
      <c r="E3578">
        <v>2</v>
      </c>
      <c r="F3578" t="s">
        <v>4879</v>
      </c>
    </row>
    <row r="3579" spans="1:6" x14ac:dyDescent="0.25">
      <c r="A3579" t="s">
        <v>1522</v>
      </c>
      <c r="B3579" t="s">
        <v>4876</v>
      </c>
      <c r="C3579" t="s">
        <v>1373</v>
      </c>
      <c r="D3579" t="str">
        <f>HYPERLINK("http://service.sap.com/sap/support/notes/1668406","1668406")</f>
        <v>1668406</v>
      </c>
      <c r="E3579">
        <v>2</v>
      </c>
      <c r="F3579" t="s">
        <v>4880</v>
      </c>
    </row>
    <row r="3580" spans="1:6" x14ac:dyDescent="0.25">
      <c r="A3580" t="s">
        <v>1522</v>
      </c>
      <c r="B3580" t="s">
        <v>4881</v>
      </c>
      <c r="C3580" t="s">
        <v>4882</v>
      </c>
      <c r="D3580" t="str">
        <f>HYPERLINK("http://service.sap.com/sap/support/notes/1648772","1648772")</f>
        <v>1648772</v>
      </c>
      <c r="E3580">
        <v>1</v>
      </c>
      <c r="F3580" t="s">
        <v>4883</v>
      </c>
    </row>
    <row r="3581" spans="1:6" x14ac:dyDescent="0.25">
      <c r="A3581" t="s">
        <v>1522</v>
      </c>
      <c r="B3581" t="s">
        <v>4884</v>
      </c>
      <c r="C3581" t="s">
        <v>4885</v>
      </c>
      <c r="D3581" t="str">
        <f>HYPERLINK("http://service.sap.com/sap/support/notes/1636034","1636034")</f>
        <v>1636034</v>
      </c>
      <c r="E3581">
        <v>1</v>
      </c>
      <c r="F3581" t="s">
        <v>4886</v>
      </c>
    </row>
    <row r="3582" spans="1:6" x14ac:dyDescent="0.25">
      <c r="A3582" t="s">
        <v>1522</v>
      </c>
      <c r="B3582" t="s">
        <v>4884</v>
      </c>
      <c r="C3582" t="s">
        <v>4885</v>
      </c>
      <c r="D3582" t="str">
        <f>HYPERLINK("http://service.sap.com/sap/support/notes/1636220","1636220")</f>
        <v>1636220</v>
      </c>
      <c r="E3582">
        <v>1</v>
      </c>
      <c r="F3582" t="s">
        <v>4887</v>
      </c>
    </row>
    <row r="3583" spans="1:6" x14ac:dyDescent="0.25">
      <c r="A3583" t="s">
        <v>1522</v>
      </c>
      <c r="B3583" t="s">
        <v>4884</v>
      </c>
      <c r="C3583" t="s">
        <v>4885</v>
      </c>
      <c r="D3583" t="str">
        <f>HYPERLINK("http://service.sap.com/sap/support/notes/1649378","1649378")</f>
        <v>1649378</v>
      </c>
      <c r="E3583">
        <v>1</v>
      </c>
      <c r="F3583" t="s">
        <v>4888</v>
      </c>
    </row>
    <row r="3584" spans="1:6" x14ac:dyDescent="0.25">
      <c r="A3584" t="s">
        <v>1522</v>
      </c>
      <c r="B3584" t="s">
        <v>4889</v>
      </c>
      <c r="C3584" t="s">
        <v>4890</v>
      </c>
      <c r="D3584" t="str">
        <f>HYPERLINK("http://service.sap.com/sap/support/notes/1612504","1612504")</f>
        <v>1612504</v>
      </c>
      <c r="E3584">
        <v>2</v>
      </c>
      <c r="F3584" t="s">
        <v>4891</v>
      </c>
    </row>
    <row r="3585" spans="1:6" x14ac:dyDescent="0.25">
      <c r="A3585" t="s">
        <v>1522</v>
      </c>
      <c r="B3585" t="s">
        <v>4889</v>
      </c>
      <c r="C3585" t="s">
        <v>4890</v>
      </c>
      <c r="D3585" t="str">
        <f>HYPERLINK("http://service.sap.com/sap/support/notes/1625027","1625027")</f>
        <v>1625027</v>
      </c>
      <c r="E3585">
        <v>1</v>
      </c>
      <c r="F3585" t="s">
        <v>4892</v>
      </c>
    </row>
    <row r="3586" spans="1:6" x14ac:dyDescent="0.25">
      <c r="A3586" t="s">
        <v>1522</v>
      </c>
      <c r="B3586" t="s">
        <v>4889</v>
      </c>
      <c r="C3586" t="s">
        <v>4890</v>
      </c>
      <c r="D3586" t="str">
        <f>HYPERLINK("http://service.sap.com/sap/support/notes/1653683","1653683")</f>
        <v>1653683</v>
      </c>
      <c r="E3586">
        <v>1</v>
      </c>
      <c r="F3586" t="s">
        <v>4893</v>
      </c>
    </row>
    <row r="3587" spans="1:6" x14ac:dyDescent="0.25">
      <c r="A3587" t="s">
        <v>1522</v>
      </c>
      <c r="B3587" t="s">
        <v>4889</v>
      </c>
      <c r="C3587" t="s">
        <v>4890</v>
      </c>
      <c r="D3587" t="str">
        <f>HYPERLINK("http://service.sap.com/sap/support/notes/1658878","1658878")</f>
        <v>1658878</v>
      </c>
      <c r="E3587">
        <v>2</v>
      </c>
      <c r="F3587" t="s">
        <v>4894</v>
      </c>
    </row>
    <row r="3588" spans="1:6" x14ac:dyDescent="0.25">
      <c r="A3588" t="s">
        <v>1522</v>
      </c>
      <c r="B3588" t="s">
        <v>4889</v>
      </c>
      <c r="C3588" t="s">
        <v>4890</v>
      </c>
      <c r="D3588" t="str">
        <f>HYPERLINK("http://service.sap.com/sap/support/notes/1661851","1661851")</f>
        <v>1661851</v>
      </c>
      <c r="E3588">
        <v>1</v>
      </c>
      <c r="F3588" t="s">
        <v>4895</v>
      </c>
    </row>
    <row r="3589" spans="1:6" x14ac:dyDescent="0.25">
      <c r="A3589" t="s">
        <v>1522</v>
      </c>
      <c r="B3589" t="s">
        <v>4889</v>
      </c>
      <c r="C3589" t="s">
        <v>4890</v>
      </c>
      <c r="D3589" t="str">
        <f>HYPERLINK("http://service.sap.com/sap/support/notes/1671180","1671180")</f>
        <v>1671180</v>
      </c>
      <c r="E3589">
        <v>1</v>
      </c>
      <c r="F3589" t="s">
        <v>4896</v>
      </c>
    </row>
    <row r="3590" spans="1:6" x14ac:dyDescent="0.25">
      <c r="A3590" t="s">
        <v>1522</v>
      </c>
      <c r="B3590" t="s">
        <v>1113</v>
      </c>
      <c r="C3590" t="s">
        <v>1114</v>
      </c>
      <c r="D3590" t="str">
        <f>HYPERLINK("http://service.sap.com/sap/support/notes/1379168","1379168")</f>
        <v>1379168</v>
      </c>
      <c r="E3590">
        <v>2</v>
      </c>
      <c r="F3590" t="s">
        <v>4897</v>
      </c>
    </row>
    <row r="3591" spans="1:6" x14ac:dyDescent="0.25">
      <c r="A3591" t="s">
        <v>1522</v>
      </c>
      <c r="B3591" t="s">
        <v>1113</v>
      </c>
      <c r="C3591" t="s">
        <v>1114</v>
      </c>
      <c r="D3591" t="str">
        <f>HYPERLINK("http://service.sap.com/sap/support/notes/1640928","1640928")</f>
        <v>1640928</v>
      </c>
      <c r="E3591">
        <v>1</v>
      </c>
      <c r="F3591" t="s">
        <v>4898</v>
      </c>
    </row>
    <row r="3592" spans="1:6" x14ac:dyDescent="0.25">
      <c r="A3592" t="s">
        <v>1522</v>
      </c>
      <c r="B3592" t="s">
        <v>1113</v>
      </c>
      <c r="C3592" t="s">
        <v>1114</v>
      </c>
      <c r="D3592" t="str">
        <f>HYPERLINK("http://service.sap.com/sap/support/notes/1662564","1662564")</f>
        <v>1662564</v>
      </c>
      <c r="E3592">
        <v>2</v>
      </c>
      <c r="F3592" t="s">
        <v>4899</v>
      </c>
    </row>
    <row r="3593" spans="1:6" x14ac:dyDescent="0.25">
      <c r="A3593" t="s">
        <v>1522</v>
      </c>
      <c r="B3593" t="s">
        <v>4900</v>
      </c>
      <c r="C3593" t="s">
        <v>4901</v>
      </c>
      <c r="D3593" t="str">
        <f>HYPERLINK("http://service.sap.com/sap/support/notes/1546119","1546119")</f>
        <v>1546119</v>
      </c>
      <c r="E3593">
        <v>2</v>
      </c>
      <c r="F3593" t="s">
        <v>4902</v>
      </c>
    </row>
    <row r="3594" spans="1:6" x14ac:dyDescent="0.25">
      <c r="A3594" t="s">
        <v>1522</v>
      </c>
      <c r="B3594" t="s">
        <v>4900</v>
      </c>
      <c r="C3594" t="s">
        <v>4901</v>
      </c>
      <c r="D3594" t="str">
        <f>HYPERLINK("http://service.sap.com/sap/support/notes/1656060","1656060")</f>
        <v>1656060</v>
      </c>
      <c r="E3594">
        <v>1</v>
      </c>
      <c r="F3594" t="s">
        <v>4903</v>
      </c>
    </row>
    <row r="3595" spans="1:6" x14ac:dyDescent="0.25">
      <c r="A3595" t="s">
        <v>1522</v>
      </c>
      <c r="B3595" t="s">
        <v>4900</v>
      </c>
      <c r="C3595" t="s">
        <v>4901</v>
      </c>
      <c r="D3595" t="str">
        <f>HYPERLINK("http://service.sap.com/sap/support/notes/1670546","1670546")</f>
        <v>1670546</v>
      </c>
      <c r="E3595">
        <v>1</v>
      </c>
      <c r="F3595" t="s">
        <v>4904</v>
      </c>
    </row>
    <row r="3596" spans="1:6" x14ac:dyDescent="0.25">
      <c r="A3596" t="s">
        <v>1522</v>
      </c>
      <c r="B3596" t="s">
        <v>4905</v>
      </c>
      <c r="C3596" t="s">
        <v>4906</v>
      </c>
    </row>
    <row r="3597" spans="1:6" x14ac:dyDescent="0.25">
      <c r="A3597" t="s">
        <v>1522</v>
      </c>
      <c r="B3597" t="s">
        <v>4907</v>
      </c>
      <c r="C3597" t="s">
        <v>4908</v>
      </c>
      <c r="D3597" t="str">
        <f>HYPERLINK("http://service.sap.com/sap/support/notes/1647537","1647537")</f>
        <v>1647537</v>
      </c>
      <c r="E3597">
        <v>1</v>
      </c>
      <c r="F3597" t="s">
        <v>4909</v>
      </c>
    </row>
    <row r="3598" spans="1:6" x14ac:dyDescent="0.25">
      <c r="A3598" t="s">
        <v>1522</v>
      </c>
      <c r="B3598" t="s">
        <v>4907</v>
      </c>
      <c r="C3598" t="s">
        <v>4908</v>
      </c>
      <c r="D3598" t="str">
        <f>HYPERLINK("http://service.sap.com/sap/support/notes/1651351","1651351")</f>
        <v>1651351</v>
      </c>
      <c r="E3598">
        <v>1</v>
      </c>
      <c r="F3598" t="s">
        <v>4910</v>
      </c>
    </row>
    <row r="3599" spans="1:6" x14ac:dyDescent="0.25">
      <c r="A3599" t="s">
        <v>1522</v>
      </c>
      <c r="B3599" t="s">
        <v>4907</v>
      </c>
      <c r="C3599" t="s">
        <v>4908</v>
      </c>
      <c r="D3599" t="str">
        <f>HYPERLINK("http://service.sap.com/sap/support/notes/1651700","1651700")</f>
        <v>1651700</v>
      </c>
      <c r="E3599">
        <v>1</v>
      </c>
      <c r="F3599" t="s">
        <v>4911</v>
      </c>
    </row>
    <row r="3600" spans="1:6" x14ac:dyDescent="0.25">
      <c r="A3600" t="s">
        <v>1522</v>
      </c>
      <c r="B3600" t="s">
        <v>1116</v>
      </c>
      <c r="C3600" t="s">
        <v>1117</v>
      </c>
      <c r="D3600" t="str">
        <f>HYPERLINK("http://service.sap.com/sap/support/notes/1623755","1623755")</f>
        <v>1623755</v>
      </c>
      <c r="E3600">
        <v>5</v>
      </c>
      <c r="F3600" t="s">
        <v>4912</v>
      </c>
    </row>
    <row r="3601" spans="1:6" x14ac:dyDescent="0.25">
      <c r="A3601" t="s">
        <v>1522</v>
      </c>
      <c r="B3601" t="s">
        <v>1116</v>
      </c>
      <c r="C3601" t="s">
        <v>1117</v>
      </c>
      <c r="D3601" t="str">
        <f>HYPERLINK("http://service.sap.com/sap/support/notes/1626255","1626255")</f>
        <v>1626255</v>
      </c>
      <c r="E3601">
        <v>4</v>
      </c>
      <c r="F3601" t="s">
        <v>4913</v>
      </c>
    </row>
    <row r="3602" spans="1:6" x14ac:dyDescent="0.25">
      <c r="A3602" t="s">
        <v>1522</v>
      </c>
      <c r="B3602" t="s">
        <v>1116</v>
      </c>
      <c r="C3602" t="s">
        <v>1117</v>
      </c>
      <c r="D3602" t="str">
        <f>HYPERLINK("http://service.sap.com/sap/support/notes/1649471","1649471")</f>
        <v>1649471</v>
      </c>
      <c r="E3602">
        <v>4</v>
      </c>
      <c r="F3602" t="s">
        <v>4914</v>
      </c>
    </row>
    <row r="3603" spans="1:6" x14ac:dyDescent="0.25">
      <c r="A3603" t="s">
        <v>1522</v>
      </c>
      <c r="B3603" t="s">
        <v>1118</v>
      </c>
      <c r="C3603" t="s">
        <v>1119</v>
      </c>
      <c r="D3603" t="str">
        <f>HYPERLINK("http://service.sap.com/sap/support/notes/1600898","1600898")</f>
        <v>1600898</v>
      </c>
      <c r="E3603">
        <v>1</v>
      </c>
      <c r="F3603" t="s">
        <v>4915</v>
      </c>
    </row>
    <row r="3604" spans="1:6" x14ac:dyDescent="0.25">
      <c r="A3604" t="s">
        <v>1522</v>
      </c>
      <c r="B3604" t="s">
        <v>1118</v>
      </c>
      <c r="C3604" t="s">
        <v>1119</v>
      </c>
      <c r="D3604" t="str">
        <f>HYPERLINK("http://service.sap.com/sap/support/notes/1616455","1616455")</f>
        <v>1616455</v>
      </c>
      <c r="E3604">
        <v>2</v>
      </c>
      <c r="F3604" t="s">
        <v>4916</v>
      </c>
    </row>
    <row r="3605" spans="1:6" x14ac:dyDescent="0.25">
      <c r="A3605" t="s">
        <v>1522</v>
      </c>
      <c r="B3605" t="s">
        <v>1118</v>
      </c>
      <c r="C3605" t="s">
        <v>1119</v>
      </c>
      <c r="D3605" t="str">
        <f>HYPERLINK("http://service.sap.com/sap/support/notes/1617834","1617834")</f>
        <v>1617834</v>
      </c>
      <c r="E3605">
        <v>2</v>
      </c>
      <c r="F3605" t="s">
        <v>4917</v>
      </c>
    </row>
    <row r="3606" spans="1:6" x14ac:dyDescent="0.25">
      <c r="A3606" t="s">
        <v>1522</v>
      </c>
      <c r="B3606" t="s">
        <v>1118</v>
      </c>
      <c r="C3606" t="s">
        <v>1119</v>
      </c>
      <c r="D3606" t="str">
        <f>HYPERLINK("http://service.sap.com/sap/support/notes/1622750","1622750")</f>
        <v>1622750</v>
      </c>
      <c r="E3606">
        <v>2</v>
      </c>
      <c r="F3606" t="s">
        <v>4918</v>
      </c>
    </row>
    <row r="3607" spans="1:6" x14ac:dyDescent="0.25">
      <c r="A3607" t="s">
        <v>1522</v>
      </c>
      <c r="B3607" t="s">
        <v>1118</v>
      </c>
      <c r="C3607" t="s">
        <v>1119</v>
      </c>
      <c r="D3607" t="str">
        <f>HYPERLINK("http://service.sap.com/sap/support/notes/1635611","1635611")</f>
        <v>1635611</v>
      </c>
      <c r="E3607">
        <v>5</v>
      </c>
      <c r="F3607" t="s">
        <v>4919</v>
      </c>
    </row>
    <row r="3608" spans="1:6" x14ac:dyDescent="0.25">
      <c r="A3608" t="s">
        <v>1522</v>
      </c>
      <c r="B3608" t="s">
        <v>4920</v>
      </c>
      <c r="C3608" t="s">
        <v>4921</v>
      </c>
      <c r="D3608" t="str">
        <f>HYPERLINK("http://service.sap.com/sap/support/notes/1645485","1645485")</f>
        <v>1645485</v>
      </c>
      <c r="E3608">
        <v>1</v>
      </c>
      <c r="F3608" t="s">
        <v>4922</v>
      </c>
    </row>
    <row r="3609" spans="1:6" x14ac:dyDescent="0.25">
      <c r="A3609" t="s">
        <v>1522</v>
      </c>
      <c r="B3609" t="s">
        <v>4920</v>
      </c>
      <c r="C3609" t="s">
        <v>4921</v>
      </c>
      <c r="D3609" t="str">
        <f>HYPERLINK("http://service.sap.com/sap/support/notes/1649412","1649412")</f>
        <v>1649412</v>
      </c>
      <c r="E3609">
        <v>5</v>
      </c>
      <c r="F3609" t="s">
        <v>4923</v>
      </c>
    </row>
    <row r="3610" spans="1:6" x14ac:dyDescent="0.25">
      <c r="A3610" t="s">
        <v>1522</v>
      </c>
      <c r="B3610" t="s">
        <v>4924</v>
      </c>
      <c r="C3610" t="s">
        <v>4925</v>
      </c>
      <c r="D3610" t="str">
        <f>HYPERLINK("http://service.sap.com/sap/support/notes/1628188","1628188")</f>
        <v>1628188</v>
      </c>
      <c r="E3610">
        <v>3</v>
      </c>
      <c r="F3610" t="s">
        <v>4926</v>
      </c>
    </row>
    <row r="3611" spans="1:6" x14ac:dyDescent="0.25">
      <c r="A3611" t="s">
        <v>1522</v>
      </c>
      <c r="B3611" t="s">
        <v>4927</v>
      </c>
      <c r="C3611" t="s">
        <v>4928</v>
      </c>
      <c r="D3611" t="str">
        <f>HYPERLINK("http://service.sap.com/sap/support/notes/1643392","1643392")</f>
        <v>1643392</v>
      </c>
      <c r="E3611">
        <v>1</v>
      </c>
      <c r="F3611" t="s">
        <v>4929</v>
      </c>
    </row>
    <row r="3612" spans="1:6" x14ac:dyDescent="0.25">
      <c r="A3612" t="s">
        <v>1522</v>
      </c>
      <c r="B3612" t="s">
        <v>4927</v>
      </c>
      <c r="C3612" t="s">
        <v>4928</v>
      </c>
      <c r="D3612" t="str">
        <f>HYPERLINK("http://service.sap.com/sap/support/notes/1651526","1651526")</f>
        <v>1651526</v>
      </c>
      <c r="E3612">
        <v>3</v>
      </c>
      <c r="F3612" t="s">
        <v>4930</v>
      </c>
    </row>
    <row r="3613" spans="1:6" x14ac:dyDescent="0.25">
      <c r="A3613" t="s">
        <v>1522</v>
      </c>
      <c r="B3613" t="s">
        <v>4927</v>
      </c>
      <c r="C3613" t="s">
        <v>4928</v>
      </c>
      <c r="D3613" t="str">
        <f>HYPERLINK("http://service.sap.com/sap/support/notes/1655846","1655846")</f>
        <v>1655846</v>
      </c>
      <c r="E3613">
        <v>2</v>
      </c>
      <c r="F3613" t="s">
        <v>4931</v>
      </c>
    </row>
    <row r="3614" spans="1:6" x14ac:dyDescent="0.25">
      <c r="A3614" t="s">
        <v>1522</v>
      </c>
      <c r="B3614" t="s">
        <v>4927</v>
      </c>
      <c r="C3614" t="s">
        <v>4928</v>
      </c>
      <c r="D3614" t="str">
        <f>HYPERLINK("http://service.sap.com/sap/support/notes/1659730","1659730")</f>
        <v>1659730</v>
      </c>
      <c r="E3614">
        <v>4</v>
      </c>
      <c r="F3614" t="s">
        <v>4932</v>
      </c>
    </row>
    <row r="3615" spans="1:6" x14ac:dyDescent="0.25">
      <c r="A3615" t="s">
        <v>1522</v>
      </c>
      <c r="B3615" t="s">
        <v>1121</v>
      </c>
      <c r="C3615" t="s">
        <v>1122</v>
      </c>
      <c r="D3615" t="str">
        <f>HYPERLINK("http://service.sap.com/sap/support/notes/1352006","1352006")</f>
        <v>1352006</v>
      </c>
      <c r="E3615">
        <v>2</v>
      </c>
      <c r="F3615" t="s">
        <v>4933</v>
      </c>
    </row>
    <row r="3616" spans="1:6" x14ac:dyDescent="0.25">
      <c r="A3616" t="s">
        <v>1522</v>
      </c>
      <c r="B3616" t="s">
        <v>1121</v>
      </c>
      <c r="C3616" t="s">
        <v>1122</v>
      </c>
      <c r="D3616" t="str">
        <f>HYPERLINK("http://service.sap.com/sap/support/notes/1412672","1412672")</f>
        <v>1412672</v>
      </c>
      <c r="E3616">
        <v>1</v>
      </c>
      <c r="F3616" t="s">
        <v>4934</v>
      </c>
    </row>
    <row r="3617" spans="1:6" x14ac:dyDescent="0.25">
      <c r="A3617" t="s">
        <v>1522</v>
      </c>
      <c r="B3617" t="s">
        <v>1121</v>
      </c>
      <c r="C3617" t="s">
        <v>1122</v>
      </c>
      <c r="D3617" t="str">
        <f>HYPERLINK("http://service.sap.com/sap/support/notes/1539228","1539228")</f>
        <v>1539228</v>
      </c>
      <c r="E3617">
        <v>2</v>
      </c>
      <c r="F3617" t="s">
        <v>4935</v>
      </c>
    </row>
    <row r="3618" spans="1:6" x14ac:dyDescent="0.25">
      <c r="A3618" t="s">
        <v>1522</v>
      </c>
      <c r="B3618" t="s">
        <v>1121</v>
      </c>
      <c r="C3618" t="s">
        <v>1122</v>
      </c>
      <c r="D3618" t="str">
        <f>HYPERLINK("http://service.sap.com/sap/support/notes/1549853","1549853")</f>
        <v>1549853</v>
      </c>
      <c r="E3618">
        <v>4</v>
      </c>
      <c r="F3618" t="s">
        <v>4936</v>
      </c>
    </row>
    <row r="3619" spans="1:6" x14ac:dyDescent="0.25">
      <c r="A3619" t="s">
        <v>1522</v>
      </c>
      <c r="B3619" t="s">
        <v>1121</v>
      </c>
      <c r="C3619" t="s">
        <v>1122</v>
      </c>
      <c r="D3619" t="str">
        <f>HYPERLINK("http://service.sap.com/sap/support/notes/1596359","1596359")</f>
        <v>1596359</v>
      </c>
      <c r="E3619">
        <v>1</v>
      </c>
      <c r="F3619" t="s">
        <v>4937</v>
      </c>
    </row>
    <row r="3620" spans="1:6" x14ac:dyDescent="0.25">
      <c r="A3620" t="s">
        <v>1522</v>
      </c>
      <c r="B3620" t="s">
        <v>1121</v>
      </c>
      <c r="C3620" t="s">
        <v>1122</v>
      </c>
      <c r="D3620" t="str">
        <f>HYPERLINK("http://service.sap.com/sap/support/notes/1604363","1604363")</f>
        <v>1604363</v>
      </c>
      <c r="E3620">
        <v>2</v>
      </c>
      <c r="F3620" t="s">
        <v>4938</v>
      </c>
    </row>
    <row r="3621" spans="1:6" x14ac:dyDescent="0.25">
      <c r="A3621" t="s">
        <v>1522</v>
      </c>
      <c r="B3621" t="s">
        <v>1121</v>
      </c>
      <c r="C3621" t="s">
        <v>1122</v>
      </c>
      <c r="D3621" t="str">
        <f>HYPERLINK("http://service.sap.com/sap/support/notes/1621833","1621833")</f>
        <v>1621833</v>
      </c>
      <c r="E3621">
        <v>3</v>
      </c>
      <c r="F3621" t="s">
        <v>4939</v>
      </c>
    </row>
    <row r="3622" spans="1:6" x14ac:dyDescent="0.25">
      <c r="A3622" t="s">
        <v>1522</v>
      </c>
      <c r="B3622" t="s">
        <v>1121</v>
      </c>
      <c r="C3622" t="s">
        <v>1122</v>
      </c>
      <c r="D3622" t="str">
        <f>HYPERLINK("http://service.sap.com/sap/support/notes/1623507","1623507")</f>
        <v>1623507</v>
      </c>
      <c r="E3622">
        <v>1</v>
      </c>
      <c r="F3622" t="s">
        <v>4940</v>
      </c>
    </row>
    <row r="3623" spans="1:6" x14ac:dyDescent="0.25">
      <c r="A3623" t="s">
        <v>1522</v>
      </c>
      <c r="B3623" t="s">
        <v>1121</v>
      </c>
      <c r="C3623" t="s">
        <v>1122</v>
      </c>
      <c r="D3623" t="str">
        <f>HYPERLINK("http://service.sap.com/sap/support/notes/1623647","1623647")</f>
        <v>1623647</v>
      </c>
      <c r="E3623">
        <v>2</v>
      </c>
      <c r="F3623" t="s">
        <v>4941</v>
      </c>
    </row>
    <row r="3624" spans="1:6" x14ac:dyDescent="0.25">
      <c r="A3624" t="s">
        <v>1522</v>
      </c>
      <c r="B3624" t="s">
        <v>1121</v>
      </c>
      <c r="C3624" t="s">
        <v>1122</v>
      </c>
      <c r="D3624" t="str">
        <f>HYPERLINK("http://service.sap.com/sap/support/notes/1624992","1624992")</f>
        <v>1624992</v>
      </c>
      <c r="E3624">
        <v>4</v>
      </c>
      <c r="F3624" t="s">
        <v>4942</v>
      </c>
    </row>
    <row r="3625" spans="1:6" x14ac:dyDescent="0.25">
      <c r="A3625" t="s">
        <v>1522</v>
      </c>
      <c r="B3625" t="s">
        <v>1121</v>
      </c>
      <c r="C3625" t="s">
        <v>1122</v>
      </c>
      <c r="D3625" t="str">
        <f>HYPERLINK("http://service.sap.com/sap/support/notes/1625104","1625104")</f>
        <v>1625104</v>
      </c>
      <c r="E3625">
        <v>3</v>
      </c>
      <c r="F3625" t="s">
        <v>4943</v>
      </c>
    </row>
    <row r="3626" spans="1:6" x14ac:dyDescent="0.25">
      <c r="A3626" t="s">
        <v>1522</v>
      </c>
      <c r="B3626" t="s">
        <v>1121</v>
      </c>
      <c r="C3626" t="s">
        <v>1122</v>
      </c>
      <c r="D3626" t="str">
        <f>HYPERLINK("http://service.sap.com/sap/support/notes/1626081","1626081")</f>
        <v>1626081</v>
      </c>
      <c r="E3626">
        <v>2</v>
      </c>
      <c r="F3626" t="s">
        <v>4944</v>
      </c>
    </row>
    <row r="3627" spans="1:6" x14ac:dyDescent="0.25">
      <c r="A3627" t="s">
        <v>1522</v>
      </c>
      <c r="B3627" t="s">
        <v>1121</v>
      </c>
      <c r="C3627" t="s">
        <v>1122</v>
      </c>
      <c r="D3627" t="str">
        <f>HYPERLINK("http://service.sap.com/sap/support/notes/1628475","1628475")</f>
        <v>1628475</v>
      </c>
      <c r="E3627">
        <v>5</v>
      </c>
      <c r="F3627" t="s">
        <v>4945</v>
      </c>
    </row>
    <row r="3628" spans="1:6" x14ac:dyDescent="0.25">
      <c r="A3628" t="s">
        <v>1522</v>
      </c>
      <c r="B3628" t="s">
        <v>1121</v>
      </c>
      <c r="C3628" t="s">
        <v>1122</v>
      </c>
      <c r="D3628" t="str">
        <f>HYPERLINK("http://service.sap.com/sap/support/notes/1629855","1629855")</f>
        <v>1629855</v>
      </c>
      <c r="E3628">
        <v>1</v>
      </c>
      <c r="F3628" t="s">
        <v>4946</v>
      </c>
    </row>
    <row r="3629" spans="1:6" x14ac:dyDescent="0.25">
      <c r="A3629" t="s">
        <v>1522</v>
      </c>
      <c r="B3629" t="s">
        <v>1121</v>
      </c>
      <c r="C3629" t="s">
        <v>1122</v>
      </c>
      <c r="D3629" t="str">
        <f>HYPERLINK("http://service.sap.com/sap/support/notes/1630259","1630259")</f>
        <v>1630259</v>
      </c>
      <c r="E3629">
        <v>1</v>
      </c>
      <c r="F3629" t="s">
        <v>4946</v>
      </c>
    </row>
    <row r="3630" spans="1:6" x14ac:dyDescent="0.25">
      <c r="A3630" t="s">
        <v>1522</v>
      </c>
      <c r="B3630" t="s">
        <v>1121</v>
      </c>
      <c r="C3630" t="s">
        <v>1122</v>
      </c>
      <c r="D3630" t="str">
        <f>HYPERLINK("http://service.sap.com/sap/support/notes/1632449","1632449")</f>
        <v>1632449</v>
      </c>
      <c r="E3630">
        <v>1</v>
      </c>
      <c r="F3630" t="s">
        <v>4947</v>
      </c>
    </row>
    <row r="3631" spans="1:6" x14ac:dyDescent="0.25">
      <c r="A3631" t="s">
        <v>1522</v>
      </c>
      <c r="B3631" t="s">
        <v>1121</v>
      </c>
      <c r="C3631" t="s">
        <v>1122</v>
      </c>
      <c r="D3631" t="str">
        <f>HYPERLINK("http://service.sap.com/sap/support/notes/1632498","1632498")</f>
        <v>1632498</v>
      </c>
      <c r="E3631">
        <v>1</v>
      </c>
      <c r="F3631" t="s">
        <v>4948</v>
      </c>
    </row>
    <row r="3632" spans="1:6" x14ac:dyDescent="0.25">
      <c r="A3632" t="s">
        <v>1522</v>
      </c>
      <c r="B3632" t="s">
        <v>1121</v>
      </c>
      <c r="C3632" t="s">
        <v>1122</v>
      </c>
      <c r="D3632" t="str">
        <f>HYPERLINK("http://service.sap.com/sap/support/notes/1635475","1635475")</f>
        <v>1635475</v>
      </c>
      <c r="E3632">
        <v>1</v>
      </c>
      <c r="F3632" t="s">
        <v>4949</v>
      </c>
    </row>
    <row r="3633" spans="1:6" x14ac:dyDescent="0.25">
      <c r="A3633" t="s">
        <v>1522</v>
      </c>
      <c r="B3633" t="s">
        <v>1121</v>
      </c>
      <c r="C3633" t="s">
        <v>1122</v>
      </c>
      <c r="D3633" t="str">
        <f>HYPERLINK("http://service.sap.com/sap/support/notes/1656061","1656061")</f>
        <v>1656061</v>
      </c>
      <c r="E3633">
        <v>1</v>
      </c>
      <c r="F3633" t="s">
        <v>4950</v>
      </c>
    </row>
    <row r="3634" spans="1:6" x14ac:dyDescent="0.25">
      <c r="A3634" t="s">
        <v>1522</v>
      </c>
      <c r="B3634" t="s">
        <v>1121</v>
      </c>
      <c r="C3634" t="s">
        <v>1122</v>
      </c>
      <c r="D3634" t="str">
        <f>HYPERLINK("http://service.sap.com/sap/support/notes/1658264","1658264")</f>
        <v>1658264</v>
      </c>
      <c r="E3634">
        <v>1</v>
      </c>
      <c r="F3634" t="s">
        <v>4951</v>
      </c>
    </row>
    <row r="3635" spans="1:6" x14ac:dyDescent="0.25">
      <c r="A3635" t="s">
        <v>1522</v>
      </c>
      <c r="B3635" t="s">
        <v>1121</v>
      </c>
      <c r="C3635" t="s">
        <v>1122</v>
      </c>
      <c r="D3635" t="str">
        <f>HYPERLINK("http://service.sap.com/sap/support/notes/1659264","1659264")</f>
        <v>1659264</v>
      </c>
      <c r="E3635">
        <v>1</v>
      </c>
      <c r="F3635" t="s">
        <v>4952</v>
      </c>
    </row>
    <row r="3636" spans="1:6" x14ac:dyDescent="0.25">
      <c r="A3636" t="s">
        <v>1522</v>
      </c>
      <c r="B3636" t="s">
        <v>1121</v>
      </c>
      <c r="C3636" t="s">
        <v>1122</v>
      </c>
      <c r="D3636" t="str">
        <f>HYPERLINK("http://service.sap.com/sap/support/notes/1667723","1667723")</f>
        <v>1667723</v>
      </c>
      <c r="E3636">
        <v>1</v>
      </c>
      <c r="F3636" t="s">
        <v>4953</v>
      </c>
    </row>
    <row r="3637" spans="1:6" x14ac:dyDescent="0.25">
      <c r="A3637" t="s">
        <v>1522</v>
      </c>
      <c r="B3637" t="s">
        <v>4954</v>
      </c>
      <c r="C3637" t="s">
        <v>4955</v>
      </c>
      <c r="D3637" t="str">
        <f>HYPERLINK("http://service.sap.com/sap/support/notes/1628930","1628930")</f>
        <v>1628930</v>
      </c>
      <c r="E3637">
        <v>3</v>
      </c>
      <c r="F3637" t="s">
        <v>4956</v>
      </c>
    </row>
    <row r="3638" spans="1:6" x14ac:dyDescent="0.25">
      <c r="A3638" t="s">
        <v>1522</v>
      </c>
      <c r="B3638" t="s">
        <v>4954</v>
      </c>
      <c r="C3638" t="s">
        <v>4955</v>
      </c>
      <c r="D3638" t="str">
        <f>HYPERLINK("http://service.sap.com/sap/support/notes/1629351","1629351")</f>
        <v>1629351</v>
      </c>
      <c r="E3638">
        <v>7</v>
      </c>
      <c r="F3638" t="s">
        <v>4957</v>
      </c>
    </row>
    <row r="3639" spans="1:6" x14ac:dyDescent="0.25">
      <c r="A3639" t="s">
        <v>1522</v>
      </c>
      <c r="B3639" t="s">
        <v>4958</v>
      </c>
      <c r="C3639" t="s">
        <v>4959</v>
      </c>
      <c r="D3639" t="str">
        <f>HYPERLINK("http://service.sap.com/sap/support/notes/1618598","1618598")</f>
        <v>1618598</v>
      </c>
      <c r="E3639">
        <v>2</v>
      </c>
      <c r="F3639" t="s">
        <v>4960</v>
      </c>
    </row>
    <row r="3640" spans="1:6" x14ac:dyDescent="0.25">
      <c r="A3640" t="s">
        <v>1522</v>
      </c>
      <c r="B3640" t="s">
        <v>4958</v>
      </c>
      <c r="C3640" t="s">
        <v>4959</v>
      </c>
      <c r="D3640" t="str">
        <f>HYPERLINK("http://service.sap.com/sap/support/notes/1624259","1624259")</f>
        <v>1624259</v>
      </c>
      <c r="E3640">
        <v>4</v>
      </c>
      <c r="F3640" t="s">
        <v>4961</v>
      </c>
    </row>
    <row r="3641" spans="1:6" x14ac:dyDescent="0.25">
      <c r="A3641" t="s">
        <v>1522</v>
      </c>
      <c r="B3641" t="s">
        <v>4958</v>
      </c>
      <c r="C3641" t="s">
        <v>4959</v>
      </c>
      <c r="D3641" t="str">
        <f>HYPERLINK("http://service.sap.com/sap/support/notes/1625726","1625726")</f>
        <v>1625726</v>
      </c>
      <c r="E3641">
        <v>3</v>
      </c>
      <c r="F3641" t="s">
        <v>4962</v>
      </c>
    </row>
    <row r="3642" spans="1:6" x14ac:dyDescent="0.25">
      <c r="A3642" t="s">
        <v>1522</v>
      </c>
      <c r="B3642" t="s">
        <v>4958</v>
      </c>
      <c r="C3642" t="s">
        <v>4959</v>
      </c>
      <c r="D3642" t="str">
        <f>HYPERLINK("http://service.sap.com/sap/support/notes/1636537","1636537")</f>
        <v>1636537</v>
      </c>
      <c r="E3642">
        <v>3</v>
      </c>
      <c r="F3642" t="s">
        <v>4963</v>
      </c>
    </row>
    <row r="3643" spans="1:6" x14ac:dyDescent="0.25">
      <c r="A3643" t="s">
        <v>1522</v>
      </c>
      <c r="B3643" t="s">
        <v>1125</v>
      </c>
      <c r="C3643" t="s">
        <v>1126</v>
      </c>
      <c r="D3643" t="str">
        <f>HYPERLINK("http://service.sap.com/sap/support/notes/1587615","1587615")</f>
        <v>1587615</v>
      </c>
      <c r="E3643">
        <v>1</v>
      </c>
      <c r="F3643" t="s">
        <v>4964</v>
      </c>
    </row>
    <row r="3644" spans="1:6" x14ac:dyDescent="0.25">
      <c r="A3644" t="s">
        <v>1522</v>
      </c>
      <c r="B3644" t="s">
        <v>1125</v>
      </c>
      <c r="C3644" t="s">
        <v>1126</v>
      </c>
      <c r="D3644" t="str">
        <f>HYPERLINK("http://service.sap.com/sap/support/notes/1636579","1636579")</f>
        <v>1636579</v>
      </c>
      <c r="E3644">
        <v>1</v>
      </c>
      <c r="F3644" t="s">
        <v>4965</v>
      </c>
    </row>
    <row r="3645" spans="1:6" x14ac:dyDescent="0.25">
      <c r="A3645" t="s">
        <v>1522</v>
      </c>
      <c r="B3645" t="s">
        <v>1125</v>
      </c>
      <c r="C3645" t="s">
        <v>1126</v>
      </c>
      <c r="D3645" t="str">
        <f>HYPERLINK("http://service.sap.com/sap/support/notes/1670384","1670384")</f>
        <v>1670384</v>
      </c>
      <c r="E3645">
        <v>1</v>
      </c>
      <c r="F3645" t="s">
        <v>4966</v>
      </c>
    </row>
    <row r="3646" spans="1:6" x14ac:dyDescent="0.25">
      <c r="A3646" t="s">
        <v>1522</v>
      </c>
      <c r="B3646" t="s">
        <v>4967</v>
      </c>
      <c r="C3646" t="s">
        <v>4968</v>
      </c>
      <c r="D3646" t="str">
        <f>HYPERLINK("http://service.sap.com/sap/support/notes/1596967","1596967")</f>
        <v>1596967</v>
      </c>
      <c r="E3646">
        <v>4</v>
      </c>
      <c r="F3646" t="s">
        <v>4969</v>
      </c>
    </row>
    <row r="3647" spans="1:6" x14ac:dyDescent="0.25">
      <c r="A3647" t="s">
        <v>1522</v>
      </c>
      <c r="B3647" t="s">
        <v>4967</v>
      </c>
      <c r="C3647" t="s">
        <v>4968</v>
      </c>
      <c r="D3647" t="str">
        <f>HYPERLINK("http://service.sap.com/sap/support/notes/1599697","1599697")</f>
        <v>1599697</v>
      </c>
      <c r="E3647">
        <v>1</v>
      </c>
      <c r="F3647" t="s">
        <v>4970</v>
      </c>
    </row>
    <row r="3648" spans="1:6" x14ac:dyDescent="0.25">
      <c r="A3648" t="s">
        <v>1522</v>
      </c>
      <c r="B3648" t="s">
        <v>4967</v>
      </c>
      <c r="C3648" t="s">
        <v>4968</v>
      </c>
      <c r="D3648" t="str">
        <f>HYPERLINK("http://service.sap.com/sap/support/notes/1603568","1603568")</f>
        <v>1603568</v>
      </c>
      <c r="E3648">
        <v>5</v>
      </c>
      <c r="F3648" t="s">
        <v>4971</v>
      </c>
    </row>
    <row r="3649" spans="1:6" x14ac:dyDescent="0.25">
      <c r="A3649" t="s">
        <v>1522</v>
      </c>
      <c r="B3649" t="s">
        <v>4967</v>
      </c>
      <c r="C3649" t="s">
        <v>4968</v>
      </c>
      <c r="D3649" t="str">
        <f>HYPERLINK("http://service.sap.com/sap/support/notes/1606263","1606263")</f>
        <v>1606263</v>
      </c>
      <c r="E3649">
        <v>2</v>
      </c>
      <c r="F3649" t="s">
        <v>4972</v>
      </c>
    </row>
    <row r="3650" spans="1:6" x14ac:dyDescent="0.25">
      <c r="A3650" t="s">
        <v>1522</v>
      </c>
      <c r="B3650" t="s">
        <v>4967</v>
      </c>
      <c r="C3650" t="s">
        <v>4968</v>
      </c>
      <c r="D3650" t="str">
        <f>HYPERLINK("http://service.sap.com/sap/support/notes/1619387","1619387")</f>
        <v>1619387</v>
      </c>
      <c r="E3650">
        <v>3</v>
      </c>
      <c r="F3650" t="s">
        <v>4973</v>
      </c>
    </row>
    <row r="3651" spans="1:6" x14ac:dyDescent="0.25">
      <c r="A3651" t="s">
        <v>1522</v>
      </c>
      <c r="B3651" t="s">
        <v>4967</v>
      </c>
      <c r="C3651" t="s">
        <v>4968</v>
      </c>
      <c r="D3651" t="str">
        <f>HYPERLINK("http://service.sap.com/sap/support/notes/1630333","1630333")</f>
        <v>1630333</v>
      </c>
      <c r="E3651">
        <v>2</v>
      </c>
      <c r="F3651" t="s">
        <v>4974</v>
      </c>
    </row>
    <row r="3652" spans="1:6" x14ac:dyDescent="0.25">
      <c r="A3652" t="s">
        <v>1522</v>
      </c>
      <c r="B3652" t="s">
        <v>4967</v>
      </c>
      <c r="C3652" t="s">
        <v>4968</v>
      </c>
      <c r="D3652" t="str">
        <f>HYPERLINK("http://service.sap.com/sap/support/notes/1651328","1651328")</f>
        <v>1651328</v>
      </c>
      <c r="E3652">
        <v>1</v>
      </c>
      <c r="F3652" t="s">
        <v>4975</v>
      </c>
    </row>
    <row r="3653" spans="1:6" x14ac:dyDescent="0.25">
      <c r="A3653" t="s">
        <v>1522</v>
      </c>
      <c r="B3653" t="s">
        <v>4967</v>
      </c>
      <c r="C3653" t="s">
        <v>4968</v>
      </c>
      <c r="D3653" t="str">
        <f>HYPERLINK("http://service.sap.com/sap/support/notes/1663394","1663394")</f>
        <v>1663394</v>
      </c>
      <c r="E3653">
        <v>1</v>
      </c>
      <c r="F3653" t="s">
        <v>4976</v>
      </c>
    </row>
    <row r="3654" spans="1:6" x14ac:dyDescent="0.25">
      <c r="A3654" t="s">
        <v>1522</v>
      </c>
      <c r="B3654" t="s">
        <v>4967</v>
      </c>
      <c r="C3654" t="s">
        <v>4968</v>
      </c>
      <c r="D3654" t="str">
        <f>HYPERLINK("http://service.sap.com/sap/support/notes/1664544","1664544")</f>
        <v>1664544</v>
      </c>
      <c r="E3654">
        <v>2</v>
      </c>
      <c r="F3654" t="s">
        <v>4977</v>
      </c>
    </row>
    <row r="3655" spans="1:6" x14ac:dyDescent="0.25">
      <c r="A3655" t="s">
        <v>1522</v>
      </c>
      <c r="B3655" t="s">
        <v>4967</v>
      </c>
      <c r="C3655" t="s">
        <v>4968</v>
      </c>
      <c r="D3655" t="str">
        <f>HYPERLINK("http://service.sap.com/sap/support/notes/1668608","1668608")</f>
        <v>1668608</v>
      </c>
      <c r="E3655">
        <v>1</v>
      </c>
      <c r="F3655" t="s">
        <v>4978</v>
      </c>
    </row>
    <row r="3656" spans="1:6" x14ac:dyDescent="0.25">
      <c r="A3656" t="s">
        <v>1522</v>
      </c>
      <c r="B3656" t="s">
        <v>1128</v>
      </c>
      <c r="C3656" t="s">
        <v>1129</v>
      </c>
      <c r="D3656" t="str">
        <f>HYPERLINK("http://service.sap.com/sap/support/notes/1629380","1629380")</f>
        <v>1629380</v>
      </c>
      <c r="E3656">
        <v>1</v>
      </c>
      <c r="F3656" t="s">
        <v>4979</v>
      </c>
    </row>
    <row r="3657" spans="1:6" x14ac:dyDescent="0.25">
      <c r="A3657" t="s">
        <v>1522</v>
      </c>
      <c r="B3657" t="s">
        <v>4980</v>
      </c>
      <c r="C3657" t="s">
        <v>4981</v>
      </c>
      <c r="D3657" t="str">
        <f>HYPERLINK("http://service.sap.com/sap/support/notes/1646860","1646860")</f>
        <v>1646860</v>
      </c>
      <c r="E3657">
        <v>4</v>
      </c>
      <c r="F3657" t="s">
        <v>4982</v>
      </c>
    </row>
    <row r="3658" spans="1:6" x14ac:dyDescent="0.25">
      <c r="A3658" t="s">
        <v>1522</v>
      </c>
      <c r="B3658" t="s">
        <v>4983</v>
      </c>
      <c r="C3658" t="s">
        <v>4984</v>
      </c>
      <c r="D3658" t="str">
        <f>HYPERLINK("http://service.sap.com/sap/support/notes/1653991","1653991")</f>
        <v>1653991</v>
      </c>
      <c r="E3658">
        <v>1</v>
      </c>
      <c r="F3658" t="s">
        <v>4985</v>
      </c>
    </row>
    <row r="3659" spans="1:6" x14ac:dyDescent="0.25">
      <c r="A3659" t="s">
        <v>1522</v>
      </c>
      <c r="B3659" t="s">
        <v>4983</v>
      </c>
      <c r="C3659" t="s">
        <v>4984</v>
      </c>
      <c r="D3659" t="str">
        <f>HYPERLINK("http://service.sap.com/sap/support/notes/1654136","1654136")</f>
        <v>1654136</v>
      </c>
      <c r="E3659">
        <v>1</v>
      </c>
      <c r="F3659" t="s">
        <v>4986</v>
      </c>
    </row>
    <row r="3660" spans="1:6" x14ac:dyDescent="0.25">
      <c r="A3660" t="s">
        <v>1522</v>
      </c>
      <c r="B3660" t="s">
        <v>1131</v>
      </c>
      <c r="C3660" t="s">
        <v>1132</v>
      </c>
    </row>
    <row r="3661" spans="1:6" x14ac:dyDescent="0.25">
      <c r="A3661" t="s">
        <v>1522</v>
      </c>
      <c r="B3661" t="s">
        <v>4987</v>
      </c>
      <c r="C3661" t="s">
        <v>4988</v>
      </c>
      <c r="D3661" t="str">
        <f>HYPERLINK("http://service.sap.com/sap/support/notes/1648387","1648387")</f>
        <v>1648387</v>
      </c>
      <c r="E3661">
        <v>1</v>
      </c>
      <c r="F3661" t="s">
        <v>4989</v>
      </c>
    </row>
    <row r="3662" spans="1:6" x14ac:dyDescent="0.25">
      <c r="A3662" t="s">
        <v>1522</v>
      </c>
      <c r="B3662" t="s">
        <v>4990</v>
      </c>
      <c r="C3662" t="s">
        <v>4991</v>
      </c>
      <c r="D3662" t="str">
        <f>HYPERLINK("http://service.sap.com/sap/support/notes/1623560","1623560")</f>
        <v>1623560</v>
      </c>
      <c r="E3662">
        <v>1</v>
      </c>
      <c r="F3662" t="s">
        <v>4992</v>
      </c>
    </row>
    <row r="3663" spans="1:6" x14ac:dyDescent="0.25">
      <c r="A3663" t="s">
        <v>1522</v>
      </c>
      <c r="B3663" t="s">
        <v>4990</v>
      </c>
      <c r="C3663" t="s">
        <v>4991</v>
      </c>
      <c r="D3663" t="str">
        <f>HYPERLINK("http://service.sap.com/sap/support/notes/1636123","1636123")</f>
        <v>1636123</v>
      </c>
      <c r="E3663">
        <v>1</v>
      </c>
      <c r="F3663" t="s">
        <v>4993</v>
      </c>
    </row>
    <row r="3664" spans="1:6" x14ac:dyDescent="0.25">
      <c r="A3664" t="s">
        <v>1522</v>
      </c>
      <c r="B3664" t="s">
        <v>4994</v>
      </c>
      <c r="C3664" t="s">
        <v>4995</v>
      </c>
      <c r="D3664" t="str">
        <f>HYPERLINK("http://service.sap.com/sap/support/notes/1619406","1619406")</f>
        <v>1619406</v>
      </c>
      <c r="E3664">
        <v>6</v>
      </c>
      <c r="F3664" t="s">
        <v>4996</v>
      </c>
    </row>
    <row r="3665" spans="1:6" x14ac:dyDescent="0.25">
      <c r="A3665" t="s">
        <v>1522</v>
      </c>
      <c r="B3665" t="s">
        <v>4994</v>
      </c>
      <c r="C3665" t="s">
        <v>4995</v>
      </c>
      <c r="D3665" t="str">
        <f>HYPERLINK("http://service.sap.com/sap/support/notes/1662177","1662177")</f>
        <v>1662177</v>
      </c>
      <c r="E3665">
        <v>2</v>
      </c>
      <c r="F3665" t="s">
        <v>4997</v>
      </c>
    </row>
    <row r="3666" spans="1:6" x14ac:dyDescent="0.25">
      <c r="A3666" t="s">
        <v>1522</v>
      </c>
      <c r="B3666" t="s">
        <v>1133</v>
      </c>
      <c r="C3666" t="s">
        <v>1134</v>
      </c>
    </row>
    <row r="3667" spans="1:6" x14ac:dyDescent="0.25">
      <c r="A3667" t="s">
        <v>1522</v>
      </c>
      <c r="B3667" t="s">
        <v>4998</v>
      </c>
      <c r="C3667" t="s">
        <v>4999</v>
      </c>
    </row>
    <row r="3668" spans="1:6" x14ac:dyDescent="0.25">
      <c r="A3668" t="s">
        <v>1522</v>
      </c>
      <c r="B3668" t="s">
        <v>5000</v>
      </c>
      <c r="C3668" t="s">
        <v>246</v>
      </c>
      <c r="D3668" t="str">
        <f>HYPERLINK("http://service.sap.com/sap/support/notes/1647399","1647399")</f>
        <v>1647399</v>
      </c>
      <c r="E3668">
        <v>1</v>
      </c>
      <c r="F3668" t="s">
        <v>5001</v>
      </c>
    </row>
    <row r="3669" spans="1:6" x14ac:dyDescent="0.25">
      <c r="A3669" t="s">
        <v>1522</v>
      </c>
      <c r="B3669" t="s">
        <v>1136</v>
      </c>
      <c r="C3669" t="s">
        <v>1137</v>
      </c>
    </row>
    <row r="3670" spans="1:6" x14ac:dyDescent="0.25">
      <c r="A3670" t="s">
        <v>1522</v>
      </c>
      <c r="B3670" t="s">
        <v>1138</v>
      </c>
      <c r="C3670" t="s">
        <v>1139</v>
      </c>
      <c r="D3670" t="str">
        <f>HYPERLINK("http://service.sap.com/sap/support/notes/1643827","1643827")</f>
        <v>1643827</v>
      </c>
      <c r="E3670">
        <v>5</v>
      </c>
      <c r="F3670" t="s">
        <v>5002</v>
      </c>
    </row>
    <row r="3671" spans="1:6" x14ac:dyDescent="0.25">
      <c r="A3671" t="s">
        <v>1522</v>
      </c>
      <c r="B3671" t="s">
        <v>5003</v>
      </c>
      <c r="C3671" t="s">
        <v>337</v>
      </c>
      <c r="D3671" t="str">
        <f>HYPERLINK("http://service.sap.com/sap/support/notes/1666501","1666501")</f>
        <v>1666501</v>
      </c>
      <c r="E3671">
        <v>3</v>
      </c>
      <c r="F3671" t="s">
        <v>5004</v>
      </c>
    </row>
    <row r="3672" spans="1:6" x14ac:dyDescent="0.25">
      <c r="A3672" t="s">
        <v>1522</v>
      </c>
      <c r="B3672" t="s">
        <v>5005</v>
      </c>
      <c r="C3672" t="s">
        <v>350</v>
      </c>
      <c r="D3672" t="str">
        <f>HYPERLINK("http://service.sap.com/sap/support/notes/1637193","1637193")</f>
        <v>1637193</v>
      </c>
      <c r="E3672">
        <v>1</v>
      </c>
      <c r="F3672" t="s">
        <v>5006</v>
      </c>
    </row>
    <row r="3673" spans="1:6" x14ac:dyDescent="0.25">
      <c r="A3673" t="s">
        <v>1522</v>
      </c>
      <c r="B3673" t="s">
        <v>5007</v>
      </c>
      <c r="C3673" t="s">
        <v>14</v>
      </c>
      <c r="D3673" t="str">
        <f>HYPERLINK("http://service.sap.com/sap/support/notes/1626488","1626488")</f>
        <v>1626488</v>
      </c>
      <c r="E3673">
        <v>1</v>
      </c>
      <c r="F3673" t="s">
        <v>5008</v>
      </c>
    </row>
    <row r="3674" spans="1:6" x14ac:dyDescent="0.25">
      <c r="A3674" t="s">
        <v>1522</v>
      </c>
      <c r="B3674" t="s">
        <v>5007</v>
      </c>
      <c r="C3674" t="s">
        <v>14</v>
      </c>
      <c r="D3674" t="str">
        <f>HYPERLINK("http://service.sap.com/sap/support/notes/1640112","1640112")</f>
        <v>1640112</v>
      </c>
      <c r="E3674">
        <v>1</v>
      </c>
      <c r="F3674" t="s">
        <v>5009</v>
      </c>
    </row>
    <row r="3675" spans="1:6" x14ac:dyDescent="0.25">
      <c r="A3675" t="s">
        <v>1522</v>
      </c>
      <c r="B3675" t="s">
        <v>1142</v>
      </c>
      <c r="C3675" t="s">
        <v>1143</v>
      </c>
    </row>
    <row r="3676" spans="1:6" x14ac:dyDescent="0.25">
      <c r="A3676" t="s">
        <v>1522</v>
      </c>
      <c r="B3676" t="s">
        <v>1144</v>
      </c>
      <c r="C3676" t="s">
        <v>1145</v>
      </c>
      <c r="D3676" t="str">
        <f>HYPERLINK("http://service.sap.com/sap/support/notes/1609848","1609848")</f>
        <v>1609848</v>
      </c>
      <c r="E3676">
        <v>3</v>
      </c>
      <c r="F3676" t="s">
        <v>5010</v>
      </c>
    </row>
    <row r="3677" spans="1:6" x14ac:dyDescent="0.25">
      <c r="A3677" t="s">
        <v>1522</v>
      </c>
      <c r="B3677" t="s">
        <v>1144</v>
      </c>
      <c r="C3677" t="s">
        <v>1145</v>
      </c>
      <c r="D3677" t="str">
        <f>HYPERLINK("http://service.sap.com/sap/support/notes/1620909","1620909")</f>
        <v>1620909</v>
      </c>
      <c r="E3677">
        <v>2</v>
      </c>
      <c r="F3677" t="s">
        <v>5011</v>
      </c>
    </row>
    <row r="3678" spans="1:6" x14ac:dyDescent="0.25">
      <c r="A3678" t="s">
        <v>1522</v>
      </c>
      <c r="B3678" t="s">
        <v>1144</v>
      </c>
      <c r="C3678" t="s">
        <v>1145</v>
      </c>
      <c r="D3678" t="str">
        <f>HYPERLINK("http://service.sap.com/sap/support/notes/1645331","1645331")</f>
        <v>1645331</v>
      </c>
      <c r="E3678">
        <v>3</v>
      </c>
      <c r="F3678" t="s">
        <v>5012</v>
      </c>
    </row>
    <row r="3679" spans="1:6" x14ac:dyDescent="0.25">
      <c r="A3679" t="s">
        <v>1522</v>
      </c>
      <c r="B3679" t="s">
        <v>1144</v>
      </c>
      <c r="C3679" t="s">
        <v>1145</v>
      </c>
      <c r="D3679" t="str">
        <f>HYPERLINK("http://service.sap.com/sap/support/notes/1646782","1646782")</f>
        <v>1646782</v>
      </c>
      <c r="E3679">
        <v>1</v>
      </c>
      <c r="F3679" t="s">
        <v>5013</v>
      </c>
    </row>
    <row r="3680" spans="1:6" x14ac:dyDescent="0.25">
      <c r="A3680" t="s">
        <v>1522</v>
      </c>
      <c r="B3680" t="s">
        <v>1144</v>
      </c>
      <c r="C3680" t="s">
        <v>1145</v>
      </c>
      <c r="D3680" t="str">
        <f>HYPERLINK("http://service.sap.com/sap/support/notes/1649556","1649556")</f>
        <v>1649556</v>
      </c>
      <c r="E3680">
        <v>3</v>
      </c>
      <c r="F3680" t="s">
        <v>5014</v>
      </c>
    </row>
    <row r="3681" spans="1:6" x14ac:dyDescent="0.25">
      <c r="A3681" t="s">
        <v>1522</v>
      </c>
      <c r="B3681" t="s">
        <v>1144</v>
      </c>
      <c r="C3681" t="s">
        <v>1145</v>
      </c>
      <c r="D3681" t="str">
        <f>HYPERLINK("http://service.sap.com/sap/support/notes/1659249","1659249")</f>
        <v>1659249</v>
      </c>
      <c r="E3681">
        <v>1</v>
      </c>
      <c r="F3681" t="s">
        <v>5015</v>
      </c>
    </row>
    <row r="3682" spans="1:6" x14ac:dyDescent="0.25">
      <c r="A3682" t="s">
        <v>1522</v>
      </c>
      <c r="B3682" t="s">
        <v>1149</v>
      </c>
      <c r="C3682" t="s">
        <v>1150</v>
      </c>
    </row>
    <row r="3683" spans="1:6" x14ac:dyDescent="0.25">
      <c r="A3683" t="s">
        <v>1522</v>
      </c>
      <c r="B3683" t="s">
        <v>1151</v>
      </c>
      <c r="C3683" t="s">
        <v>894</v>
      </c>
      <c r="D3683" t="str">
        <f>HYPERLINK("http://service.sap.com/sap/support/notes/1607028","1607028")</f>
        <v>1607028</v>
      </c>
      <c r="E3683">
        <v>5</v>
      </c>
      <c r="F3683" t="s">
        <v>5016</v>
      </c>
    </row>
    <row r="3684" spans="1:6" x14ac:dyDescent="0.25">
      <c r="A3684" t="s">
        <v>1522</v>
      </c>
      <c r="B3684" t="s">
        <v>1151</v>
      </c>
      <c r="C3684" t="s">
        <v>894</v>
      </c>
      <c r="D3684" t="str">
        <f>HYPERLINK("http://service.sap.com/sap/support/notes/1616348","1616348")</f>
        <v>1616348</v>
      </c>
      <c r="E3684">
        <v>2</v>
      </c>
      <c r="F3684" t="s">
        <v>5017</v>
      </c>
    </row>
    <row r="3685" spans="1:6" x14ac:dyDescent="0.25">
      <c r="A3685" t="s">
        <v>1522</v>
      </c>
      <c r="B3685" t="s">
        <v>1151</v>
      </c>
      <c r="C3685" t="s">
        <v>894</v>
      </c>
      <c r="D3685" t="str">
        <f>HYPERLINK("http://service.sap.com/sap/support/notes/1620010","1620010")</f>
        <v>1620010</v>
      </c>
      <c r="E3685">
        <v>2</v>
      </c>
      <c r="F3685" t="s">
        <v>5018</v>
      </c>
    </row>
    <row r="3686" spans="1:6" x14ac:dyDescent="0.25">
      <c r="A3686" t="s">
        <v>1522</v>
      </c>
      <c r="B3686" t="s">
        <v>1154</v>
      </c>
      <c r="C3686" t="s">
        <v>231</v>
      </c>
      <c r="D3686" t="str">
        <f>HYPERLINK("http://service.sap.com/sap/support/notes/1647802","1647802")</f>
        <v>1647802</v>
      </c>
      <c r="E3686">
        <v>4</v>
      </c>
      <c r="F3686" t="s">
        <v>5019</v>
      </c>
    </row>
    <row r="3687" spans="1:6" x14ac:dyDescent="0.25">
      <c r="A3687" t="s">
        <v>1522</v>
      </c>
      <c r="B3687" t="s">
        <v>5020</v>
      </c>
      <c r="C3687" t="s">
        <v>5021</v>
      </c>
      <c r="D3687" t="str">
        <f>HYPERLINK("http://service.sap.com/sap/support/notes/1637282","1637282")</f>
        <v>1637282</v>
      </c>
      <c r="E3687">
        <v>1</v>
      </c>
      <c r="F3687" t="s">
        <v>5022</v>
      </c>
    </row>
    <row r="3688" spans="1:6" x14ac:dyDescent="0.25">
      <c r="A3688" t="s">
        <v>1522</v>
      </c>
      <c r="B3688" t="s">
        <v>5020</v>
      </c>
      <c r="C3688" t="s">
        <v>5021</v>
      </c>
      <c r="D3688" t="str">
        <f>HYPERLINK("http://service.sap.com/sap/support/notes/1653687","1653687")</f>
        <v>1653687</v>
      </c>
      <c r="E3688">
        <v>3</v>
      </c>
      <c r="F3688" t="s">
        <v>5023</v>
      </c>
    </row>
    <row r="3689" spans="1:6" x14ac:dyDescent="0.25">
      <c r="A3689" t="s">
        <v>1522</v>
      </c>
      <c r="B3689" t="s">
        <v>5024</v>
      </c>
      <c r="C3689" t="s">
        <v>5025</v>
      </c>
    </row>
    <row r="3690" spans="1:6" x14ac:dyDescent="0.25">
      <c r="A3690" t="s">
        <v>1522</v>
      </c>
      <c r="B3690" t="s">
        <v>5026</v>
      </c>
      <c r="C3690" t="s">
        <v>5027</v>
      </c>
      <c r="D3690" t="str">
        <f>HYPERLINK("http://service.sap.com/sap/support/notes/1628316","1628316")</f>
        <v>1628316</v>
      </c>
      <c r="E3690">
        <v>5</v>
      </c>
      <c r="F3690" t="s">
        <v>5028</v>
      </c>
    </row>
    <row r="3691" spans="1:6" x14ac:dyDescent="0.25">
      <c r="A3691" t="s">
        <v>1522</v>
      </c>
      <c r="B3691" t="s">
        <v>5029</v>
      </c>
      <c r="C3691" t="s">
        <v>5030</v>
      </c>
    </row>
    <row r="3692" spans="1:6" x14ac:dyDescent="0.25">
      <c r="A3692" t="s">
        <v>1522</v>
      </c>
      <c r="B3692" t="s">
        <v>5031</v>
      </c>
      <c r="C3692" t="s">
        <v>5032</v>
      </c>
    </row>
    <row r="3693" spans="1:6" x14ac:dyDescent="0.25">
      <c r="A3693" t="s">
        <v>1522</v>
      </c>
      <c r="B3693" t="s">
        <v>5033</v>
      </c>
      <c r="C3693" t="s">
        <v>2189</v>
      </c>
      <c r="D3693" t="str">
        <f>HYPERLINK("http://service.sap.com/sap/support/notes/1591265","1591265")</f>
        <v>1591265</v>
      </c>
      <c r="E3693">
        <v>10</v>
      </c>
      <c r="F3693" t="s">
        <v>5034</v>
      </c>
    </row>
    <row r="3694" spans="1:6" x14ac:dyDescent="0.25">
      <c r="A3694" t="s">
        <v>1522</v>
      </c>
      <c r="B3694" t="s">
        <v>1157</v>
      </c>
      <c r="C3694" t="s">
        <v>1158</v>
      </c>
    </row>
    <row r="3695" spans="1:6" x14ac:dyDescent="0.25">
      <c r="A3695" t="s">
        <v>1522</v>
      </c>
      <c r="B3695" t="s">
        <v>5035</v>
      </c>
      <c r="C3695" t="s">
        <v>5036</v>
      </c>
    </row>
    <row r="3696" spans="1:6" x14ac:dyDescent="0.25">
      <c r="A3696" t="s">
        <v>1522</v>
      </c>
      <c r="B3696" t="s">
        <v>5037</v>
      </c>
      <c r="C3696" t="s">
        <v>5038</v>
      </c>
      <c r="D3696" t="str">
        <f>HYPERLINK("http://service.sap.com/sap/support/notes/1653057","1653057")</f>
        <v>1653057</v>
      </c>
      <c r="E3696">
        <v>2</v>
      </c>
      <c r="F3696" t="s">
        <v>5039</v>
      </c>
    </row>
    <row r="3697" spans="1:6" x14ac:dyDescent="0.25">
      <c r="A3697" t="s">
        <v>1522</v>
      </c>
      <c r="B3697" t="s">
        <v>5037</v>
      </c>
      <c r="C3697" t="s">
        <v>5038</v>
      </c>
      <c r="D3697" t="str">
        <f>HYPERLINK("http://service.sap.com/sap/support/notes/1653525","1653525")</f>
        <v>1653525</v>
      </c>
      <c r="E3697">
        <v>1</v>
      </c>
      <c r="F3697" t="s">
        <v>5040</v>
      </c>
    </row>
    <row r="3698" spans="1:6" x14ac:dyDescent="0.25">
      <c r="A3698" t="s">
        <v>1522</v>
      </c>
      <c r="B3698" t="s">
        <v>1159</v>
      </c>
      <c r="C3698" t="s">
        <v>1160</v>
      </c>
      <c r="D3698" t="str">
        <f>HYPERLINK("http://service.sap.com/sap/support/notes/1653941","1653941")</f>
        <v>1653941</v>
      </c>
      <c r="E3698">
        <v>2</v>
      </c>
      <c r="F3698" t="s">
        <v>5041</v>
      </c>
    </row>
    <row r="3699" spans="1:6" x14ac:dyDescent="0.25">
      <c r="A3699" t="s">
        <v>1522</v>
      </c>
      <c r="B3699" t="s">
        <v>5042</v>
      </c>
      <c r="C3699" t="s">
        <v>5043</v>
      </c>
      <c r="D3699" t="str">
        <f>HYPERLINK("http://service.sap.com/sap/support/notes/1653809","1653809")</f>
        <v>1653809</v>
      </c>
      <c r="E3699">
        <v>2</v>
      </c>
      <c r="F3699" t="s">
        <v>5044</v>
      </c>
    </row>
    <row r="3700" spans="1:6" x14ac:dyDescent="0.25">
      <c r="A3700" t="s">
        <v>1522</v>
      </c>
      <c r="B3700" t="s">
        <v>1164</v>
      </c>
      <c r="C3700" t="s">
        <v>1165</v>
      </c>
      <c r="D3700" t="str">
        <f>HYPERLINK("http://service.sap.com/sap/support/notes/1615157","1615157")</f>
        <v>1615157</v>
      </c>
      <c r="E3700">
        <v>2</v>
      </c>
      <c r="F3700" t="s">
        <v>5045</v>
      </c>
    </row>
    <row r="3701" spans="1:6" x14ac:dyDescent="0.25">
      <c r="A3701" t="s">
        <v>1522</v>
      </c>
      <c r="B3701" t="s">
        <v>1164</v>
      </c>
      <c r="C3701" t="s">
        <v>1165</v>
      </c>
      <c r="D3701" t="str">
        <f>HYPERLINK("http://service.sap.com/sap/support/notes/1635222","1635222")</f>
        <v>1635222</v>
      </c>
      <c r="E3701">
        <v>3</v>
      </c>
      <c r="F3701" t="s">
        <v>5046</v>
      </c>
    </row>
    <row r="3702" spans="1:6" x14ac:dyDescent="0.25">
      <c r="A3702" t="s">
        <v>1522</v>
      </c>
      <c r="B3702" t="s">
        <v>1164</v>
      </c>
      <c r="C3702" t="s">
        <v>1165</v>
      </c>
      <c r="D3702" t="str">
        <f>HYPERLINK("http://service.sap.com/sap/support/notes/1669481","1669481")</f>
        <v>1669481</v>
      </c>
      <c r="E3702">
        <v>1</v>
      </c>
      <c r="F3702" t="s">
        <v>5047</v>
      </c>
    </row>
    <row r="3703" spans="1:6" x14ac:dyDescent="0.25">
      <c r="A3703" t="s">
        <v>1522</v>
      </c>
      <c r="B3703" t="s">
        <v>5048</v>
      </c>
      <c r="C3703" t="s">
        <v>5049</v>
      </c>
      <c r="D3703" t="str">
        <f>HYPERLINK("http://service.sap.com/sap/support/notes/1640571","1640571")</f>
        <v>1640571</v>
      </c>
      <c r="E3703">
        <v>2</v>
      </c>
      <c r="F3703" t="s">
        <v>5050</v>
      </c>
    </row>
    <row r="3704" spans="1:6" x14ac:dyDescent="0.25">
      <c r="A3704" t="s">
        <v>1522</v>
      </c>
      <c r="B3704" t="s">
        <v>1170</v>
      </c>
      <c r="C3704" t="s">
        <v>1171</v>
      </c>
      <c r="D3704" t="str">
        <f>HYPERLINK("http://service.sap.com/sap/support/notes/1620927","1620927")</f>
        <v>1620927</v>
      </c>
      <c r="E3704">
        <v>2</v>
      </c>
      <c r="F3704" t="s">
        <v>5051</v>
      </c>
    </row>
    <row r="3705" spans="1:6" x14ac:dyDescent="0.25">
      <c r="A3705" t="s">
        <v>1522</v>
      </c>
      <c r="B3705" t="s">
        <v>1170</v>
      </c>
      <c r="C3705" t="s">
        <v>1171</v>
      </c>
      <c r="D3705" t="str">
        <f>HYPERLINK("http://service.sap.com/sap/support/notes/1638745","1638745")</f>
        <v>1638745</v>
      </c>
      <c r="E3705">
        <v>3</v>
      </c>
      <c r="F3705" t="s">
        <v>5052</v>
      </c>
    </row>
    <row r="3706" spans="1:6" x14ac:dyDescent="0.25">
      <c r="A3706" t="s">
        <v>1522</v>
      </c>
      <c r="B3706" t="s">
        <v>1170</v>
      </c>
      <c r="C3706" t="s">
        <v>1171</v>
      </c>
      <c r="D3706" t="str">
        <f>HYPERLINK("http://service.sap.com/sap/support/notes/1639987","1639987")</f>
        <v>1639987</v>
      </c>
      <c r="E3706">
        <v>3</v>
      </c>
      <c r="F3706" t="s">
        <v>5053</v>
      </c>
    </row>
    <row r="3707" spans="1:6" x14ac:dyDescent="0.25">
      <c r="A3707" t="s">
        <v>1522</v>
      </c>
      <c r="B3707" t="s">
        <v>1170</v>
      </c>
      <c r="C3707" t="s">
        <v>1171</v>
      </c>
      <c r="D3707" t="str">
        <f>HYPERLINK("http://service.sap.com/sap/support/notes/1641237","1641237")</f>
        <v>1641237</v>
      </c>
      <c r="E3707">
        <v>3</v>
      </c>
      <c r="F3707" t="s">
        <v>5054</v>
      </c>
    </row>
    <row r="3708" spans="1:6" x14ac:dyDescent="0.25">
      <c r="A3708" t="s">
        <v>1522</v>
      </c>
      <c r="B3708" t="s">
        <v>1170</v>
      </c>
      <c r="C3708" t="s">
        <v>1171</v>
      </c>
      <c r="D3708" t="str">
        <f>HYPERLINK("http://service.sap.com/sap/support/notes/1641697","1641697")</f>
        <v>1641697</v>
      </c>
      <c r="E3708">
        <v>3</v>
      </c>
      <c r="F3708" t="s">
        <v>5055</v>
      </c>
    </row>
    <row r="3709" spans="1:6" x14ac:dyDescent="0.25">
      <c r="A3709" t="s">
        <v>1522</v>
      </c>
      <c r="B3709" t="s">
        <v>1170</v>
      </c>
      <c r="C3709" t="s">
        <v>1171</v>
      </c>
      <c r="D3709" t="str">
        <f>HYPERLINK("http://service.sap.com/sap/support/notes/1645186","1645186")</f>
        <v>1645186</v>
      </c>
      <c r="E3709">
        <v>2</v>
      </c>
      <c r="F3709" t="s">
        <v>5056</v>
      </c>
    </row>
    <row r="3710" spans="1:6" x14ac:dyDescent="0.25">
      <c r="A3710" t="s">
        <v>1522</v>
      </c>
      <c r="B3710" t="s">
        <v>5057</v>
      </c>
      <c r="C3710" t="s">
        <v>5058</v>
      </c>
      <c r="D3710" t="str">
        <f>HYPERLINK("http://service.sap.com/sap/support/notes/1631601","1631601")</f>
        <v>1631601</v>
      </c>
      <c r="E3710">
        <v>1</v>
      </c>
      <c r="F3710" t="s">
        <v>5059</v>
      </c>
    </row>
    <row r="3711" spans="1:6" x14ac:dyDescent="0.25">
      <c r="A3711" t="s">
        <v>1522</v>
      </c>
      <c r="B3711" t="s">
        <v>1173</v>
      </c>
      <c r="C3711" t="s">
        <v>1174</v>
      </c>
      <c r="D3711" t="str">
        <f>HYPERLINK("http://service.sap.com/sap/support/notes/1634183","1634183")</f>
        <v>1634183</v>
      </c>
      <c r="E3711">
        <v>3</v>
      </c>
      <c r="F3711" t="s">
        <v>5060</v>
      </c>
    </row>
    <row r="3712" spans="1:6" x14ac:dyDescent="0.25">
      <c r="A3712" t="s">
        <v>1522</v>
      </c>
      <c r="B3712" t="s">
        <v>1173</v>
      </c>
      <c r="C3712" t="s">
        <v>1174</v>
      </c>
      <c r="D3712" t="str">
        <f>HYPERLINK("http://service.sap.com/sap/support/notes/1636072","1636072")</f>
        <v>1636072</v>
      </c>
      <c r="E3712">
        <v>4</v>
      </c>
      <c r="F3712" t="s">
        <v>5061</v>
      </c>
    </row>
    <row r="3713" spans="1:6" x14ac:dyDescent="0.25">
      <c r="A3713" t="s">
        <v>1522</v>
      </c>
      <c r="B3713" t="s">
        <v>1173</v>
      </c>
      <c r="C3713" t="s">
        <v>1174</v>
      </c>
      <c r="D3713" t="str">
        <f>HYPERLINK("http://service.sap.com/sap/support/notes/1643217","1643217")</f>
        <v>1643217</v>
      </c>
      <c r="E3713">
        <v>3</v>
      </c>
      <c r="F3713" t="s">
        <v>5062</v>
      </c>
    </row>
    <row r="3714" spans="1:6" x14ac:dyDescent="0.25">
      <c r="A3714" t="s">
        <v>1522</v>
      </c>
      <c r="B3714" t="s">
        <v>1173</v>
      </c>
      <c r="C3714" t="s">
        <v>1174</v>
      </c>
      <c r="D3714" t="str">
        <f>HYPERLINK("http://service.sap.com/sap/support/notes/1654063","1654063")</f>
        <v>1654063</v>
      </c>
      <c r="E3714">
        <v>2</v>
      </c>
      <c r="F3714" t="s">
        <v>5063</v>
      </c>
    </row>
    <row r="3715" spans="1:6" x14ac:dyDescent="0.25">
      <c r="A3715" t="s">
        <v>1522</v>
      </c>
      <c r="B3715" t="s">
        <v>1176</v>
      </c>
      <c r="C3715" t="s">
        <v>1177</v>
      </c>
    </row>
    <row r="3716" spans="1:6" x14ac:dyDescent="0.25">
      <c r="A3716" t="s">
        <v>1522</v>
      </c>
      <c r="B3716" t="s">
        <v>5064</v>
      </c>
      <c r="C3716" t="s">
        <v>632</v>
      </c>
      <c r="D3716" t="str">
        <f>HYPERLINK("http://service.sap.com/sap/support/notes/1659815","1659815")</f>
        <v>1659815</v>
      </c>
      <c r="E3716">
        <v>2</v>
      </c>
      <c r="F3716" t="s">
        <v>5065</v>
      </c>
    </row>
    <row r="3717" spans="1:6" x14ac:dyDescent="0.25">
      <c r="A3717" t="s">
        <v>1522</v>
      </c>
      <c r="B3717" t="s">
        <v>5066</v>
      </c>
      <c r="C3717" t="s">
        <v>5067</v>
      </c>
      <c r="D3717" t="str">
        <f>HYPERLINK("http://service.sap.com/sap/support/notes/1645771","1645771")</f>
        <v>1645771</v>
      </c>
      <c r="E3717">
        <v>2</v>
      </c>
      <c r="F3717" t="s">
        <v>5068</v>
      </c>
    </row>
    <row r="3718" spans="1:6" x14ac:dyDescent="0.25">
      <c r="A3718" t="s">
        <v>1522</v>
      </c>
      <c r="B3718" t="s">
        <v>5069</v>
      </c>
      <c r="C3718" t="s">
        <v>744</v>
      </c>
      <c r="D3718" t="str">
        <f>HYPERLINK("http://service.sap.com/sap/support/notes/1616287","1616287")</f>
        <v>1616287</v>
      </c>
      <c r="E3718">
        <v>3</v>
      </c>
      <c r="F3718" t="s">
        <v>5070</v>
      </c>
    </row>
    <row r="3719" spans="1:6" x14ac:dyDescent="0.25">
      <c r="A3719" t="s">
        <v>1522</v>
      </c>
      <c r="B3719" t="s">
        <v>5071</v>
      </c>
      <c r="C3719" t="s">
        <v>5072</v>
      </c>
      <c r="D3719" t="str">
        <f>HYPERLINK("http://service.sap.com/sap/support/notes/1635635","1635635")</f>
        <v>1635635</v>
      </c>
      <c r="E3719">
        <v>2</v>
      </c>
      <c r="F3719" t="s">
        <v>5073</v>
      </c>
    </row>
    <row r="3720" spans="1:6" x14ac:dyDescent="0.25">
      <c r="A3720" t="s">
        <v>1522</v>
      </c>
      <c r="B3720" t="s">
        <v>1178</v>
      </c>
      <c r="C3720" t="s">
        <v>1179</v>
      </c>
      <c r="D3720" t="str">
        <f>HYPERLINK("http://service.sap.com/sap/support/notes/1580024","1580024")</f>
        <v>1580024</v>
      </c>
      <c r="E3720">
        <v>2</v>
      </c>
      <c r="F3720" t="s">
        <v>5074</v>
      </c>
    </row>
    <row r="3721" spans="1:6" x14ac:dyDescent="0.25">
      <c r="A3721" t="s">
        <v>1522</v>
      </c>
      <c r="B3721" t="s">
        <v>1178</v>
      </c>
      <c r="C3721" t="s">
        <v>1179</v>
      </c>
      <c r="D3721" t="str">
        <f>HYPERLINK("http://service.sap.com/sap/support/notes/1633794","1633794")</f>
        <v>1633794</v>
      </c>
      <c r="E3721">
        <v>2</v>
      </c>
      <c r="F3721" t="s">
        <v>5075</v>
      </c>
    </row>
    <row r="3722" spans="1:6" x14ac:dyDescent="0.25">
      <c r="A3722" t="s">
        <v>1522</v>
      </c>
      <c r="B3722" t="s">
        <v>1181</v>
      </c>
      <c r="C3722" t="s">
        <v>1182</v>
      </c>
      <c r="D3722" t="str">
        <f>HYPERLINK("http://service.sap.com/sap/support/notes/1613782","1613782")</f>
        <v>1613782</v>
      </c>
      <c r="E3722">
        <v>2</v>
      </c>
      <c r="F3722" t="s">
        <v>5076</v>
      </c>
    </row>
    <row r="3723" spans="1:6" x14ac:dyDescent="0.25">
      <c r="A3723" t="s">
        <v>1522</v>
      </c>
      <c r="B3723" t="s">
        <v>1181</v>
      </c>
      <c r="C3723" t="s">
        <v>1182</v>
      </c>
      <c r="D3723" t="str">
        <f>HYPERLINK("http://service.sap.com/sap/support/notes/1623264","1623264")</f>
        <v>1623264</v>
      </c>
      <c r="E3723">
        <v>2</v>
      </c>
      <c r="F3723" t="s">
        <v>5077</v>
      </c>
    </row>
    <row r="3724" spans="1:6" x14ac:dyDescent="0.25">
      <c r="A3724" t="s">
        <v>1522</v>
      </c>
      <c r="B3724" t="s">
        <v>1181</v>
      </c>
      <c r="C3724" t="s">
        <v>1182</v>
      </c>
      <c r="D3724" t="str">
        <f>HYPERLINK("http://service.sap.com/sap/support/notes/1624413","1624413")</f>
        <v>1624413</v>
      </c>
      <c r="E3724">
        <v>1</v>
      </c>
      <c r="F3724" t="s">
        <v>5078</v>
      </c>
    </row>
    <row r="3725" spans="1:6" x14ac:dyDescent="0.25">
      <c r="A3725" t="s">
        <v>1522</v>
      </c>
      <c r="B3725" t="s">
        <v>1181</v>
      </c>
      <c r="C3725" t="s">
        <v>1182</v>
      </c>
      <c r="D3725" t="str">
        <f>HYPERLINK("http://service.sap.com/sap/support/notes/1628071","1628071")</f>
        <v>1628071</v>
      </c>
      <c r="E3725">
        <v>1</v>
      </c>
      <c r="F3725" t="s">
        <v>5079</v>
      </c>
    </row>
    <row r="3726" spans="1:6" x14ac:dyDescent="0.25">
      <c r="A3726" t="s">
        <v>1522</v>
      </c>
      <c r="B3726" t="s">
        <v>1181</v>
      </c>
      <c r="C3726" t="s">
        <v>1182</v>
      </c>
      <c r="D3726" t="str">
        <f>HYPERLINK("http://service.sap.com/sap/support/notes/1633975","1633975")</f>
        <v>1633975</v>
      </c>
      <c r="E3726">
        <v>2</v>
      </c>
      <c r="F3726" t="s">
        <v>5080</v>
      </c>
    </row>
    <row r="3727" spans="1:6" x14ac:dyDescent="0.25">
      <c r="A3727" t="s">
        <v>1522</v>
      </c>
      <c r="B3727" t="s">
        <v>1181</v>
      </c>
      <c r="C3727" t="s">
        <v>1182</v>
      </c>
      <c r="D3727" t="str">
        <f>HYPERLINK("http://service.sap.com/sap/support/notes/1634291","1634291")</f>
        <v>1634291</v>
      </c>
      <c r="E3727">
        <v>2</v>
      </c>
      <c r="F3727" t="s">
        <v>5081</v>
      </c>
    </row>
    <row r="3728" spans="1:6" x14ac:dyDescent="0.25">
      <c r="A3728" t="s">
        <v>1522</v>
      </c>
      <c r="B3728" t="s">
        <v>1181</v>
      </c>
      <c r="C3728" t="s">
        <v>1182</v>
      </c>
      <c r="D3728" t="str">
        <f>HYPERLINK("http://service.sap.com/sap/support/notes/1654104","1654104")</f>
        <v>1654104</v>
      </c>
      <c r="E3728">
        <v>2</v>
      </c>
      <c r="F3728" t="s">
        <v>5082</v>
      </c>
    </row>
    <row r="3729" spans="1:6" x14ac:dyDescent="0.25">
      <c r="A3729" t="s">
        <v>1522</v>
      </c>
      <c r="B3729" t="s">
        <v>1181</v>
      </c>
      <c r="C3729" t="s">
        <v>1182</v>
      </c>
      <c r="D3729" t="str">
        <f>HYPERLINK("http://service.sap.com/sap/support/notes/1656566","1656566")</f>
        <v>1656566</v>
      </c>
      <c r="E3729">
        <v>3</v>
      </c>
      <c r="F3729" t="s">
        <v>5083</v>
      </c>
    </row>
    <row r="3730" spans="1:6" x14ac:dyDescent="0.25">
      <c r="A3730" t="s">
        <v>1522</v>
      </c>
      <c r="B3730" t="s">
        <v>5084</v>
      </c>
      <c r="C3730" t="s">
        <v>5085</v>
      </c>
      <c r="D3730" t="str">
        <f>HYPERLINK("http://service.sap.com/sap/support/notes/1637173","1637173")</f>
        <v>1637173</v>
      </c>
      <c r="E3730">
        <v>2</v>
      </c>
      <c r="F3730" t="s">
        <v>5086</v>
      </c>
    </row>
    <row r="3731" spans="1:6" x14ac:dyDescent="0.25">
      <c r="A3731" t="s">
        <v>1522</v>
      </c>
      <c r="B3731" t="s">
        <v>5087</v>
      </c>
      <c r="C3731" t="s">
        <v>5088</v>
      </c>
    </row>
    <row r="3732" spans="1:6" x14ac:dyDescent="0.25">
      <c r="A3732" t="s">
        <v>1522</v>
      </c>
      <c r="B3732" t="s">
        <v>5089</v>
      </c>
      <c r="C3732" t="s">
        <v>632</v>
      </c>
      <c r="D3732" t="str">
        <f>HYPERLINK("http://service.sap.com/sap/support/notes/1643582","1643582")</f>
        <v>1643582</v>
      </c>
      <c r="E3732">
        <v>1</v>
      </c>
      <c r="F3732" t="s">
        <v>5090</v>
      </c>
    </row>
    <row r="3733" spans="1:6" x14ac:dyDescent="0.25">
      <c r="A3733" t="s">
        <v>1522</v>
      </c>
      <c r="B3733" t="s">
        <v>5091</v>
      </c>
      <c r="C3733" t="s">
        <v>5092</v>
      </c>
    </row>
    <row r="3734" spans="1:6" x14ac:dyDescent="0.25">
      <c r="A3734" t="s">
        <v>1522</v>
      </c>
      <c r="B3734" t="s">
        <v>5093</v>
      </c>
      <c r="C3734" t="s">
        <v>5094</v>
      </c>
      <c r="D3734" t="str">
        <f>HYPERLINK("http://service.sap.com/sap/support/notes/1621902","1621902")</f>
        <v>1621902</v>
      </c>
      <c r="E3734">
        <v>2</v>
      </c>
      <c r="F3734" t="s">
        <v>5095</v>
      </c>
    </row>
    <row r="3735" spans="1:6" x14ac:dyDescent="0.25">
      <c r="A3735" t="s">
        <v>1522</v>
      </c>
      <c r="B3735" t="s">
        <v>5093</v>
      </c>
      <c r="C3735" t="s">
        <v>5094</v>
      </c>
      <c r="D3735" t="str">
        <f>HYPERLINK("http://service.sap.com/sap/support/notes/1641276","1641276")</f>
        <v>1641276</v>
      </c>
      <c r="E3735">
        <v>1</v>
      </c>
      <c r="F3735" t="s">
        <v>5096</v>
      </c>
    </row>
    <row r="3736" spans="1:6" x14ac:dyDescent="0.25">
      <c r="A3736" t="s">
        <v>1522</v>
      </c>
      <c r="B3736" t="s">
        <v>5097</v>
      </c>
      <c r="C3736" t="s">
        <v>350</v>
      </c>
      <c r="D3736" t="str">
        <f>HYPERLINK("http://service.sap.com/sap/support/notes/1655763","1655763")</f>
        <v>1655763</v>
      </c>
      <c r="E3736">
        <v>1</v>
      </c>
      <c r="F3736" t="s">
        <v>5098</v>
      </c>
    </row>
    <row r="3737" spans="1:6" x14ac:dyDescent="0.25">
      <c r="A3737" t="s">
        <v>1522</v>
      </c>
      <c r="B3737" t="s">
        <v>5099</v>
      </c>
      <c r="C3737" t="s">
        <v>5100</v>
      </c>
    </row>
    <row r="3738" spans="1:6" x14ac:dyDescent="0.25">
      <c r="A3738" t="s">
        <v>1522</v>
      </c>
      <c r="B3738" t="s">
        <v>5101</v>
      </c>
      <c r="C3738" t="s">
        <v>234</v>
      </c>
      <c r="D3738" t="str">
        <f>HYPERLINK("http://service.sap.com/sap/support/notes/1651887","1651887")</f>
        <v>1651887</v>
      </c>
      <c r="E3738">
        <v>1</v>
      </c>
      <c r="F3738" t="s">
        <v>5102</v>
      </c>
    </row>
    <row r="3739" spans="1:6" x14ac:dyDescent="0.25">
      <c r="A3739" t="s">
        <v>1522</v>
      </c>
      <c r="B3739" t="s">
        <v>5103</v>
      </c>
      <c r="C3739" t="s">
        <v>5104</v>
      </c>
    </row>
    <row r="3740" spans="1:6" x14ac:dyDescent="0.25">
      <c r="A3740" t="s">
        <v>1522</v>
      </c>
      <c r="B3740" t="s">
        <v>5105</v>
      </c>
      <c r="C3740" t="s">
        <v>5094</v>
      </c>
      <c r="D3740" t="str">
        <f>HYPERLINK("http://service.sap.com/sap/support/notes/1573910","1573910")</f>
        <v>1573910</v>
      </c>
      <c r="E3740">
        <v>2</v>
      </c>
      <c r="F3740" t="s">
        <v>5106</v>
      </c>
    </row>
    <row r="3741" spans="1:6" x14ac:dyDescent="0.25">
      <c r="A3741" t="s">
        <v>1522</v>
      </c>
      <c r="B3741" t="s">
        <v>5105</v>
      </c>
      <c r="C3741" t="s">
        <v>5094</v>
      </c>
      <c r="D3741" t="str">
        <f>HYPERLINK("http://service.sap.com/sap/support/notes/1662618","1662618")</f>
        <v>1662618</v>
      </c>
      <c r="E3741">
        <v>1</v>
      </c>
      <c r="F3741" t="s">
        <v>5107</v>
      </c>
    </row>
    <row r="3742" spans="1:6" x14ac:dyDescent="0.25">
      <c r="A3742" t="s">
        <v>1522</v>
      </c>
      <c r="B3742" t="s">
        <v>28</v>
      </c>
      <c r="C3742" t="s">
        <v>29</v>
      </c>
    </row>
    <row r="3743" spans="1:6" x14ac:dyDescent="0.25">
      <c r="A3743" t="s">
        <v>1522</v>
      </c>
      <c r="B3743" t="s">
        <v>30</v>
      </c>
      <c r="C3743" t="s">
        <v>31</v>
      </c>
    </row>
    <row r="3744" spans="1:6" x14ac:dyDescent="0.25">
      <c r="A3744" t="s">
        <v>1522</v>
      </c>
      <c r="B3744" t="s">
        <v>5108</v>
      </c>
      <c r="C3744" t="s">
        <v>5109</v>
      </c>
      <c r="D3744" t="str">
        <f>HYPERLINK("http://service.sap.com/sap/support/notes/1298332","1298332")</f>
        <v>1298332</v>
      </c>
      <c r="E3744">
        <v>3</v>
      </c>
      <c r="F3744" t="s">
        <v>5110</v>
      </c>
    </row>
    <row r="3745" spans="1:6" x14ac:dyDescent="0.25">
      <c r="A3745" t="s">
        <v>1522</v>
      </c>
      <c r="B3745" t="s">
        <v>5108</v>
      </c>
      <c r="C3745" t="s">
        <v>5109</v>
      </c>
      <c r="D3745" t="str">
        <f>HYPERLINK("http://service.sap.com/sap/support/notes/1550285","1550285")</f>
        <v>1550285</v>
      </c>
      <c r="E3745">
        <v>4</v>
      </c>
      <c r="F3745" t="s">
        <v>5111</v>
      </c>
    </row>
    <row r="3746" spans="1:6" x14ac:dyDescent="0.25">
      <c r="A3746" t="s">
        <v>1522</v>
      </c>
      <c r="B3746" t="s">
        <v>5108</v>
      </c>
      <c r="C3746" t="s">
        <v>5109</v>
      </c>
      <c r="D3746" t="str">
        <f>HYPERLINK("http://service.sap.com/sap/support/notes/1596256","1596256")</f>
        <v>1596256</v>
      </c>
      <c r="E3746">
        <v>5</v>
      </c>
      <c r="F3746" t="s">
        <v>5112</v>
      </c>
    </row>
    <row r="3747" spans="1:6" x14ac:dyDescent="0.25">
      <c r="A3747" t="s">
        <v>1522</v>
      </c>
      <c r="B3747" t="s">
        <v>5113</v>
      </c>
      <c r="C3747" t="s">
        <v>337</v>
      </c>
    </row>
    <row r="3748" spans="1:6" x14ac:dyDescent="0.25">
      <c r="A3748" t="s">
        <v>1522</v>
      </c>
      <c r="B3748" t="s">
        <v>5114</v>
      </c>
      <c r="C3748" t="s">
        <v>5115</v>
      </c>
      <c r="D3748" t="str">
        <f>HYPERLINK("http://service.sap.com/sap/support/notes/991373","991373")</f>
        <v>991373</v>
      </c>
      <c r="E3748">
        <v>4</v>
      </c>
      <c r="F3748" t="s">
        <v>5116</v>
      </c>
    </row>
    <row r="3749" spans="1:6" x14ac:dyDescent="0.25">
      <c r="A3749" t="s">
        <v>1522</v>
      </c>
      <c r="B3749" t="s">
        <v>5114</v>
      </c>
      <c r="C3749" t="s">
        <v>5115</v>
      </c>
      <c r="D3749" t="str">
        <f>HYPERLINK("http://service.sap.com/sap/support/notes/1088057","1088057")</f>
        <v>1088057</v>
      </c>
      <c r="E3749">
        <v>4</v>
      </c>
      <c r="F3749" t="s">
        <v>5117</v>
      </c>
    </row>
    <row r="3750" spans="1:6" x14ac:dyDescent="0.25">
      <c r="A3750" t="s">
        <v>1522</v>
      </c>
      <c r="B3750" t="s">
        <v>5118</v>
      </c>
      <c r="C3750" t="s">
        <v>5119</v>
      </c>
      <c r="D3750" t="str">
        <f>HYPERLINK("http://service.sap.com/sap/support/notes/1622356","1622356")</f>
        <v>1622356</v>
      </c>
      <c r="E3750">
        <v>3</v>
      </c>
      <c r="F3750" t="s">
        <v>5120</v>
      </c>
    </row>
    <row r="3751" spans="1:6" x14ac:dyDescent="0.25">
      <c r="A3751" t="s">
        <v>1522</v>
      </c>
      <c r="B3751" t="s">
        <v>5121</v>
      </c>
      <c r="C3751" t="s">
        <v>5122</v>
      </c>
    </row>
    <row r="3752" spans="1:6" x14ac:dyDescent="0.25">
      <c r="A3752" t="s">
        <v>1522</v>
      </c>
      <c r="B3752" t="s">
        <v>5123</v>
      </c>
      <c r="C3752" t="s">
        <v>5124</v>
      </c>
      <c r="D3752" t="str">
        <f>HYPERLINK("http://service.sap.com/sap/support/notes/1621280","1621280")</f>
        <v>1621280</v>
      </c>
      <c r="E3752">
        <v>1</v>
      </c>
      <c r="F3752" t="s">
        <v>5125</v>
      </c>
    </row>
    <row r="3753" spans="1:6" x14ac:dyDescent="0.25">
      <c r="A3753" t="s">
        <v>1522</v>
      </c>
      <c r="B3753" t="s">
        <v>5123</v>
      </c>
      <c r="C3753" t="s">
        <v>5124</v>
      </c>
      <c r="D3753" t="str">
        <f>HYPERLINK("http://service.sap.com/sap/support/notes/1621935","1621935")</f>
        <v>1621935</v>
      </c>
      <c r="E3753">
        <v>1</v>
      </c>
      <c r="F3753" t="s">
        <v>5126</v>
      </c>
    </row>
    <row r="3754" spans="1:6" x14ac:dyDescent="0.25">
      <c r="A3754" t="s">
        <v>1522</v>
      </c>
      <c r="B3754" t="s">
        <v>5127</v>
      </c>
      <c r="C3754" t="s">
        <v>5128</v>
      </c>
      <c r="D3754" t="str">
        <f>HYPERLINK("http://service.sap.com/sap/support/notes/1634527","1634527")</f>
        <v>1634527</v>
      </c>
      <c r="E3754">
        <v>1</v>
      </c>
      <c r="F3754" t="s">
        <v>5129</v>
      </c>
    </row>
    <row r="3755" spans="1:6" x14ac:dyDescent="0.25">
      <c r="A3755" t="s">
        <v>1522</v>
      </c>
      <c r="B3755" t="s">
        <v>5130</v>
      </c>
      <c r="C3755" t="s">
        <v>939</v>
      </c>
      <c r="D3755" t="str">
        <f>HYPERLINK("http://service.sap.com/sap/support/notes/1640710","1640710")</f>
        <v>1640710</v>
      </c>
      <c r="E3755">
        <v>1</v>
      </c>
      <c r="F3755" t="s">
        <v>5131</v>
      </c>
    </row>
    <row r="3756" spans="1:6" x14ac:dyDescent="0.25">
      <c r="A3756" t="s">
        <v>1522</v>
      </c>
      <c r="B3756" t="s">
        <v>5132</v>
      </c>
      <c r="C3756" t="s">
        <v>5133</v>
      </c>
    </row>
    <row r="3757" spans="1:6" x14ac:dyDescent="0.25">
      <c r="A3757" t="s">
        <v>1522</v>
      </c>
      <c r="B3757" t="s">
        <v>5134</v>
      </c>
      <c r="C3757" t="s">
        <v>5135</v>
      </c>
      <c r="D3757" t="str">
        <f>HYPERLINK("http://service.sap.com/sap/support/notes/1644914","1644914")</f>
        <v>1644914</v>
      </c>
      <c r="E3757">
        <v>2</v>
      </c>
      <c r="F3757" t="s">
        <v>5136</v>
      </c>
    </row>
    <row r="3758" spans="1:6" x14ac:dyDescent="0.25">
      <c r="A3758" t="s">
        <v>1522</v>
      </c>
      <c r="B3758" t="s">
        <v>32</v>
      </c>
      <c r="C3758" t="s">
        <v>33</v>
      </c>
      <c r="D3758" t="str">
        <f>HYPERLINK("http://service.sap.com/sap/support/notes/1629025","1629025")</f>
        <v>1629025</v>
      </c>
      <c r="E3758">
        <v>1</v>
      </c>
      <c r="F3758" t="s">
        <v>5137</v>
      </c>
    </row>
    <row r="3759" spans="1:6" x14ac:dyDescent="0.25">
      <c r="A3759" t="s">
        <v>1522</v>
      </c>
      <c r="B3759" t="s">
        <v>5138</v>
      </c>
      <c r="C3759" t="s">
        <v>5139</v>
      </c>
    </row>
    <row r="3760" spans="1:6" x14ac:dyDescent="0.25">
      <c r="A3760" t="s">
        <v>1522</v>
      </c>
      <c r="B3760" t="s">
        <v>5140</v>
      </c>
      <c r="C3760" t="s">
        <v>651</v>
      </c>
      <c r="D3760" t="str">
        <f>HYPERLINK("http://service.sap.com/sap/support/notes/1616263","1616263")</f>
        <v>1616263</v>
      </c>
      <c r="E3760">
        <v>1</v>
      </c>
      <c r="F3760" t="s">
        <v>5141</v>
      </c>
    </row>
    <row r="3761" spans="1:6" x14ac:dyDescent="0.25">
      <c r="A3761" t="s">
        <v>1522</v>
      </c>
      <c r="B3761" t="s">
        <v>5142</v>
      </c>
      <c r="C3761" t="s">
        <v>5143</v>
      </c>
      <c r="D3761" t="str">
        <f>HYPERLINK("http://service.sap.com/sap/support/notes/1619557","1619557")</f>
        <v>1619557</v>
      </c>
      <c r="E3761">
        <v>3</v>
      </c>
      <c r="F3761" t="s">
        <v>5144</v>
      </c>
    </row>
    <row r="3762" spans="1:6" x14ac:dyDescent="0.25">
      <c r="A3762" t="s">
        <v>1522</v>
      </c>
      <c r="B3762" t="s">
        <v>1184</v>
      </c>
      <c r="C3762" t="s">
        <v>1185</v>
      </c>
      <c r="D3762" t="str">
        <f>HYPERLINK("http://service.sap.com/sap/support/notes/1670542","1670542")</f>
        <v>1670542</v>
      </c>
      <c r="E3762">
        <v>2</v>
      </c>
      <c r="F3762" t="s">
        <v>5145</v>
      </c>
    </row>
    <row r="3763" spans="1:6" x14ac:dyDescent="0.25">
      <c r="A3763" t="s">
        <v>1522</v>
      </c>
      <c r="B3763" t="s">
        <v>5146</v>
      </c>
      <c r="C3763" t="s">
        <v>5147</v>
      </c>
      <c r="D3763" t="str">
        <f>HYPERLINK("http://service.sap.com/sap/support/notes/1626799","1626799")</f>
        <v>1626799</v>
      </c>
      <c r="E3763">
        <v>1</v>
      </c>
      <c r="F3763" t="s">
        <v>5148</v>
      </c>
    </row>
    <row r="3764" spans="1:6" x14ac:dyDescent="0.25">
      <c r="A3764" t="s">
        <v>1522</v>
      </c>
      <c r="B3764" t="s">
        <v>5146</v>
      </c>
      <c r="C3764" t="s">
        <v>5147</v>
      </c>
      <c r="D3764" t="str">
        <f>HYPERLINK("http://service.sap.com/sap/support/notes/1633110","1633110")</f>
        <v>1633110</v>
      </c>
      <c r="E3764">
        <v>1</v>
      </c>
      <c r="F3764" t="s">
        <v>5149</v>
      </c>
    </row>
    <row r="3765" spans="1:6" x14ac:dyDescent="0.25">
      <c r="A3765" t="s">
        <v>1522</v>
      </c>
      <c r="B3765" t="s">
        <v>5146</v>
      </c>
      <c r="C3765" t="s">
        <v>5147</v>
      </c>
      <c r="D3765" t="str">
        <f>HYPERLINK("http://service.sap.com/sap/support/notes/1648342","1648342")</f>
        <v>1648342</v>
      </c>
      <c r="E3765">
        <v>1</v>
      </c>
      <c r="F3765" t="s">
        <v>5150</v>
      </c>
    </row>
    <row r="3766" spans="1:6" x14ac:dyDescent="0.25">
      <c r="A3766" t="s">
        <v>1522</v>
      </c>
      <c r="B3766" t="s">
        <v>5151</v>
      </c>
      <c r="C3766" t="s">
        <v>5133</v>
      </c>
    </row>
    <row r="3767" spans="1:6" x14ac:dyDescent="0.25">
      <c r="A3767" t="s">
        <v>1522</v>
      </c>
      <c r="B3767" t="s">
        <v>5152</v>
      </c>
      <c r="C3767" t="s">
        <v>5153</v>
      </c>
      <c r="D3767" t="str">
        <f>HYPERLINK("http://service.sap.com/sap/support/notes/1633263","1633263")</f>
        <v>1633263</v>
      </c>
      <c r="E3767">
        <v>2</v>
      </c>
      <c r="F3767" t="s">
        <v>5154</v>
      </c>
    </row>
    <row r="3768" spans="1:6" x14ac:dyDescent="0.25">
      <c r="A3768" t="s">
        <v>1522</v>
      </c>
      <c r="B3768" t="s">
        <v>5155</v>
      </c>
      <c r="C3768" t="s">
        <v>5156</v>
      </c>
      <c r="D3768" t="str">
        <f>HYPERLINK("http://service.sap.com/sap/support/notes/1611742","1611742")</f>
        <v>1611742</v>
      </c>
      <c r="E3768">
        <v>4</v>
      </c>
      <c r="F3768" t="s">
        <v>5157</v>
      </c>
    </row>
    <row r="3769" spans="1:6" x14ac:dyDescent="0.25">
      <c r="A3769" t="s">
        <v>1522</v>
      </c>
      <c r="B3769" t="s">
        <v>34</v>
      </c>
      <c r="C3769" t="s">
        <v>14</v>
      </c>
      <c r="D3769" t="str">
        <f>HYPERLINK("http://service.sap.com/sap/support/notes/1648367","1648367")</f>
        <v>1648367</v>
      </c>
      <c r="E3769">
        <v>1</v>
      </c>
      <c r="F3769" t="s">
        <v>5158</v>
      </c>
    </row>
    <row r="3770" spans="1:6" x14ac:dyDescent="0.25">
      <c r="A3770" t="s">
        <v>1522</v>
      </c>
      <c r="B3770" t="s">
        <v>35</v>
      </c>
      <c r="C3770" t="s">
        <v>1187</v>
      </c>
      <c r="D3770" t="str">
        <f>HYPERLINK("http://service.sap.com/sap/support/notes/1598830","1598830")</f>
        <v>1598830</v>
      </c>
      <c r="E3770">
        <v>5</v>
      </c>
      <c r="F3770" t="s">
        <v>5159</v>
      </c>
    </row>
    <row r="3771" spans="1:6" x14ac:dyDescent="0.25">
      <c r="A3771" t="s">
        <v>1522</v>
      </c>
      <c r="B3771" t="s">
        <v>35</v>
      </c>
      <c r="C3771" t="s">
        <v>1187</v>
      </c>
      <c r="D3771" t="str">
        <f>HYPERLINK("http://service.sap.com/sap/support/notes/1622323","1622323")</f>
        <v>1622323</v>
      </c>
      <c r="E3771">
        <v>2</v>
      </c>
      <c r="F3771" t="s">
        <v>5160</v>
      </c>
    </row>
    <row r="3772" spans="1:6" x14ac:dyDescent="0.25">
      <c r="A3772" t="s">
        <v>1522</v>
      </c>
      <c r="B3772" t="s">
        <v>35</v>
      </c>
      <c r="C3772" t="s">
        <v>1187</v>
      </c>
      <c r="D3772" t="str">
        <f>HYPERLINK("http://service.sap.com/sap/support/notes/1624229","1624229")</f>
        <v>1624229</v>
      </c>
      <c r="E3772">
        <v>2</v>
      </c>
      <c r="F3772" t="s">
        <v>5161</v>
      </c>
    </row>
    <row r="3773" spans="1:6" x14ac:dyDescent="0.25">
      <c r="A3773" t="s">
        <v>1522</v>
      </c>
      <c r="B3773" t="s">
        <v>35</v>
      </c>
      <c r="C3773" t="s">
        <v>1187</v>
      </c>
      <c r="D3773" t="str">
        <f>HYPERLINK("http://service.sap.com/sap/support/notes/1629069","1629069")</f>
        <v>1629069</v>
      </c>
      <c r="E3773">
        <v>3</v>
      </c>
      <c r="F3773" t="s">
        <v>5162</v>
      </c>
    </row>
    <row r="3774" spans="1:6" x14ac:dyDescent="0.25">
      <c r="A3774" t="s">
        <v>1522</v>
      </c>
      <c r="B3774" t="s">
        <v>35</v>
      </c>
      <c r="C3774" t="s">
        <v>1187</v>
      </c>
      <c r="D3774" t="str">
        <f>HYPERLINK("http://service.sap.com/sap/support/notes/1633004","1633004")</f>
        <v>1633004</v>
      </c>
      <c r="E3774">
        <v>3</v>
      </c>
      <c r="F3774" t="s">
        <v>5163</v>
      </c>
    </row>
    <row r="3775" spans="1:6" x14ac:dyDescent="0.25">
      <c r="A3775" t="s">
        <v>1522</v>
      </c>
      <c r="B3775" t="s">
        <v>35</v>
      </c>
      <c r="C3775" t="s">
        <v>1187</v>
      </c>
      <c r="D3775" t="str">
        <f>HYPERLINK("http://service.sap.com/sap/support/notes/1635245","1635245")</f>
        <v>1635245</v>
      </c>
      <c r="E3775">
        <v>1</v>
      </c>
      <c r="F3775" t="s">
        <v>5164</v>
      </c>
    </row>
    <row r="3776" spans="1:6" x14ac:dyDescent="0.25">
      <c r="A3776" t="s">
        <v>1522</v>
      </c>
      <c r="B3776" t="s">
        <v>35</v>
      </c>
      <c r="C3776" t="s">
        <v>1187</v>
      </c>
      <c r="D3776" t="str">
        <f>HYPERLINK("http://service.sap.com/sap/support/notes/1637200","1637200")</f>
        <v>1637200</v>
      </c>
      <c r="E3776">
        <v>1</v>
      </c>
      <c r="F3776" t="s">
        <v>5165</v>
      </c>
    </row>
    <row r="3777" spans="1:6" x14ac:dyDescent="0.25">
      <c r="A3777" t="s">
        <v>1522</v>
      </c>
      <c r="B3777" t="s">
        <v>35</v>
      </c>
      <c r="C3777" t="s">
        <v>1187</v>
      </c>
      <c r="D3777" t="str">
        <f>HYPERLINK("http://service.sap.com/sap/support/notes/1639956","1639956")</f>
        <v>1639956</v>
      </c>
      <c r="E3777">
        <v>1</v>
      </c>
      <c r="F3777" t="s">
        <v>5166</v>
      </c>
    </row>
    <row r="3778" spans="1:6" x14ac:dyDescent="0.25">
      <c r="A3778" t="s">
        <v>1522</v>
      </c>
      <c r="B3778" t="s">
        <v>35</v>
      </c>
      <c r="C3778" t="s">
        <v>1187</v>
      </c>
      <c r="D3778" t="str">
        <f>HYPERLINK("http://service.sap.com/sap/support/notes/1641016","1641016")</f>
        <v>1641016</v>
      </c>
      <c r="E3778">
        <v>1</v>
      </c>
      <c r="F3778" t="s">
        <v>5167</v>
      </c>
    </row>
    <row r="3779" spans="1:6" x14ac:dyDescent="0.25">
      <c r="A3779" t="s">
        <v>1522</v>
      </c>
      <c r="B3779" t="s">
        <v>35</v>
      </c>
      <c r="C3779" t="s">
        <v>1187</v>
      </c>
      <c r="D3779" t="str">
        <f>HYPERLINK("http://service.sap.com/sap/support/notes/1641550","1641550")</f>
        <v>1641550</v>
      </c>
      <c r="E3779">
        <v>1</v>
      </c>
      <c r="F3779" t="s">
        <v>5168</v>
      </c>
    </row>
    <row r="3780" spans="1:6" x14ac:dyDescent="0.25">
      <c r="A3780" t="s">
        <v>1522</v>
      </c>
      <c r="B3780" t="s">
        <v>35</v>
      </c>
      <c r="C3780" t="s">
        <v>1187</v>
      </c>
      <c r="D3780" t="str">
        <f>HYPERLINK("http://service.sap.com/sap/support/notes/1641574","1641574")</f>
        <v>1641574</v>
      </c>
      <c r="E3780">
        <v>1</v>
      </c>
      <c r="F3780" t="s">
        <v>5169</v>
      </c>
    </row>
    <row r="3781" spans="1:6" x14ac:dyDescent="0.25">
      <c r="A3781" t="s">
        <v>1522</v>
      </c>
      <c r="B3781" t="s">
        <v>35</v>
      </c>
      <c r="C3781" t="s">
        <v>1187</v>
      </c>
      <c r="D3781" t="str">
        <f>HYPERLINK("http://service.sap.com/sap/support/notes/1642110","1642110")</f>
        <v>1642110</v>
      </c>
      <c r="E3781">
        <v>2</v>
      </c>
      <c r="F3781" t="s">
        <v>5170</v>
      </c>
    </row>
    <row r="3782" spans="1:6" x14ac:dyDescent="0.25">
      <c r="A3782" t="s">
        <v>1522</v>
      </c>
      <c r="B3782" t="s">
        <v>35</v>
      </c>
      <c r="C3782" t="s">
        <v>1187</v>
      </c>
      <c r="D3782" t="str">
        <f>HYPERLINK("http://service.sap.com/sap/support/notes/1647340","1647340")</f>
        <v>1647340</v>
      </c>
      <c r="E3782">
        <v>1</v>
      </c>
      <c r="F3782" t="s">
        <v>5171</v>
      </c>
    </row>
    <row r="3783" spans="1:6" x14ac:dyDescent="0.25">
      <c r="A3783" t="s">
        <v>1522</v>
      </c>
      <c r="B3783" t="s">
        <v>35</v>
      </c>
      <c r="C3783" t="s">
        <v>1187</v>
      </c>
      <c r="D3783" t="str">
        <f>HYPERLINK("http://service.sap.com/sap/support/notes/1647665","1647665")</f>
        <v>1647665</v>
      </c>
      <c r="E3783">
        <v>1</v>
      </c>
      <c r="F3783" t="s">
        <v>5172</v>
      </c>
    </row>
    <row r="3784" spans="1:6" x14ac:dyDescent="0.25">
      <c r="A3784" t="s">
        <v>1522</v>
      </c>
      <c r="B3784" t="s">
        <v>35</v>
      </c>
      <c r="C3784" t="s">
        <v>1187</v>
      </c>
      <c r="D3784" t="str">
        <f>HYPERLINK("http://service.sap.com/sap/support/notes/1647732","1647732")</f>
        <v>1647732</v>
      </c>
      <c r="E3784">
        <v>3</v>
      </c>
      <c r="F3784" t="s">
        <v>5173</v>
      </c>
    </row>
    <row r="3785" spans="1:6" x14ac:dyDescent="0.25">
      <c r="A3785" t="s">
        <v>1522</v>
      </c>
      <c r="B3785" t="s">
        <v>35</v>
      </c>
      <c r="C3785" t="s">
        <v>1187</v>
      </c>
      <c r="D3785" t="str">
        <f>HYPERLINK("http://service.sap.com/sap/support/notes/1647783","1647783")</f>
        <v>1647783</v>
      </c>
      <c r="E3785">
        <v>2</v>
      </c>
      <c r="F3785" t="s">
        <v>5174</v>
      </c>
    </row>
    <row r="3786" spans="1:6" x14ac:dyDescent="0.25">
      <c r="A3786" t="s">
        <v>1522</v>
      </c>
      <c r="B3786" t="s">
        <v>35</v>
      </c>
      <c r="C3786" t="s">
        <v>1187</v>
      </c>
      <c r="D3786" t="str">
        <f>HYPERLINK("http://service.sap.com/sap/support/notes/1649843","1649843")</f>
        <v>1649843</v>
      </c>
      <c r="E3786">
        <v>1</v>
      </c>
      <c r="F3786" t="s">
        <v>5175</v>
      </c>
    </row>
    <row r="3787" spans="1:6" x14ac:dyDescent="0.25">
      <c r="A3787" t="s">
        <v>1522</v>
      </c>
      <c r="B3787" t="s">
        <v>35</v>
      </c>
      <c r="C3787" t="s">
        <v>1187</v>
      </c>
      <c r="D3787" t="str">
        <f>HYPERLINK("http://service.sap.com/sap/support/notes/1650795","1650795")</f>
        <v>1650795</v>
      </c>
      <c r="E3787">
        <v>1</v>
      </c>
      <c r="F3787" t="s">
        <v>5176</v>
      </c>
    </row>
    <row r="3788" spans="1:6" x14ac:dyDescent="0.25">
      <c r="A3788" t="s">
        <v>1522</v>
      </c>
      <c r="B3788" t="s">
        <v>35</v>
      </c>
      <c r="C3788" t="s">
        <v>1187</v>
      </c>
      <c r="D3788" t="str">
        <f>HYPERLINK("http://service.sap.com/sap/support/notes/1651921","1651921")</f>
        <v>1651921</v>
      </c>
      <c r="E3788">
        <v>1</v>
      </c>
      <c r="F3788" t="s">
        <v>5177</v>
      </c>
    </row>
    <row r="3789" spans="1:6" x14ac:dyDescent="0.25">
      <c r="A3789" t="s">
        <v>1522</v>
      </c>
      <c r="B3789" t="s">
        <v>35</v>
      </c>
      <c r="C3789" t="s">
        <v>1187</v>
      </c>
      <c r="D3789" t="str">
        <f>HYPERLINK("http://service.sap.com/sap/support/notes/1651967","1651967")</f>
        <v>1651967</v>
      </c>
      <c r="E3789">
        <v>3</v>
      </c>
      <c r="F3789" t="s">
        <v>5178</v>
      </c>
    </row>
    <row r="3790" spans="1:6" x14ac:dyDescent="0.25">
      <c r="A3790" t="s">
        <v>1522</v>
      </c>
      <c r="B3790" t="s">
        <v>35</v>
      </c>
      <c r="C3790" t="s">
        <v>1187</v>
      </c>
      <c r="D3790" t="str">
        <f>HYPERLINK("http://service.sap.com/sap/support/notes/1655877","1655877")</f>
        <v>1655877</v>
      </c>
      <c r="E3790">
        <v>1</v>
      </c>
      <c r="F3790" t="s">
        <v>5179</v>
      </c>
    </row>
    <row r="3791" spans="1:6" x14ac:dyDescent="0.25">
      <c r="A3791" t="s">
        <v>1522</v>
      </c>
      <c r="B3791" t="s">
        <v>35</v>
      </c>
      <c r="C3791" t="s">
        <v>1187</v>
      </c>
      <c r="D3791" t="str">
        <f>HYPERLINK("http://service.sap.com/sap/support/notes/1657821","1657821")</f>
        <v>1657821</v>
      </c>
      <c r="E3791">
        <v>1</v>
      </c>
      <c r="F3791" t="s">
        <v>5180</v>
      </c>
    </row>
    <row r="3792" spans="1:6" x14ac:dyDescent="0.25">
      <c r="A3792" t="s">
        <v>1522</v>
      </c>
      <c r="B3792" t="s">
        <v>35</v>
      </c>
      <c r="C3792" t="s">
        <v>1187</v>
      </c>
      <c r="D3792" t="str">
        <f>HYPERLINK("http://service.sap.com/sap/support/notes/1662125","1662125")</f>
        <v>1662125</v>
      </c>
      <c r="E3792">
        <v>1</v>
      </c>
      <c r="F3792" t="s">
        <v>5181</v>
      </c>
    </row>
    <row r="3793" spans="1:6" x14ac:dyDescent="0.25">
      <c r="A3793" t="s">
        <v>1522</v>
      </c>
      <c r="B3793" t="s">
        <v>35</v>
      </c>
      <c r="C3793" t="s">
        <v>1187</v>
      </c>
      <c r="D3793" t="str">
        <f>HYPERLINK("http://service.sap.com/sap/support/notes/1662668","1662668")</f>
        <v>1662668</v>
      </c>
      <c r="E3793">
        <v>1</v>
      </c>
      <c r="F3793" t="s">
        <v>5182</v>
      </c>
    </row>
    <row r="3794" spans="1:6" x14ac:dyDescent="0.25">
      <c r="A3794" t="s">
        <v>1522</v>
      </c>
      <c r="B3794" t="s">
        <v>35</v>
      </c>
      <c r="C3794" t="s">
        <v>1187</v>
      </c>
      <c r="D3794" t="str">
        <f>HYPERLINK("http://service.sap.com/sap/support/notes/1665803","1665803")</f>
        <v>1665803</v>
      </c>
      <c r="E3794">
        <v>2</v>
      </c>
      <c r="F3794" t="s">
        <v>5183</v>
      </c>
    </row>
    <row r="3795" spans="1:6" x14ac:dyDescent="0.25">
      <c r="A3795" t="s">
        <v>1522</v>
      </c>
      <c r="B3795" t="s">
        <v>35</v>
      </c>
      <c r="C3795" t="s">
        <v>1187</v>
      </c>
      <c r="D3795" t="str">
        <f>HYPERLINK("http://service.sap.com/sap/support/notes/1668628","1668628")</f>
        <v>1668628</v>
      </c>
      <c r="E3795">
        <v>2</v>
      </c>
      <c r="F3795" t="s">
        <v>5184</v>
      </c>
    </row>
    <row r="3796" spans="1:6" x14ac:dyDescent="0.25">
      <c r="A3796" t="s">
        <v>1522</v>
      </c>
      <c r="B3796" t="s">
        <v>35</v>
      </c>
      <c r="C3796" t="s">
        <v>1187</v>
      </c>
      <c r="D3796" t="str">
        <f>HYPERLINK("http://service.sap.com/sap/support/notes/1670749","1670749")</f>
        <v>1670749</v>
      </c>
      <c r="E3796">
        <v>1</v>
      </c>
      <c r="F3796" t="s">
        <v>5185</v>
      </c>
    </row>
    <row r="3797" spans="1:6" x14ac:dyDescent="0.25">
      <c r="A3797" t="s">
        <v>1522</v>
      </c>
      <c r="B3797" t="s">
        <v>35</v>
      </c>
      <c r="C3797" t="s">
        <v>1187</v>
      </c>
      <c r="D3797" t="str">
        <f>HYPERLINK("http://service.sap.com/sap/support/notes/1670824","1670824")</f>
        <v>1670824</v>
      </c>
      <c r="E3797">
        <v>3</v>
      </c>
      <c r="F3797" t="s">
        <v>5186</v>
      </c>
    </row>
    <row r="3798" spans="1:6" x14ac:dyDescent="0.25">
      <c r="A3798" t="s">
        <v>1522</v>
      </c>
      <c r="B3798" t="s">
        <v>35</v>
      </c>
      <c r="C3798" t="s">
        <v>1187</v>
      </c>
      <c r="D3798" t="str">
        <f>HYPERLINK("http://service.sap.com/sap/support/notes/1672295","1672295")</f>
        <v>1672295</v>
      </c>
      <c r="E3798">
        <v>1</v>
      </c>
      <c r="F3798" t="s">
        <v>5187</v>
      </c>
    </row>
    <row r="3799" spans="1:6" x14ac:dyDescent="0.25">
      <c r="A3799" t="s">
        <v>1522</v>
      </c>
      <c r="B3799" t="s">
        <v>5188</v>
      </c>
      <c r="C3799" t="s">
        <v>5189</v>
      </c>
      <c r="D3799" t="str">
        <f>HYPERLINK("http://service.sap.com/sap/support/notes/1643876","1643876")</f>
        <v>1643876</v>
      </c>
      <c r="E3799">
        <v>1</v>
      </c>
      <c r="F3799" t="s">
        <v>5190</v>
      </c>
    </row>
    <row r="3800" spans="1:6" x14ac:dyDescent="0.25">
      <c r="A3800" t="s">
        <v>1522</v>
      </c>
      <c r="B3800" t="s">
        <v>5191</v>
      </c>
      <c r="C3800" t="s">
        <v>5192</v>
      </c>
      <c r="D3800" t="str">
        <f>HYPERLINK("http://service.sap.com/sap/support/notes/1655261","1655261")</f>
        <v>1655261</v>
      </c>
      <c r="E3800">
        <v>1</v>
      </c>
      <c r="F3800" t="s">
        <v>5193</v>
      </c>
    </row>
    <row r="3801" spans="1:6" x14ac:dyDescent="0.25">
      <c r="A3801" t="s">
        <v>1522</v>
      </c>
      <c r="B3801" t="s">
        <v>5194</v>
      </c>
      <c r="C3801" t="s">
        <v>5195</v>
      </c>
      <c r="D3801" t="str">
        <f>HYPERLINK("http://service.sap.com/sap/support/notes/1617420","1617420")</f>
        <v>1617420</v>
      </c>
      <c r="E3801">
        <v>1</v>
      </c>
      <c r="F3801" t="s">
        <v>5196</v>
      </c>
    </row>
    <row r="3802" spans="1:6" x14ac:dyDescent="0.25">
      <c r="A3802" t="s">
        <v>1522</v>
      </c>
      <c r="B3802" t="s">
        <v>5197</v>
      </c>
      <c r="C3802" t="s">
        <v>5198</v>
      </c>
      <c r="D3802" t="str">
        <f>HYPERLINK("http://service.sap.com/sap/support/notes/1631060","1631060")</f>
        <v>1631060</v>
      </c>
      <c r="E3802">
        <v>2</v>
      </c>
      <c r="F3802" t="s">
        <v>5199</v>
      </c>
    </row>
    <row r="3803" spans="1:6" x14ac:dyDescent="0.25">
      <c r="A3803" t="s">
        <v>1522</v>
      </c>
      <c r="B3803" t="s">
        <v>5200</v>
      </c>
      <c r="C3803" t="s">
        <v>5201</v>
      </c>
      <c r="D3803" t="str">
        <f>HYPERLINK("http://service.sap.com/sap/support/notes/1660083","1660083")</f>
        <v>1660083</v>
      </c>
      <c r="E3803">
        <v>1</v>
      </c>
      <c r="F3803" t="s">
        <v>5202</v>
      </c>
    </row>
    <row r="3804" spans="1:6" x14ac:dyDescent="0.25">
      <c r="A3804" t="s">
        <v>1522</v>
      </c>
      <c r="B3804" t="s">
        <v>5203</v>
      </c>
      <c r="C3804" t="s">
        <v>5204</v>
      </c>
      <c r="D3804" t="str">
        <f>HYPERLINK("http://service.sap.com/sap/support/notes/1635067","1635067")</f>
        <v>1635067</v>
      </c>
      <c r="E3804">
        <v>2</v>
      </c>
      <c r="F3804" t="s">
        <v>5205</v>
      </c>
    </row>
    <row r="3805" spans="1:6" x14ac:dyDescent="0.25">
      <c r="A3805" t="s">
        <v>1522</v>
      </c>
      <c r="B3805" t="s">
        <v>5203</v>
      </c>
      <c r="C3805" t="s">
        <v>5204</v>
      </c>
      <c r="D3805" t="str">
        <f>HYPERLINK("http://service.sap.com/sap/support/notes/1662981","1662981")</f>
        <v>1662981</v>
      </c>
      <c r="E3805">
        <v>1</v>
      </c>
      <c r="F3805" t="s">
        <v>5206</v>
      </c>
    </row>
    <row r="3806" spans="1:6" x14ac:dyDescent="0.25">
      <c r="A3806" t="s">
        <v>1522</v>
      </c>
      <c r="B3806" t="s">
        <v>5207</v>
      </c>
      <c r="C3806" t="s">
        <v>5208</v>
      </c>
      <c r="D3806" t="str">
        <f>HYPERLINK("http://service.sap.com/sap/support/notes/1544227","1544227")</f>
        <v>1544227</v>
      </c>
      <c r="E3806">
        <v>5</v>
      </c>
      <c r="F3806" t="s">
        <v>5209</v>
      </c>
    </row>
    <row r="3807" spans="1:6" x14ac:dyDescent="0.25">
      <c r="A3807" t="s">
        <v>1522</v>
      </c>
      <c r="B3807" t="s">
        <v>5207</v>
      </c>
      <c r="C3807" t="s">
        <v>5208</v>
      </c>
      <c r="D3807" t="str">
        <f>HYPERLINK("http://service.sap.com/sap/support/notes/1623728","1623728")</f>
        <v>1623728</v>
      </c>
      <c r="E3807">
        <v>2</v>
      </c>
      <c r="F3807" t="s">
        <v>5210</v>
      </c>
    </row>
    <row r="3808" spans="1:6" x14ac:dyDescent="0.25">
      <c r="A3808" t="s">
        <v>1522</v>
      </c>
      <c r="B3808" t="s">
        <v>5207</v>
      </c>
      <c r="C3808" t="s">
        <v>5208</v>
      </c>
      <c r="D3808" t="str">
        <f>HYPERLINK("http://service.sap.com/sap/support/notes/1627000","1627000")</f>
        <v>1627000</v>
      </c>
      <c r="E3808">
        <v>3</v>
      </c>
      <c r="F3808" t="s">
        <v>5211</v>
      </c>
    </row>
    <row r="3809" spans="1:6" x14ac:dyDescent="0.25">
      <c r="A3809" t="s">
        <v>1522</v>
      </c>
      <c r="B3809" t="s">
        <v>5207</v>
      </c>
      <c r="C3809" t="s">
        <v>5208</v>
      </c>
      <c r="D3809" t="str">
        <f>HYPERLINK("http://service.sap.com/sap/support/notes/1628392","1628392")</f>
        <v>1628392</v>
      </c>
      <c r="E3809">
        <v>2</v>
      </c>
      <c r="F3809" t="s">
        <v>5212</v>
      </c>
    </row>
    <row r="3810" spans="1:6" x14ac:dyDescent="0.25">
      <c r="A3810" t="s">
        <v>1522</v>
      </c>
      <c r="B3810" t="s">
        <v>5207</v>
      </c>
      <c r="C3810" t="s">
        <v>5208</v>
      </c>
      <c r="D3810" t="str">
        <f>HYPERLINK("http://service.sap.com/sap/support/notes/1628678","1628678")</f>
        <v>1628678</v>
      </c>
      <c r="E3810">
        <v>2</v>
      </c>
      <c r="F3810" t="s">
        <v>5213</v>
      </c>
    </row>
    <row r="3811" spans="1:6" x14ac:dyDescent="0.25">
      <c r="A3811" t="s">
        <v>1522</v>
      </c>
      <c r="B3811" t="s">
        <v>5207</v>
      </c>
      <c r="C3811" t="s">
        <v>5208</v>
      </c>
      <c r="D3811" t="str">
        <f>HYPERLINK("http://service.sap.com/sap/support/notes/1635595","1635595")</f>
        <v>1635595</v>
      </c>
      <c r="E3811">
        <v>1</v>
      </c>
      <c r="F3811" t="s">
        <v>5214</v>
      </c>
    </row>
    <row r="3812" spans="1:6" x14ac:dyDescent="0.25">
      <c r="A3812" t="s">
        <v>1522</v>
      </c>
      <c r="B3812" t="s">
        <v>5215</v>
      </c>
      <c r="C3812" t="s">
        <v>961</v>
      </c>
      <c r="D3812" t="str">
        <f>HYPERLINK("http://service.sap.com/sap/support/notes/1606128","1606128")</f>
        <v>1606128</v>
      </c>
      <c r="E3812">
        <v>2</v>
      </c>
      <c r="F3812" t="s">
        <v>5216</v>
      </c>
    </row>
    <row r="3813" spans="1:6" x14ac:dyDescent="0.25">
      <c r="A3813" t="s">
        <v>1522</v>
      </c>
      <c r="B3813" t="s">
        <v>5215</v>
      </c>
      <c r="C3813" t="s">
        <v>961</v>
      </c>
      <c r="D3813" t="str">
        <f>HYPERLINK("http://service.sap.com/sap/support/notes/1618266","1618266")</f>
        <v>1618266</v>
      </c>
      <c r="E3813">
        <v>3</v>
      </c>
      <c r="F3813" t="s">
        <v>5217</v>
      </c>
    </row>
    <row r="3814" spans="1:6" x14ac:dyDescent="0.25">
      <c r="A3814" t="s">
        <v>1522</v>
      </c>
      <c r="B3814" t="s">
        <v>5215</v>
      </c>
      <c r="C3814" t="s">
        <v>961</v>
      </c>
      <c r="D3814" t="str">
        <f>HYPERLINK("http://service.sap.com/sap/support/notes/1641681","1641681")</f>
        <v>1641681</v>
      </c>
      <c r="E3814">
        <v>2</v>
      </c>
      <c r="F3814" t="s">
        <v>5218</v>
      </c>
    </row>
    <row r="3815" spans="1:6" x14ac:dyDescent="0.25">
      <c r="A3815" t="s">
        <v>1522</v>
      </c>
      <c r="B3815" t="s">
        <v>5219</v>
      </c>
      <c r="C3815" t="s">
        <v>614</v>
      </c>
      <c r="D3815" t="str">
        <f>HYPERLINK("http://service.sap.com/sap/support/notes/1614904","1614904")</f>
        <v>1614904</v>
      </c>
      <c r="E3815">
        <v>3</v>
      </c>
      <c r="F3815" t="s">
        <v>5220</v>
      </c>
    </row>
    <row r="3816" spans="1:6" x14ac:dyDescent="0.25">
      <c r="A3816" t="s">
        <v>1522</v>
      </c>
      <c r="B3816" t="s">
        <v>5221</v>
      </c>
      <c r="C3816" t="s">
        <v>5222</v>
      </c>
      <c r="D3816" t="str">
        <f>HYPERLINK("http://service.sap.com/sap/support/notes/952164","952164")</f>
        <v>952164</v>
      </c>
      <c r="E3816">
        <v>3</v>
      </c>
      <c r="F3816" t="s">
        <v>5223</v>
      </c>
    </row>
    <row r="3817" spans="1:6" x14ac:dyDescent="0.25">
      <c r="A3817" t="s">
        <v>1522</v>
      </c>
      <c r="B3817" t="s">
        <v>5221</v>
      </c>
      <c r="C3817" t="s">
        <v>5222</v>
      </c>
      <c r="D3817" t="str">
        <f>HYPERLINK("http://service.sap.com/sap/support/notes/1596667","1596667")</f>
        <v>1596667</v>
      </c>
      <c r="E3817">
        <v>4</v>
      </c>
      <c r="F3817" t="s">
        <v>5224</v>
      </c>
    </row>
    <row r="3818" spans="1:6" x14ac:dyDescent="0.25">
      <c r="A3818" t="s">
        <v>1522</v>
      </c>
      <c r="B3818" t="s">
        <v>5225</v>
      </c>
      <c r="C3818" t="s">
        <v>170</v>
      </c>
      <c r="D3818" t="str">
        <f>HYPERLINK("http://service.sap.com/sap/support/notes/1562605","1562605")</f>
        <v>1562605</v>
      </c>
      <c r="E3818">
        <v>4</v>
      </c>
      <c r="F3818" t="s">
        <v>5226</v>
      </c>
    </row>
    <row r="3819" spans="1:6" x14ac:dyDescent="0.25">
      <c r="A3819" t="s">
        <v>1522</v>
      </c>
      <c r="B3819" t="s">
        <v>5225</v>
      </c>
      <c r="C3819" t="s">
        <v>170</v>
      </c>
      <c r="D3819" t="str">
        <f>HYPERLINK("http://service.sap.com/sap/support/notes/1583279","1583279")</f>
        <v>1583279</v>
      </c>
      <c r="E3819">
        <v>3</v>
      </c>
      <c r="F3819" t="s">
        <v>5227</v>
      </c>
    </row>
    <row r="3820" spans="1:6" x14ac:dyDescent="0.25">
      <c r="A3820" t="s">
        <v>1522</v>
      </c>
      <c r="B3820" t="s">
        <v>5225</v>
      </c>
      <c r="C3820" t="s">
        <v>170</v>
      </c>
      <c r="D3820" t="str">
        <f>HYPERLINK("http://service.sap.com/sap/support/notes/1648833","1648833")</f>
        <v>1648833</v>
      </c>
      <c r="E3820">
        <v>4</v>
      </c>
      <c r="F3820" t="s">
        <v>5228</v>
      </c>
    </row>
    <row r="3821" spans="1:6" x14ac:dyDescent="0.25">
      <c r="A3821" t="s">
        <v>1522</v>
      </c>
      <c r="B3821" t="s">
        <v>5225</v>
      </c>
      <c r="C3821" t="s">
        <v>170</v>
      </c>
      <c r="D3821" t="str">
        <f>HYPERLINK("http://service.sap.com/sap/support/notes/1654328","1654328")</f>
        <v>1654328</v>
      </c>
      <c r="E3821">
        <v>2</v>
      </c>
      <c r="F3821" t="s">
        <v>5229</v>
      </c>
    </row>
    <row r="3822" spans="1:6" x14ac:dyDescent="0.25">
      <c r="A3822" t="s">
        <v>1522</v>
      </c>
      <c r="B3822" t="s">
        <v>5225</v>
      </c>
      <c r="C3822" t="s">
        <v>170</v>
      </c>
      <c r="D3822" t="str">
        <f>HYPERLINK("http://service.sap.com/sap/support/notes/1665532","1665532")</f>
        <v>1665532</v>
      </c>
      <c r="E3822">
        <v>1</v>
      </c>
      <c r="F3822" t="s">
        <v>5230</v>
      </c>
    </row>
    <row r="3823" spans="1:6" x14ac:dyDescent="0.25">
      <c r="A3823" t="s">
        <v>1522</v>
      </c>
      <c r="B3823" t="s">
        <v>5231</v>
      </c>
      <c r="C3823" t="s">
        <v>5232</v>
      </c>
      <c r="D3823" t="str">
        <f>HYPERLINK("http://service.sap.com/sap/support/notes/1607567","1607567")</f>
        <v>1607567</v>
      </c>
      <c r="E3823">
        <v>4</v>
      </c>
      <c r="F3823" t="s">
        <v>5233</v>
      </c>
    </row>
    <row r="3824" spans="1:6" x14ac:dyDescent="0.25">
      <c r="A3824" t="s">
        <v>1522</v>
      </c>
      <c r="B3824" t="s">
        <v>1201</v>
      </c>
      <c r="C3824" t="s">
        <v>14</v>
      </c>
    </row>
    <row r="3825" spans="1:6" x14ac:dyDescent="0.25">
      <c r="A3825" t="s">
        <v>1522</v>
      </c>
      <c r="B3825" t="s">
        <v>1202</v>
      </c>
      <c r="C3825" t="s">
        <v>1187</v>
      </c>
      <c r="D3825" t="str">
        <f>HYPERLINK("http://service.sap.com/sap/support/notes/1645727","1645727")</f>
        <v>1645727</v>
      </c>
      <c r="E3825">
        <v>1</v>
      </c>
      <c r="F3825" t="s">
        <v>5234</v>
      </c>
    </row>
    <row r="3826" spans="1:6" x14ac:dyDescent="0.25">
      <c r="A3826" t="s">
        <v>1522</v>
      </c>
      <c r="B3826" t="s">
        <v>1202</v>
      </c>
      <c r="C3826" t="s">
        <v>1187</v>
      </c>
      <c r="D3826" t="str">
        <f>HYPERLINK("http://service.sap.com/sap/support/notes/1650973","1650973")</f>
        <v>1650973</v>
      </c>
      <c r="E3826">
        <v>4</v>
      </c>
      <c r="F3826" t="s">
        <v>5235</v>
      </c>
    </row>
    <row r="3827" spans="1:6" x14ac:dyDescent="0.25">
      <c r="A3827" t="s">
        <v>1522</v>
      </c>
      <c r="B3827" t="s">
        <v>1216</v>
      </c>
      <c r="C3827" t="s">
        <v>1217</v>
      </c>
    </row>
    <row r="3828" spans="1:6" x14ac:dyDescent="0.25">
      <c r="A3828" t="s">
        <v>1522</v>
      </c>
      <c r="B3828" t="s">
        <v>1218</v>
      </c>
      <c r="C3828" t="s">
        <v>1219</v>
      </c>
      <c r="D3828" t="str">
        <f>HYPERLINK("http://service.sap.com/sap/support/notes/797775","797775")</f>
        <v>797775</v>
      </c>
      <c r="E3828">
        <v>1</v>
      </c>
      <c r="F3828" t="s">
        <v>5236</v>
      </c>
    </row>
    <row r="3829" spans="1:6" x14ac:dyDescent="0.25">
      <c r="A3829" t="s">
        <v>1522</v>
      </c>
      <c r="B3829" t="s">
        <v>1218</v>
      </c>
      <c r="C3829" t="s">
        <v>1219</v>
      </c>
      <c r="D3829" t="str">
        <f>HYPERLINK("http://service.sap.com/sap/support/notes/1531034","1531034")</f>
        <v>1531034</v>
      </c>
      <c r="E3829">
        <v>3</v>
      </c>
      <c r="F3829" t="s">
        <v>5237</v>
      </c>
    </row>
    <row r="3830" spans="1:6" x14ac:dyDescent="0.25">
      <c r="A3830" t="s">
        <v>1522</v>
      </c>
      <c r="B3830" t="s">
        <v>1218</v>
      </c>
      <c r="C3830" t="s">
        <v>1219</v>
      </c>
      <c r="D3830" t="str">
        <f>HYPERLINK("http://service.sap.com/sap/support/notes/1603391","1603391")</f>
        <v>1603391</v>
      </c>
      <c r="E3830">
        <v>3</v>
      </c>
      <c r="F3830" t="s">
        <v>5238</v>
      </c>
    </row>
    <row r="3831" spans="1:6" x14ac:dyDescent="0.25">
      <c r="A3831" t="s">
        <v>1522</v>
      </c>
      <c r="B3831" t="s">
        <v>1218</v>
      </c>
      <c r="C3831" t="s">
        <v>1219</v>
      </c>
      <c r="D3831" t="str">
        <f>HYPERLINK("http://service.sap.com/sap/support/notes/1605227","1605227")</f>
        <v>1605227</v>
      </c>
      <c r="E3831">
        <v>3</v>
      </c>
      <c r="F3831" t="s">
        <v>5239</v>
      </c>
    </row>
    <row r="3832" spans="1:6" x14ac:dyDescent="0.25">
      <c r="A3832" t="s">
        <v>1522</v>
      </c>
      <c r="B3832" t="s">
        <v>1218</v>
      </c>
      <c r="C3832" t="s">
        <v>1219</v>
      </c>
      <c r="D3832" t="str">
        <f>HYPERLINK("http://service.sap.com/sap/support/notes/1611190","1611190")</f>
        <v>1611190</v>
      </c>
      <c r="E3832">
        <v>1</v>
      </c>
      <c r="F3832" t="s">
        <v>5240</v>
      </c>
    </row>
    <row r="3833" spans="1:6" x14ac:dyDescent="0.25">
      <c r="A3833" t="s">
        <v>1522</v>
      </c>
      <c r="B3833" t="s">
        <v>1218</v>
      </c>
      <c r="C3833" t="s">
        <v>1219</v>
      </c>
      <c r="D3833" t="str">
        <f>HYPERLINK("http://service.sap.com/sap/support/notes/1612028","1612028")</f>
        <v>1612028</v>
      </c>
      <c r="E3833">
        <v>4</v>
      </c>
      <c r="F3833" t="s">
        <v>5241</v>
      </c>
    </row>
    <row r="3834" spans="1:6" x14ac:dyDescent="0.25">
      <c r="A3834" t="s">
        <v>1522</v>
      </c>
      <c r="B3834" t="s">
        <v>1218</v>
      </c>
      <c r="C3834" t="s">
        <v>1219</v>
      </c>
      <c r="D3834" t="str">
        <f>HYPERLINK("http://service.sap.com/sap/support/notes/1612032","1612032")</f>
        <v>1612032</v>
      </c>
      <c r="E3834">
        <v>3</v>
      </c>
      <c r="F3834" t="s">
        <v>5242</v>
      </c>
    </row>
    <row r="3835" spans="1:6" x14ac:dyDescent="0.25">
      <c r="A3835" t="s">
        <v>1522</v>
      </c>
      <c r="B3835" t="s">
        <v>1218</v>
      </c>
      <c r="C3835" t="s">
        <v>1219</v>
      </c>
      <c r="D3835" t="str">
        <f>HYPERLINK("http://service.sap.com/sap/support/notes/1622815","1622815")</f>
        <v>1622815</v>
      </c>
      <c r="E3835">
        <v>3</v>
      </c>
      <c r="F3835" t="s">
        <v>5243</v>
      </c>
    </row>
    <row r="3836" spans="1:6" x14ac:dyDescent="0.25">
      <c r="A3836" t="s">
        <v>1522</v>
      </c>
      <c r="B3836" t="s">
        <v>1218</v>
      </c>
      <c r="C3836" t="s">
        <v>1219</v>
      </c>
      <c r="D3836" t="str">
        <f>HYPERLINK("http://service.sap.com/sap/support/notes/1633513","1633513")</f>
        <v>1633513</v>
      </c>
      <c r="E3836">
        <v>2</v>
      </c>
      <c r="F3836" t="s">
        <v>5244</v>
      </c>
    </row>
    <row r="3837" spans="1:6" x14ac:dyDescent="0.25">
      <c r="A3837" t="s">
        <v>1522</v>
      </c>
      <c r="B3837" t="s">
        <v>1218</v>
      </c>
      <c r="C3837" t="s">
        <v>1219</v>
      </c>
      <c r="D3837" t="str">
        <f>HYPERLINK("http://service.sap.com/sap/support/notes/1634357","1634357")</f>
        <v>1634357</v>
      </c>
      <c r="E3837">
        <v>2</v>
      </c>
      <c r="F3837" t="s">
        <v>5245</v>
      </c>
    </row>
    <row r="3838" spans="1:6" x14ac:dyDescent="0.25">
      <c r="A3838" t="s">
        <v>1522</v>
      </c>
      <c r="B3838" t="s">
        <v>1218</v>
      </c>
      <c r="C3838" t="s">
        <v>1219</v>
      </c>
      <c r="D3838" t="str">
        <f>HYPERLINK("http://service.sap.com/sap/support/notes/1634541","1634541")</f>
        <v>1634541</v>
      </c>
      <c r="E3838">
        <v>2</v>
      </c>
      <c r="F3838" t="s">
        <v>5246</v>
      </c>
    </row>
    <row r="3839" spans="1:6" x14ac:dyDescent="0.25">
      <c r="A3839" t="s">
        <v>1522</v>
      </c>
      <c r="B3839" t="s">
        <v>1218</v>
      </c>
      <c r="C3839" t="s">
        <v>1219</v>
      </c>
      <c r="D3839" t="str">
        <f>HYPERLINK("http://service.sap.com/sap/support/notes/1634860","1634860")</f>
        <v>1634860</v>
      </c>
      <c r="E3839">
        <v>4</v>
      </c>
      <c r="F3839" t="s">
        <v>5247</v>
      </c>
    </row>
    <row r="3840" spans="1:6" x14ac:dyDescent="0.25">
      <c r="A3840" t="s">
        <v>1522</v>
      </c>
      <c r="B3840" t="s">
        <v>1218</v>
      </c>
      <c r="C3840" t="s">
        <v>1219</v>
      </c>
      <c r="D3840" t="str">
        <f>HYPERLINK("http://service.sap.com/sap/support/notes/1637393","1637393")</f>
        <v>1637393</v>
      </c>
      <c r="E3840">
        <v>2</v>
      </c>
      <c r="F3840" t="s">
        <v>5248</v>
      </c>
    </row>
    <row r="3841" spans="1:6" x14ac:dyDescent="0.25">
      <c r="A3841" t="s">
        <v>1522</v>
      </c>
      <c r="B3841" t="s">
        <v>1218</v>
      </c>
      <c r="C3841" t="s">
        <v>1219</v>
      </c>
      <c r="D3841" t="str">
        <f>HYPERLINK("http://service.sap.com/sap/support/notes/1638975","1638975")</f>
        <v>1638975</v>
      </c>
      <c r="E3841">
        <v>2</v>
      </c>
      <c r="F3841" t="s">
        <v>5249</v>
      </c>
    </row>
    <row r="3842" spans="1:6" x14ac:dyDescent="0.25">
      <c r="A3842" t="s">
        <v>1522</v>
      </c>
      <c r="B3842" t="s">
        <v>1218</v>
      </c>
      <c r="C3842" t="s">
        <v>1219</v>
      </c>
      <c r="D3842" t="str">
        <f>HYPERLINK("http://service.sap.com/sap/support/notes/1640065","1640065")</f>
        <v>1640065</v>
      </c>
      <c r="E3842">
        <v>3</v>
      </c>
      <c r="F3842" t="s">
        <v>5250</v>
      </c>
    </row>
    <row r="3843" spans="1:6" x14ac:dyDescent="0.25">
      <c r="A3843" t="s">
        <v>1522</v>
      </c>
      <c r="B3843" t="s">
        <v>1218</v>
      </c>
      <c r="C3843" t="s">
        <v>1219</v>
      </c>
      <c r="D3843" t="str">
        <f>HYPERLINK("http://service.sap.com/sap/support/notes/1641647","1641647")</f>
        <v>1641647</v>
      </c>
      <c r="E3843">
        <v>1</v>
      </c>
      <c r="F3843" t="s">
        <v>5251</v>
      </c>
    </row>
    <row r="3844" spans="1:6" x14ac:dyDescent="0.25">
      <c r="A3844" t="s">
        <v>1522</v>
      </c>
      <c r="B3844" t="s">
        <v>1218</v>
      </c>
      <c r="C3844" t="s">
        <v>1219</v>
      </c>
      <c r="D3844" t="str">
        <f>HYPERLINK("http://service.sap.com/sap/support/notes/1643957","1643957")</f>
        <v>1643957</v>
      </c>
      <c r="E3844">
        <v>1</v>
      </c>
      <c r="F3844" t="s">
        <v>5252</v>
      </c>
    </row>
    <row r="3845" spans="1:6" x14ac:dyDescent="0.25">
      <c r="A3845" t="s">
        <v>1522</v>
      </c>
      <c r="B3845" t="s">
        <v>1218</v>
      </c>
      <c r="C3845" t="s">
        <v>1219</v>
      </c>
      <c r="D3845" t="str">
        <f>HYPERLINK("http://service.sap.com/sap/support/notes/1646002","1646002")</f>
        <v>1646002</v>
      </c>
      <c r="E3845">
        <v>2</v>
      </c>
      <c r="F3845" t="s">
        <v>5253</v>
      </c>
    </row>
    <row r="3846" spans="1:6" x14ac:dyDescent="0.25">
      <c r="A3846" t="s">
        <v>1522</v>
      </c>
      <c r="B3846" t="s">
        <v>1218</v>
      </c>
      <c r="C3846" t="s">
        <v>1219</v>
      </c>
      <c r="D3846" t="str">
        <f>HYPERLINK("http://service.sap.com/sap/support/notes/1647386","1647386")</f>
        <v>1647386</v>
      </c>
      <c r="E3846">
        <v>1</v>
      </c>
      <c r="F3846" t="s">
        <v>5254</v>
      </c>
    </row>
    <row r="3847" spans="1:6" x14ac:dyDescent="0.25">
      <c r="A3847" t="s">
        <v>1522</v>
      </c>
      <c r="B3847" t="s">
        <v>1218</v>
      </c>
      <c r="C3847" t="s">
        <v>1219</v>
      </c>
      <c r="D3847" t="str">
        <f>HYPERLINK("http://service.sap.com/sap/support/notes/1649805","1649805")</f>
        <v>1649805</v>
      </c>
      <c r="E3847">
        <v>1</v>
      </c>
      <c r="F3847" t="s">
        <v>5255</v>
      </c>
    </row>
    <row r="3848" spans="1:6" x14ac:dyDescent="0.25">
      <c r="A3848" t="s">
        <v>1522</v>
      </c>
      <c r="B3848" t="s">
        <v>1218</v>
      </c>
      <c r="C3848" t="s">
        <v>1219</v>
      </c>
      <c r="D3848" t="str">
        <f>HYPERLINK("http://service.sap.com/sap/support/notes/1655605","1655605")</f>
        <v>1655605</v>
      </c>
      <c r="E3848">
        <v>1</v>
      </c>
      <c r="F3848" t="s">
        <v>5256</v>
      </c>
    </row>
    <row r="3849" spans="1:6" x14ac:dyDescent="0.25">
      <c r="A3849" t="s">
        <v>1522</v>
      </c>
      <c r="B3849" t="s">
        <v>1218</v>
      </c>
      <c r="C3849" t="s">
        <v>1219</v>
      </c>
      <c r="D3849" t="str">
        <f>HYPERLINK("http://service.sap.com/sap/support/notes/1667515","1667515")</f>
        <v>1667515</v>
      </c>
      <c r="E3849">
        <v>1</v>
      </c>
      <c r="F3849" t="s">
        <v>5257</v>
      </c>
    </row>
    <row r="3850" spans="1:6" x14ac:dyDescent="0.25">
      <c r="A3850" t="s">
        <v>1522</v>
      </c>
      <c r="B3850" t="s">
        <v>1218</v>
      </c>
      <c r="C3850" t="s">
        <v>1219</v>
      </c>
      <c r="D3850" t="str">
        <f>HYPERLINK("http://service.sap.com/sap/support/notes/1668383","1668383")</f>
        <v>1668383</v>
      </c>
      <c r="E3850">
        <v>2</v>
      </c>
      <c r="F3850" t="s">
        <v>5258</v>
      </c>
    </row>
    <row r="3851" spans="1:6" x14ac:dyDescent="0.25">
      <c r="A3851" t="s">
        <v>1522</v>
      </c>
      <c r="B3851" t="s">
        <v>1218</v>
      </c>
      <c r="C3851" t="s">
        <v>1219</v>
      </c>
      <c r="D3851" t="str">
        <f>HYPERLINK("http://service.sap.com/sap/support/notes/1671437","1671437")</f>
        <v>1671437</v>
      </c>
      <c r="E3851">
        <v>1</v>
      </c>
      <c r="F3851" t="s">
        <v>5259</v>
      </c>
    </row>
    <row r="3852" spans="1:6" x14ac:dyDescent="0.25">
      <c r="A3852" t="s">
        <v>1522</v>
      </c>
      <c r="B3852" t="s">
        <v>5260</v>
      </c>
      <c r="C3852" t="s">
        <v>33</v>
      </c>
      <c r="D3852" t="str">
        <f>HYPERLINK("http://service.sap.com/sap/support/notes/1595802","1595802")</f>
        <v>1595802</v>
      </c>
      <c r="E3852">
        <v>3</v>
      </c>
      <c r="F3852" t="s">
        <v>5261</v>
      </c>
    </row>
    <row r="3853" spans="1:6" x14ac:dyDescent="0.25">
      <c r="A3853" t="s">
        <v>1522</v>
      </c>
      <c r="B3853" t="s">
        <v>5260</v>
      </c>
      <c r="C3853" t="s">
        <v>33</v>
      </c>
      <c r="D3853" t="str">
        <f>HYPERLINK("http://service.sap.com/sap/support/notes/1622341","1622341")</f>
        <v>1622341</v>
      </c>
      <c r="E3853">
        <v>3</v>
      </c>
      <c r="F3853" t="s">
        <v>5262</v>
      </c>
    </row>
    <row r="3854" spans="1:6" x14ac:dyDescent="0.25">
      <c r="A3854" t="s">
        <v>1522</v>
      </c>
      <c r="B3854" t="s">
        <v>5260</v>
      </c>
      <c r="C3854" t="s">
        <v>33</v>
      </c>
      <c r="D3854" t="str">
        <f>HYPERLINK("http://service.sap.com/sap/support/notes/1634989","1634989")</f>
        <v>1634989</v>
      </c>
      <c r="E3854">
        <v>2</v>
      </c>
      <c r="F3854" t="s">
        <v>5263</v>
      </c>
    </row>
    <row r="3855" spans="1:6" x14ac:dyDescent="0.25">
      <c r="A3855" t="s">
        <v>1522</v>
      </c>
      <c r="B3855" t="s">
        <v>5260</v>
      </c>
      <c r="C3855" t="s">
        <v>33</v>
      </c>
      <c r="D3855" t="str">
        <f>HYPERLINK("http://service.sap.com/sap/support/notes/1637724","1637724")</f>
        <v>1637724</v>
      </c>
      <c r="E3855">
        <v>2</v>
      </c>
      <c r="F3855" t="s">
        <v>5264</v>
      </c>
    </row>
    <row r="3856" spans="1:6" x14ac:dyDescent="0.25">
      <c r="A3856" t="s">
        <v>1522</v>
      </c>
      <c r="B3856" t="s">
        <v>5260</v>
      </c>
      <c r="C3856" t="s">
        <v>33</v>
      </c>
      <c r="D3856" t="str">
        <f>HYPERLINK("http://service.sap.com/sap/support/notes/1646294","1646294")</f>
        <v>1646294</v>
      </c>
      <c r="E3856">
        <v>1</v>
      </c>
      <c r="F3856" t="s">
        <v>5265</v>
      </c>
    </row>
    <row r="3857" spans="1:6" x14ac:dyDescent="0.25">
      <c r="A3857" t="s">
        <v>1522</v>
      </c>
      <c r="B3857" t="s">
        <v>5260</v>
      </c>
      <c r="C3857" t="s">
        <v>33</v>
      </c>
      <c r="D3857" t="str">
        <f>HYPERLINK("http://service.sap.com/sap/support/notes/1647505","1647505")</f>
        <v>1647505</v>
      </c>
      <c r="E3857">
        <v>1</v>
      </c>
      <c r="F3857" t="s">
        <v>5266</v>
      </c>
    </row>
    <row r="3858" spans="1:6" x14ac:dyDescent="0.25">
      <c r="A3858" t="s">
        <v>1522</v>
      </c>
      <c r="B3858" t="s">
        <v>5260</v>
      </c>
      <c r="C3858" t="s">
        <v>33</v>
      </c>
      <c r="D3858" t="str">
        <f>HYPERLINK("http://service.sap.com/sap/support/notes/1655875","1655875")</f>
        <v>1655875</v>
      </c>
      <c r="E3858">
        <v>2</v>
      </c>
      <c r="F3858" t="s">
        <v>5267</v>
      </c>
    </row>
    <row r="3859" spans="1:6" x14ac:dyDescent="0.25">
      <c r="A3859" t="s">
        <v>1522</v>
      </c>
      <c r="B3859" t="s">
        <v>5260</v>
      </c>
      <c r="C3859" t="s">
        <v>33</v>
      </c>
      <c r="D3859" t="str">
        <f>HYPERLINK("http://service.sap.com/sap/support/notes/1660622","1660622")</f>
        <v>1660622</v>
      </c>
      <c r="E3859">
        <v>1</v>
      </c>
      <c r="F3859" t="s">
        <v>5267</v>
      </c>
    </row>
    <row r="3860" spans="1:6" x14ac:dyDescent="0.25">
      <c r="A3860" t="s">
        <v>1522</v>
      </c>
      <c r="B3860" t="s">
        <v>5260</v>
      </c>
      <c r="C3860" t="s">
        <v>33</v>
      </c>
      <c r="D3860" t="str">
        <f>HYPERLINK("http://service.sap.com/sap/support/notes/1670630","1670630")</f>
        <v>1670630</v>
      </c>
      <c r="E3860">
        <v>4</v>
      </c>
      <c r="F3860" t="s">
        <v>5268</v>
      </c>
    </row>
    <row r="3861" spans="1:6" x14ac:dyDescent="0.25">
      <c r="A3861" t="s">
        <v>1522</v>
      </c>
      <c r="B3861" t="s">
        <v>1224</v>
      </c>
      <c r="C3861" t="s">
        <v>1225</v>
      </c>
      <c r="D3861" t="str">
        <f>HYPERLINK("http://service.sap.com/sap/support/notes/1575007","1575007")</f>
        <v>1575007</v>
      </c>
      <c r="E3861">
        <v>6</v>
      </c>
      <c r="F3861" t="s">
        <v>5269</v>
      </c>
    </row>
    <row r="3862" spans="1:6" x14ac:dyDescent="0.25">
      <c r="A3862" t="s">
        <v>1522</v>
      </c>
      <c r="B3862" t="s">
        <v>1227</v>
      </c>
      <c r="C3862" t="s">
        <v>1228</v>
      </c>
    </row>
    <row r="3863" spans="1:6" x14ac:dyDescent="0.25">
      <c r="A3863" t="s">
        <v>1522</v>
      </c>
      <c r="B3863" t="s">
        <v>1232</v>
      </c>
      <c r="C3863" t="s">
        <v>1233</v>
      </c>
      <c r="D3863" t="str">
        <f>HYPERLINK("http://service.sap.com/sap/support/notes/1457558","1457558")</f>
        <v>1457558</v>
      </c>
      <c r="E3863">
        <v>4</v>
      </c>
      <c r="F3863" t="s">
        <v>5270</v>
      </c>
    </row>
    <row r="3864" spans="1:6" x14ac:dyDescent="0.25">
      <c r="A3864" t="s">
        <v>1522</v>
      </c>
      <c r="B3864" t="s">
        <v>1232</v>
      </c>
      <c r="C3864" t="s">
        <v>1233</v>
      </c>
      <c r="D3864" t="str">
        <f>HYPERLINK("http://service.sap.com/sap/support/notes/1618202","1618202")</f>
        <v>1618202</v>
      </c>
      <c r="E3864">
        <v>2</v>
      </c>
      <c r="F3864" t="s">
        <v>5271</v>
      </c>
    </row>
    <row r="3865" spans="1:6" x14ac:dyDescent="0.25">
      <c r="A3865" t="s">
        <v>1522</v>
      </c>
      <c r="B3865" t="s">
        <v>1232</v>
      </c>
      <c r="C3865" t="s">
        <v>1233</v>
      </c>
      <c r="D3865" t="str">
        <f>HYPERLINK("http://service.sap.com/sap/support/notes/1627486","1627486")</f>
        <v>1627486</v>
      </c>
      <c r="E3865">
        <v>2</v>
      </c>
      <c r="F3865" t="s">
        <v>5272</v>
      </c>
    </row>
    <row r="3866" spans="1:6" x14ac:dyDescent="0.25">
      <c r="A3866" t="s">
        <v>1522</v>
      </c>
      <c r="B3866" t="s">
        <v>1232</v>
      </c>
      <c r="C3866" t="s">
        <v>1233</v>
      </c>
      <c r="D3866" t="str">
        <f>HYPERLINK("http://service.sap.com/sap/support/notes/1647154","1647154")</f>
        <v>1647154</v>
      </c>
      <c r="E3866">
        <v>1</v>
      </c>
      <c r="F3866" t="s">
        <v>5273</v>
      </c>
    </row>
    <row r="3867" spans="1:6" x14ac:dyDescent="0.25">
      <c r="A3867" t="s">
        <v>1522</v>
      </c>
      <c r="B3867" t="s">
        <v>1232</v>
      </c>
      <c r="C3867" t="s">
        <v>1233</v>
      </c>
      <c r="D3867" t="str">
        <f>HYPERLINK("http://service.sap.com/sap/support/notes/1654611","1654611")</f>
        <v>1654611</v>
      </c>
      <c r="E3867">
        <v>2</v>
      </c>
      <c r="F3867" t="s">
        <v>5274</v>
      </c>
    </row>
    <row r="3868" spans="1:6" x14ac:dyDescent="0.25">
      <c r="A3868" t="s">
        <v>1522</v>
      </c>
      <c r="B3868" t="s">
        <v>1232</v>
      </c>
      <c r="C3868" t="s">
        <v>1233</v>
      </c>
      <c r="D3868" t="str">
        <f>HYPERLINK("http://service.sap.com/sap/support/notes/1659439","1659439")</f>
        <v>1659439</v>
      </c>
      <c r="E3868">
        <v>1</v>
      </c>
      <c r="F3868" t="s">
        <v>5275</v>
      </c>
    </row>
    <row r="3869" spans="1:6" x14ac:dyDescent="0.25">
      <c r="A3869" t="s">
        <v>1522</v>
      </c>
      <c r="B3869" t="s">
        <v>1232</v>
      </c>
      <c r="C3869" t="s">
        <v>1233</v>
      </c>
      <c r="D3869" t="str">
        <f>HYPERLINK("http://service.sap.com/sap/support/notes/1660518","1660518")</f>
        <v>1660518</v>
      </c>
      <c r="E3869">
        <v>1</v>
      </c>
      <c r="F3869" t="s">
        <v>5276</v>
      </c>
    </row>
    <row r="3870" spans="1:6" x14ac:dyDescent="0.25">
      <c r="A3870" t="s">
        <v>1522</v>
      </c>
      <c r="B3870" t="s">
        <v>1232</v>
      </c>
      <c r="C3870" t="s">
        <v>1233</v>
      </c>
      <c r="D3870" t="str">
        <f>HYPERLINK("http://service.sap.com/sap/support/notes/1665037","1665037")</f>
        <v>1665037</v>
      </c>
      <c r="E3870">
        <v>3</v>
      </c>
      <c r="F3870" t="s">
        <v>5277</v>
      </c>
    </row>
    <row r="3871" spans="1:6" x14ac:dyDescent="0.25">
      <c r="A3871" t="s">
        <v>1522</v>
      </c>
      <c r="B3871" t="s">
        <v>1232</v>
      </c>
      <c r="C3871" t="s">
        <v>1233</v>
      </c>
      <c r="D3871" t="str">
        <f>HYPERLINK("http://service.sap.com/sap/support/notes/1669522","1669522")</f>
        <v>1669522</v>
      </c>
      <c r="E3871">
        <v>2</v>
      </c>
      <c r="F3871" t="s">
        <v>5278</v>
      </c>
    </row>
    <row r="3872" spans="1:6" x14ac:dyDescent="0.25">
      <c r="A3872" t="s">
        <v>1522</v>
      </c>
      <c r="B3872" t="s">
        <v>5279</v>
      </c>
      <c r="C3872" t="s">
        <v>5280</v>
      </c>
      <c r="D3872" t="str">
        <f>HYPERLINK("http://service.sap.com/sap/support/notes/1619268","1619268")</f>
        <v>1619268</v>
      </c>
      <c r="E3872">
        <v>4</v>
      </c>
      <c r="F3872" t="s">
        <v>5281</v>
      </c>
    </row>
    <row r="3873" spans="1:6" x14ac:dyDescent="0.25">
      <c r="A3873" t="s">
        <v>1522</v>
      </c>
      <c r="B3873" t="s">
        <v>1236</v>
      </c>
      <c r="C3873" t="s">
        <v>168</v>
      </c>
    </row>
    <row r="3874" spans="1:6" x14ac:dyDescent="0.25">
      <c r="A3874" t="s">
        <v>1522</v>
      </c>
      <c r="B3874" t="s">
        <v>1237</v>
      </c>
      <c r="C3874" t="s">
        <v>337</v>
      </c>
    </row>
    <row r="3875" spans="1:6" x14ac:dyDescent="0.25">
      <c r="A3875" t="s">
        <v>1522</v>
      </c>
      <c r="B3875" t="s">
        <v>1238</v>
      </c>
      <c r="C3875" t="s">
        <v>1239</v>
      </c>
      <c r="D3875" t="str">
        <f>HYPERLINK("http://service.sap.com/sap/support/notes/826218","826218")</f>
        <v>826218</v>
      </c>
      <c r="E3875">
        <v>5</v>
      </c>
      <c r="F3875" t="s">
        <v>5282</v>
      </c>
    </row>
    <row r="3876" spans="1:6" x14ac:dyDescent="0.25">
      <c r="A3876" t="s">
        <v>1522</v>
      </c>
      <c r="B3876" t="s">
        <v>1238</v>
      </c>
      <c r="C3876" t="s">
        <v>1239</v>
      </c>
      <c r="D3876" t="str">
        <f>HYPERLINK("http://service.sap.com/sap/support/notes/1023578","1023578")</f>
        <v>1023578</v>
      </c>
      <c r="E3876">
        <v>4</v>
      </c>
      <c r="F3876" t="s">
        <v>5283</v>
      </c>
    </row>
    <row r="3877" spans="1:6" x14ac:dyDescent="0.25">
      <c r="A3877" t="s">
        <v>1522</v>
      </c>
      <c r="B3877" t="s">
        <v>1238</v>
      </c>
      <c r="C3877" t="s">
        <v>1239</v>
      </c>
      <c r="D3877" t="str">
        <f>HYPERLINK("http://service.sap.com/sap/support/notes/1434755","1434755")</f>
        <v>1434755</v>
      </c>
      <c r="E3877">
        <v>2</v>
      </c>
      <c r="F3877" t="s">
        <v>5284</v>
      </c>
    </row>
    <row r="3878" spans="1:6" x14ac:dyDescent="0.25">
      <c r="A3878" t="s">
        <v>1522</v>
      </c>
      <c r="B3878" t="s">
        <v>1238</v>
      </c>
      <c r="C3878" t="s">
        <v>1239</v>
      </c>
      <c r="D3878" t="str">
        <f>HYPERLINK("http://service.sap.com/sap/support/notes/1546038","1546038")</f>
        <v>1546038</v>
      </c>
      <c r="E3878">
        <v>3</v>
      </c>
      <c r="F3878" t="s">
        <v>5285</v>
      </c>
    </row>
    <row r="3879" spans="1:6" x14ac:dyDescent="0.25">
      <c r="A3879" t="s">
        <v>1522</v>
      </c>
      <c r="B3879" t="s">
        <v>1238</v>
      </c>
      <c r="C3879" t="s">
        <v>1239</v>
      </c>
      <c r="D3879" t="str">
        <f>HYPERLINK("http://service.sap.com/sap/support/notes/1546703","1546703")</f>
        <v>1546703</v>
      </c>
      <c r="E3879">
        <v>3</v>
      </c>
      <c r="F3879" t="s">
        <v>5286</v>
      </c>
    </row>
    <row r="3880" spans="1:6" x14ac:dyDescent="0.25">
      <c r="A3880" t="s">
        <v>1522</v>
      </c>
      <c r="B3880" t="s">
        <v>1238</v>
      </c>
      <c r="C3880" t="s">
        <v>1239</v>
      </c>
      <c r="D3880" t="str">
        <f>HYPERLINK("http://service.sap.com/sap/support/notes/1607807","1607807")</f>
        <v>1607807</v>
      </c>
      <c r="E3880">
        <v>1</v>
      </c>
      <c r="F3880" t="s">
        <v>5287</v>
      </c>
    </row>
    <row r="3881" spans="1:6" x14ac:dyDescent="0.25">
      <c r="A3881" t="s">
        <v>1522</v>
      </c>
      <c r="B3881" t="s">
        <v>1238</v>
      </c>
      <c r="C3881" t="s">
        <v>1239</v>
      </c>
      <c r="D3881" t="str">
        <f>HYPERLINK("http://service.sap.com/sap/support/notes/1612249","1612249")</f>
        <v>1612249</v>
      </c>
      <c r="E3881">
        <v>4</v>
      </c>
      <c r="F3881" t="s">
        <v>5288</v>
      </c>
    </row>
    <row r="3882" spans="1:6" x14ac:dyDescent="0.25">
      <c r="A3882" t="s">
        <v>1522</v>
      </c>
      <c r="B3882" t="s">
        <v>1238</v>
      </c>
      <c r="C3882" t="s">
        <v>1239</v>
      </c>
      <c r="D3882" t="str">
        <f>HYPERLINK("http://service.sap.com/sap/support/notes/1619810","1619810")</f>
        <v>1619810</v>
      </c>
      <c r="E3882">
        <v>7</v>
      </c>
      <c r="F3882" t="s">
        <v>5289</v>
      </c>
    </row>
    <row r="3883" spans="1:6" x14ac:dyDescent="0.25">
      <c r="A3883" t="s">
        <v>1522</v>
      </c>
      <c r="B3883" t="s">
        <v>1238</v>
      </c>
      <c r="C3883" t="s">
        <v>1239</v>
      </c>
      <c r="D3883" t="str">
        <f>HYPERLINK("http://service.sap.com/sap/support/notes/1621565","1621565")</f>
        <v>1621565</v>
      </c>
      <c r="E3883">
        <v>2</v>
      </c>
      <c r="F3883" t="s">
        <v>5290</v>
      </c>
    </row>
    <row r="3884" spans="1:6" x14ac:dyDescent="0.25">
      <c r="A3884" t="s">
        <v>1522</v>
      </c>
      <c r="B3884" t="s">
        <v>1238</v>
      </c>
      <c r="C3884" t="s">
        <v>1239</v>
      </c>
      <c r="D3884" t="str">
        <f>HYPERLINK("http://service.sap.com/sap/support/notes/1633477","1633477")</f>
        <v>1633477</v>
      </c>
      <c r="E3884">
        <v>2</v>
      </c>
      <c r="F3884" t="s">
        <v>5291</v>
      </c>
    </row>
    <row r="3885" spans="1:6" x14ac:dyDescent="0.25">
      <c r="A3885" t="s">
        <v>1522</v>
      </c>
      <c r="B3885" t="s">
        <v>1238</v>
      </c>
      <c r="C3885" t="s">
        <v>1239</v>
      </c>
      <c r="D3885" t="str">
        <f>HYPERLINK("http://service.sap.com/sap/support/notes/1639364","1639364")</f>
        <v>1639364</v>
      </c>
      <c r="E3885">
        <v>3</v>
      </c>
      <c r="F3885" t="s">
        <v>5292</v>
      </c>
    </row>
    <row r="3886" spans="1:6" x14ac:dyDescent="0.25">
      <c r="A3886" t="s">
        <v>1522</v>
      </c>
      <c r="B3886" t="s">
        <v>1238</v>
      </c>
      <c r="C3886" t="s">
        <v>1239</v>
      </c>
      <c r="D3886" t="str">
        <f>HYPERLINK("http://service.sap.com/sap/support/notes/1639583","1639583")</f>
        <v>1639583</v>
      </c>
      <c r="E3886">
        <v>2</v>
      </c>
      <c r="F3886" t="s">
        <v>5293</v>
      </c>
    </row>
    <row r="3887" spans="1:6" x14ac:dyDescent="0.25">
      <c r="A3887" t="s">
        <v>1522</v>
      </c>
      <c r="B3887" t="s">
        <v>1238</v>
      </c>
      <c r="C3887" t="s">
        <v>1239</v>
      </c>
      <c r="D3887" t="str">
        <f>HYPERLINK("http://service.sap.com/sap/support/notes/1640754","1640754")</f>
        <v>1640754</v>
      </c>
      <c r="E3887">
        <v>2</v>
      </c>
      <c r="F3887" t="s">
        <v>5294</v>
      </c>
    </row>
    <row r="3888" spans="1:6" x14ac:dyDescent="0.25">
      <c r="A3888" t="s">
        <v>1522</v>
      </c>
      <c r="B3888" t="s">
        <v>1238</v>
      </c>
      <c r="C3888" t="s">
        <v>1239</v>
      </c>
      <c r="D3888" t="str">
        <f>HYPERLINK("http://service.sap.com/sap/support/notes/1660938","1660938")</f>
        <v>1660938</v>
      </c>
      <c r="E3888">
        <v>2</v>
      </c>
      <c r="F3888" t="s">
        <v>5295</v>
      </c>
    </row>
    <row r="3889" spans="1:6" x14ac:dyDescent="0.25">
      <c r="A3889" t="s">
        <v>1522</v>
      </c>
      <c r="B3889" t="s">
        <v>1243</v>
      </c>
      <c r="C3889" t="s">
        <v>1244</v>
      </c>
      <c r="D3889" t="str">
        <f>HYPERLINK("http://service.sap.com/sap/support/notes/1408304","1408304")</f>
        <v>1408304</v>
      </c>
      <c r="E3889">
        <v>3</v>
      </c>
      <c r="F3889" t="s">
        <v>5296</v>
      </c>
    </row>
    <row r="3890" spans="1:6" x14ac:dyDescent="0.25">
      <c r="A3890" t="s">
        <v>1522</v>
      </c>
      <c r="B3890" t="s">
        <v>1243</v>
      </c>
      <c r="C3890" t="s">
        <v>1244</v>
      </c>
      <c r="D3890" t="str">
        <f>HYPERLINK("http://service.sap.com/sap/support/notes/1458555","1458555")</f>
        <v>1458555</v>
      </c>
      <c r="E3890">
        <v>4</v>
      </c>
      <c r="F3890" t="s">
        <v>5297</v>
      </c>
    </row>
    <row r="3891" spans="1:6" x14ac:dyDescent="0.25">
      <c r="A3891" t="s">
        <v>1522</v>
      </c>
      <c r="B3891" t="s">
        <v>1243</v>
      </c>
      <c r="C3891" t="s">
        <v>1244</v>
      </c>
      <c r="D3891" t="str">
        <f>HYPERLINK("http://service.sap.com/sap/support/notes/1508417","1508417")</f>
        <v>1508417</v>
      </c>
      <c r="E3891">
        <v>9</v>
      </c>
      <c r="F3891" t="s">
        <v>5298</v>
      </c>
    </row>
    <row r="3892" spans="1:6" x14ac:dyDescent="0.25">
      <c r="A3892" t="s">
        <v>1522</v>
      </c>
      <c r="B3892" t="s">
        <v>1246</v>
      </c>
      <c r="C3892" t="s">
        <v>1247</v>
      </c>
      <c r="D3892" t="str">
        <f>HYPERLINK("http://service.sap.com/sap/support/notes/1636813","1636813")</f>
        <v>1636813</v>
      </c>
      <c r="E3892">
        <v>4</v>
      </c>
      <c r="F3892" t="s">
        <v>5299</v>
      </c>
    </row>
    <row r="3893" spans="1:6" x14ac:dyDescent="0.25">
      <c r="A3893" t="s">
        <v>1522</v>
      </c>
      <c r="B3893" t="s">
        <v>5300</v>
      </c>
      <c r="C3893" t="s">
        <v>5115</v>
      </c>
      <c r="D3893" t="str">
        <f>HYPERLINK("http://service.sap.com/sap/support/notes/1513620","1513620")</f>
        <v>1513620</v>
      </c>
      <c r="E3893">
        <v>3</v>
      </c>
      <c r="F3893" t="s">
        <v>5301</v>
      </c>
    </row>
    <row r="3894" spans="1:6" x14ac:dyDescent="0.25">
      <c r="A3894" t="s">
        <v>1522</v>
      </c>
      <c r="B3894" t="s">
        <v>5300</v>
      </c>
      <c r="C3894" t="s">
        <v>5115</v>
      </c>
      <c r="D3894" t="str">
        <f>HYPERLINK("http://service.sap.com/sap/support/notes/1664373","1664373")</f>
        <v>1664373</v>
      </c>
      <c r="E3894">
        <v>2</v>
      </c>
      <c r="F3894" t="s">
        <v>5302</v>
      </c>
    </row>
    <row r="3895" spans="1:6" x14ac:dyDescent="0.25">
      <c r="A3895" t="s">
        <v>1522</v>
      </c>
      <c r="B3895" t="s">
        <v>1249</v>
      </c>
      <c r="C3895" t="s">
        <v>563</v>
      </c>
      <c r="D3895" t="str">
        <f>HYPERLINK("http://service.sap.com/sap/support/notes/1621731","1621731")</f>
        <v>1621731</v>
      </c>
      <c r="E3895">
        <v>2</v>
      </c>
      <c r="F3895" t="s">
        <v>5303</v>
      </c>
    </row>
    <row r="3896" spans="1:6" x14ac:dyDescent="0.25">
      <c r="A3896" t="s">
        <v>1522</v>
      </c>
      <c r="B3896" t="s">
        <v>1249</v>
      </c>
      <c r="C3896" t="s">
        <v>563</v>
      </c>
      <c r="D3896" t="str">
        <f>HYPERLINK("http://service.sap.com/sap/support/notes/1635061","1635061")</f>
        <v>1635061</v>
      </c>
      <c r="E3896">
        <v>1</v>
      </c>
      <c r="F3896" t="s">
        <v>5304</v>
      </c>
    </row>
    <row r="3897" spans="1:6" x14ac:dyDescent="0.25">
      <c r="A3897" t="s">
        <v>1522</v>
      </c>
      <c r="B3897" t="s">
        <v>1249</v>
      </c>
      <c r="C3897" t="s">
        <v>563</v>
      </c>
      <c r="D3897" t="str">
        <f>HYPERLINK("http://service.sap.com/sap/support/notes/1658488","1658488")</f>
        <v>1658488</v>
      </c>
      <c r="E3897">
        <v>1</v>
      </c>
      <c r="F3897" t="s">
        <v>5305</v>
      </c>
    </row>
    <row r="3898" spans="1:6" x14ac:dyDescent="0.25">
      <c r="A3898" t="s">
        <v>1522</v>
      </c>
      <c r="B3898" t="s">
        <v>1254</v>
      </c>
      <c r="C3898" t="s">
        <v>1255</v>
      </c>
      <c r="D3898" t="str">
        <f>HYPERLINK("http://service.sap.com/sap/support/notes/1610178","1610178")</f>
        <v>1610178</v>
      </c>
      <c r="E3898">
        <v>1</v>
      </c>
      <c r="F3898" t="s">
        <v>1257</v>
      </c>
    </row>
    <row r="3899" spans="1:6" x14ac:dyDescent="0.25">
      <c r="A3899" t="s">
        <v>1522</v>
      </c>
      <c r="B3899" t="s">
        <v>1254</v>
      </c>
      <c r="C3899" t="s">
        <v>1255</v>
      </c>
      <c r="D3899" t="str">
        <f>HYPERLINK("http://service.sap.com/sap/support/notes/1629130","1629130")</f>
        <v>1629130</v>
      </c>
      <c r="E3899">
        <v>1</v>
      </c>
      <c r="F3899" t="s">
        <v>5306</v>
      </c>
    </row>
    <row r="3900" spans="1:6" x14ac:dyDescent="0.25">
      <c r="A3900" t="s">
        <v>1522</v>
      </c>
      <c r="B3900" t="s">
        <v>1254</v>
      </c>
      <c r="C3900" t="s">
        <v>1255</v>
      </c>
      <c r="D3900" t="str">
        <f>HYPERLINK("http://service.sap.com/sap/support/notes/1660543","1660543")</f>
        <v>1660543</v>
      </c>
      <c r="E3900">
        <v>1</v>
      </c>
      <c r="F3900" t="s">
        <v>5307</v>
      </c>
    </row>
    <row r="3901" spans="1:6" x14ac:dyDescent="0.25">
      <c r="A3901" t="s">
        <v>1522</v>
      </c>
      <c r="B3901" t="s">
        <v>5308</v>
      </c>
      <c r="C3901" t="s">
        <v>5309</v>
      </c>
      <c r="D3901" t="str">
        <f>HYPERLINK("http://service.sap.com/sap/support/notes/1619730","1619730")</f>
        <v>1619730</v>
      </c>
      <c r="E3901">
        <v>1</v>
      </c>
      <c r="F3901" t="s">
        <v>5310</v>
      </c>
    </row>
    <row r="3902" spans="1:6" x14ac:dyDescent="0.25">
      <c r="A3902" t="s">
        <v>1522</v>
      </c>
      <c r="B3902" t="s">
        <v>5311</v>
      </c>
      <c r="C3902" t="s">
        <v>3340</v>
      </c>
      <c r="D3902" t="str">
        <f>HYPERLINK("http://service.sap.com/sap/support/notes/1575514","1575514")</f>
        <v>1575514</v>
      </c>
      <c r="E3902">
        <v>3</v>
      </c>
      <c r="F3902" t="s">
        <v>5312</v>
      </c>
    </row>
    <row r="3903" spans="1:6" x14ac:dyDescent="0.25">
      <c r="A3903" t="s">
        <v>1522</v>
      </c>
      <c r="B3903" t="s">
        <v>5311</v>
      </c>
      <c r="C3903" t="s">
        <v>3340</v>
      </c>
      <c r="D3903" t="str">
        <f>HYPERLINK("http://service.sap.com/sap/support/notes/1629669","1629669")</f>
        <v>1629669</v>
      </c>
      <c r="E3903">
        <v>6</v>
      </c>
      <c r="F3903" t="s">
        <v>5313</v>
      </c>
    </row>
    <row r="3904" spans="1:6" x14ac:dyDescent="0.25">
      <c r="A3904" t="s">
        <v>1522</v>
      </c>
      <c r="B3904" t="s">
        <v>5311</v>
      </c>
      <c r="C3904" t="s">
        <v>3340</v>
      </c>
      <c r="D3904" t="str">
        <f>HYPERLINK("http://service.sap.com/sap/support/notes/1656736","1656736")</f>
        <v>1656736</v>
      </c>
      <c r="E3904">
        <v>1</v>
      </c>
      <c r="F3904" t="s">
        <v>5314</v>
      </c>
    </row>
    <row r="3905" spans="1:6" x14ac:dyDescent="0.25">
      <c r="A3905" t="s">
        <v>1522</v>
      </c>
      <c r="B3905" t="s">
        <v>5315</v>
      </c>
      <c r="C3905" t="s">
        <v>5316</v>
      </c>
      <c r="D3905" t="str">
        <f>HYPERLINK("http://service.sap.com/sap/support/notes/1579986","1579986")</f>
        <v>1579986</v>
      </c>
      <c r="E3905">
        <v>2</v>
      </c>
      <c r="F3905" t="s">
        <v>5317</v>
      </c>
    </row>
    <row r="3906" spans="1:6" x14ac:dyDescent="0.25">
      <c r="A3906" t="s">
        <v>1522</v>
      </c>
      <c r="B3906" t="s">
        <v>5315</v>
      </c>
      <c r="C3906" t="s">
        <v>5316</v>
      </c>
      <c r="D3906" t="str">
        <f>HYPERLINK("http://service.sap.com/sap/support/notes/1618786","1618786")</f>
        <v>1618786</v>
      </c>
      <c r="E3906">
        <v>2</v>
      </c>
      <c r="F3906" t="s">
        <v>5318</v>
      </c>
    </row>
    <row r="3907" spans="1:6" x14ac:dyDescent="0.25">
      <c r="A3907" t="s">
        <v>1522</v>
      </c>
      <c r="B3907" t="s">
        <v>5315</v>
      </c>
      <c r="C3907" t="s">
        <v>5316</v>
      </c>
      <c r="D3907" t="str">
        <f>HYPERLINK("http://service.sap.com/sap/support/notes/1640548","1640548")</f>
        <v>1640548</v>
      </c>
      <c r="E3907">
        <v>1</v>
      </c>
      <c r="F3907" t="s">
        <v>5319</v>
      </c>
    </row>
    <row r="3908" spans="1:6" x14ac:dyDescent="0.25">
      <c r="A3908" t="s">
        <v>1522</v>
      </c>
      <c r="B3908" t="s">
        <v>5320</v>
      </c>
      <c r="C3908" t="s">
        <v>22</v>
      </c>
      <c r="D3908" t="str">
        <f>HYPERLINK("http://service.sap.com/sap/support/notes/1357001","1357001")</f>
        <v>1357001</v>
      </c>
      <c r="E3908">
        <v>3</v>
      </c>
      <c r="F3908" t="s">
        <v>5321</v>
      </c>
    </row>
    <row r="3909" spans="1:6" x14ac:dyDescent="0.25">
      <c r="A3909" t="s">
        <v>1522</v>
      </c>
      <c r="B3909" t="s">
        <v>5320</v>
      </c>
      <c r="C3909" t="s">
        <v>22</v>
      </c>
      <c r="D3909" t="str">
        <f>HYPERLINK("http://service.sap.com/sap/support/notes/1457800","1457800")</f>
        <v>1457800</v>
      </c>
      <c r="E3909">
        <v>3</v>
      </c>
      <c r="F3909" t="s">
        <v>5322</v>
      </c>
    </row>
    <row r="3910" spans="1:6" x14ac:dyDescent="0.25">
      <c r="A3910" t="s">
        <v>1522</v>
      </c>
      <c r="B3910" t="s">
        <v>5320</v>
      </c>
      <c r="C3910" t="s">
        <v>22</v>
      </c>
      <c r="D3910" t="str">
        <f>HYPERLINK("http://service.sap.com/sap/support/notes/1623333","1623333")</f>
        <v>1623333</v>
      </c>
      <c r="E3910">
        <v>2</v>
      </c>
      <c r="F3910" t="s">
        <v>5323</v>
      </c>
    </row>
    <row r="3911" spans="1:6" x14ac:dyDescent="0.25">
      <c r="A3911" t="s">
        <v>1522</v>
      </c>
      <c r="B3911" t="s">
        <v>5320</v>
      </c>
      <c r="C3911" t="s">
        <v>22</v>
      </c>
      <c r="D3911" t="str">
        <f>HYPERLINK("http://service.sap.com/sap/support/notes/1660163","1660163")</f>
        <v>1660163</v>
      </c>
      <c r="E3911">
        <v>1</v>
      </c>
      <c r="F3911" t="s">
        <v>5324</v>
      </c>
    </row>
    <row r="3912" spans="1:6" x14ac:dyDescent="0.25">
      <c r="A3912" t="s">
        <v>1522</v>
      </c>
      <c r="B3912" t="s">
        <v>5320</v>
      </c>
      <c r="C3912" t="s">
        <v>22</v>
      </c>
      <c r="D3912" t="str">
        <f>HYPERLINK("http://service.sap.com/sap/support/notes/1663019","1663019")</f>
        <v>1663019</v>
      </c>
      <c r="E3912">
        <v>1</v>
      </c>
      <c r="F3912" t="s">
        <v>5325</v>
      </c>
    </row>
    <row r="3913" spans="1:6" x14ac:dyDescent="0.25">
      <c r="A3913" t="s">
        <v>1522</v>
      </c>
      <c r="B3913" t="s">
        <v>5320</v>
      </c>
      <c r="C3913" t="s">
        <v>22</v>
      </c>
      <c r="D3913" t="str">
        <f>HYPERLINK("http://service.sap.com/sap/support/notes/1673422","1673422")</f>
        <v>1673422</v>
      </c>
      <c r="E3913">
        <v>2</v>
      </c>
      <c r="F3913" t="s">
        <v>5326</v>
      </c>
    </row>
    <row r="3914" spans="1:6" x14ac:dyDescent="0.25">
      <c r="A3914" t="s">
        <v>1522</v>
      </c>
      <c r="B3914" t="s">
        <v>5327</v>
      </c>
      <c r="C3914" t="s">
        <v>5328</v>
      </c>
      <c r="D3914" t="str">
        <f>HYPERLINK("http://service.sap.com/sap/support/notes/1607008","1607008")</f>
        <v>1607008</v>
      </c>
      <c r="E3914">
        <v>2</v>
      </c>
      <c r="F3914" t="s">
        <v>5329</v>
      </c>
    </row>
    <row r="3915" spans="1:6" x14ac:dyDescent="0.25">
      <c r="A3915" t="s">
        <v>1522</v>
      </c>
      <c r="B3915" t="s">
        <v>5327</v>
      </c>
      <c r="C3915" t="s">
        <v>5328</v>
      </c>
      <c r="D3915" t="str">
        <f>HYPERLINK("http://service.sap.com/sap/support/notes/1623546","1623546")</f>
        <v>1623546</v>
      </c>
      <c r="E3915">
        <v>1</v>
      </c>
      <c r="F3915" t="s">
        <v>5330</v>
      </c>
    </row>
    <row r="3916" spans="1:6" x14ac:dyDescent="0.25">
      <c r="A3916" t="s">
        <v>1522</v>
      </c>
      <c r="B3916" t="s">
        <v>5331</v>
      </c>
      <c r="C3916" t="s">
        <v>4250</v>
      </c>
      <c r="D3916" t="str">
        <f>HYPERLINK("http://service.sap.com/sap/support/notes/1628962","1628962")</f>
        <v>1628962</v>
      </c>
      <c r="E3916">
        <v>1</v>
      </c>
      <c r="F3916" t="s">
        <v>5332</v>
      </c>
    </row>
    <row r="3917" spans="1:6" x14ac:dyDescent="0.25">
      <c r="A3917" t="s">
        <v>1522</v>
      </c>
      <c r="B3917" t="s">
        <v>5331</v>
      </c>
      <c r="C3917" t="s">
        <v>4250</v>
      </c>
      <c r="D3917" t="str">
        <f>HYPERLINK("http://service.sap.com/sap/support/notes/1646258","1646258")</f>
        <v>1646258</v>
      </c>
      <c r="E3917">
        <v>2</v>
      </c>
      <c r="F3917" t="s">
        <v>5333</v>
      </c>
    </row>
    <row r="3918" spans="1:6" x14ac:dyDescent="0.25">
      <c r="A3918" t="s">
        <v>1522</v>
      </c>
      <c r="B3918" t="s">
        <v>1258</v>
      </c>
      <c r="C3918" t="s">
        <v>1259</v>
      </c>
    </row>
    <row r="3919" spans="1:6" x14ac:dyDescent="0.25">
      <c r="A3919" t="s">
        <v>1522</v>
      </c>
      <c r="B3919" t="s">
        <v>1260</v>
      </c>
      <c r="C3919" t="s">
        <v>337</v>
      </c>
    </row>
    <row r="3920" spans="1:6" x14ac:dyDescent="0.25">
      <c r="A3920" t="s">
        <v>1522</v>
      </c>
      <c r="B3920" t="s">
        <v>1261</v>
      </c>
      <c r="C3920" t="s">
        <v>1262</v>
      </c>
      <c r="D3920" t="str">
        <f>HYPERLINK("http://service.sap.com/sap/support/notes/1624441","1624441")</f>
        <v>1624441</v>
      </c>
      <c r="E3920">
        <v>3</v>
      </c>
      <c r="F3920" t="s">
        <v>5334</v>
      </c>
    </row>
    <row r="3921" spans="1:6" x14ac:dyDescent="0.25">
      <c r="A3921" t="s">
        <v>1522</v>
      </c>
      <c r="B3921" t="s">
        <v>1261</v>
      </c>
      <c r="C3921" t="s">
        <v>1262</v>
      </c>
      <c r="D3921" t="str">
        <f>HYPERLINK("http://service.sap.com/sap/support/notes/1634189","1634189")</f>
        <v>1634189</v>
      </c>
      <c r="E3921">
        <v>2</v>
      </c>
      <c r="F3921" t="s">
        <v>5335</v>
      </c>
    </row>
    <row r="3922" spans="1:6" x14ac:dyDescent="0.25">
      <c r="A3922" t="s">
        <v>1522</v>
      </c>
      <c r="B3922" t="s">
        <v>1264</v>
      </c>
      <c r="C3922" t="s">
        <v>1265</v>
      </c>
      <c r="D3922" t="str">
        <f>HYPERLINK("http://service.sap.com/sap/support/notes/1639244","1639244")</f>
        <v>1639244</v>
      </c>
      <c r="E3922">
        <v>2</v>
      </c>
      <c r="F3922" t="s">
        <v>5336</v>
      </c>
    </row>
    <row r="3923" spans="1:6" x14ac:dyDescent="0.25">
      <c r="A3923" t="s">
        <v>1522</v>
      </c>
      <c r="B3923" t="s">
        <v>1268</v>
      </c>
      <c r="C3923" t="s">
        <v>1269</v>
      </c>
      <c r="D3923" t="str">
        <f>HYPERLINK("http://service.sap.com/sap/support/notes/381624","381624")</f>
        <v>381624</v>
      </c>
      <c r="E3923">
        <v>11</v>
      </c>
      <c r="F3923" t="s">
        <v>5337</v>
      </c>
    </row>
    <row r="3924" spans="1:6" x14ac:dyDescent="0.25">
      <c r="A3924" t="s">
        <v>1522</v>
      </c>
      <c r="B3924" t="s">
        <v>1268</v>
      </c>
      <c r="C3924" t="s">
        <v>1269</v>
      </c>
      <c r="D3924" t="str">
        <f>HYPERLINK("http://service.sap.com/sap/support/notes/535017","535017")</f>
        <v>535017</v>
      </c>
      <c r="E3924">
        <v>8</v>
      </c>
      <c r="F3924" t="s">
        <v>5338</v>
      </c>
    </row>
    <row r="3925" spans="1:6" x14ac:dyDescent="0.25">
      <c r="A3925" t="s">
        <v>1522</v>
      </c>
      <c r="B3925" t="s">
        <v>1268</v>
      </c>
      <c r="C3925" t="s">
        <v>1269</v>
      </c>
      <c r="D3925" t="str">
        <f>HYPERLINK("http://service.sap.com/sap/support/notes/1606767","1606767")</f>
        <v>1606767</v>
      </c>
      <c r="E3925">
        <v>3</v>
      </c>
      <c r="F3925" t="s">
        <v>5339</v>
      </c>
    </row>
    <row r="3926" spans="1:6" x14ac:dyDescent="0.25">
      <c r="A3926" t="s">
        <v>1522</v>
      </c>
      <c r="B3926" t="s">
        <v>1268</v>
      </c>
      <c r="C3926" t="s">
        <v>1269</v>
      </c>
      <c r="D3926" t="str">
        <f>HYPERLINK("http://service.sap.com/sap/support/notes/1626376","1626376")</f>
        <v>1626376</v>
      </c>
      <c r="E3926">
        <v>2</v>
      </c>
      <c r="F3926" t="s">
        <v>5340</v>
      </c>
    </row>
    <row r="3927" spans="1:6" x14ac:dyDescent="0.25">
      <c r="A3927" t="s">
        <v>1522</v>
      </c>
      <c r="B3927" t="s">
        <v>1268</v>
      </c>
      <c r="C3927" t="s">
        <v>1269</v>
      </c>
      <c r="D3927" t="str">
        <f>HYPERLINK("http://service.sap.com/sap/support/notes/1639522","1639522")</f>
        <v>1639522</v>
      </c>
      <c r="E3927">
        <v>1</v>
      </c>
      <c r="F3927" t="s">
        <v>5341</v>
      </c>
    </row>
    <row r="3928" spans="1:6" x14ac:dyDescent="0.25">
      <c r="A3928" t="s">
        <v>1522</v>
      </c>
      <c r="B3928" t="s">
        <v>1268</v>
      </c>
      <c r="C3928" t="s">
        <v>1269</v>
      </c>
      <c r="D3928" t="str">
        <f>HYPERLINK("http://service.sap.com/sap/support/notes/1640607","1640607")</f>
        <v>1640607</v>
      </c>
      <c r="E3928">
        <v>3</v>
      </c>
      <c r="F3928" t="s">
        <v>5342</v>
      </c>
    </row>
    <row r="3929" spans="1:6" x14ac:dyDescent="0.25">
      <c r="A3929" t="s">
        <v>1522</v>
      </c>
      <c r="B3929" t="s">
        <v>1268</v>
      </c>
      <c r="C3929" t="s">
        <v>1269</v>
      </c>
      <c r="D3929" t="str">
        <f>HYPERLINK("http://service.sap.com/sap/support/notes/1646409","1646409")</f>
        <v>1646409</v>
      </c>
      <c r="E3929">
        <v>6</v>
      </c>
      <c r="F3929" t="s">
        <v>5343</v>
      </c>
    </row>
    <row r="3930" spans="1:6" x14ac:dyDescent="0.25">
      <c r="A3930" t="s">
        <v>1522</v>
      </c>
      <c r="B3930" t="s">
        <v>1272</v>
      </c>
      <c r="C3930" t="s">
        <v>1273</v>
      </c>
      <c r="D3930" t="str">
        <f>HYPERLINK("http://service.sap.com/sap/support/notes/1605110","1605110")</f>
        <v>1605110</v>
      </c>
      <c r="E3930">
        <v>3</v>
      </c>
      <c r="F3930" t="s">
        <v>5344</v>
      </c>
    </row>
    <row r="3931" spans="1:6" x14ac:dyDescent="0.25">
      <c r="A3931" t="s">
        <v>1522</v>
      </c>
      <c r="B3931" t="s">
        <v>1272</v>
      </c>
      <c r="C3931" t="s">
        <v>1273</v>
      </c>
      <c r="D3931" t="str">
        <f>HYPERLINK("http://service.sap.com/sap/support/notes/1630930","1630930")</f>
        <v>1630930</v>
      </c>
      <c r="E3931">
        <v>3</v>
      </c>
      <c r="F3931" t="s">
        <v>5345</v>
      </c>
    </row>
    <row r="3932" spans="1:6" x14ac:dyDescent="0.25">
      <c r="A3932" t="s">
        <v>1522</v>
      </c>
      <c r="B3932" t="s">
        <v>1272</v>
      </c>
      <c r="C3932" t="s">
        <v>1273</v>
      </c>
      <c r="D3932" t="str">
        <f>HYPERLINK("http://service.sap.com/sap/support/notes/1642082","1642082")</f>
        <v>1642082</v>
      </c>
      <c r="E3932">
        <v>2</v>
      </c>
      <c r="F3932" t="s">
        <v>5346</v>
      </c>
    </row>
    <row r="3933" spans="1:6" x14ac:dyDescent="0.25">
      <c r="A3933" t="s">
        <v>1522</v>
      </c>
      <c r="B3933" t="s">
        <v>1278</v>
      </c>
      <c r="C3933" t="s">
        <v>1279</v>
      </c>
      <c r="D3933" t="str">
        <f>HYPERLINK("http://service.sap.com/sap/support/notes/436785","436785")</f>
        <v>436785</v>
      </c>
      <c r="E3933">
        <v>4</v>
      </c>
      <c r="F3933" t="s">
        <v>5347</v>
      </c>
    </row>
    <row r="3934" spans="1:6" x14ac:dyDescent="0.25">
      <c r="A3934" t="s">
        <v>1522</v>
      </c>
      <c r="B3934" t="s">
        <v>1278</v>
      </c>
      <c r="C3934" t="s">
        <v>1279</v>
      </c>
      <c r="D3934" t="str">
        <f>HYPERLINK("http://service.sap.com/sap/support/notes/1633995","1633995")</f>
        <v>1633995</v>
      </c>
      <c r="E3934">
        <v>1</v>
      </c>
      <c r="F3934" t="s">
        <v>5348</v>
      </c>
    </row>
    <row r="3935" spans="1:6" x14ac:dyDescent="0.25">
      <c r="A3935" t="s">
        <v>1522</v>
      </c>
      <c r="B3935" t="s">
        <v>1278</v>
      </c>
      <c r="C3935" t="s">
        <v>1279</v>
      </c>
      <c r="D3935" t="str">
        <f>HYPERLINK("http://service.sap.com/sap/support/notes/1640824","1640824")</f>
        <v>1640824</v>
      </c>
      <c r="E3935">
        <v>3</v>
      </c>
      <c r="F3935" t="s">
        <v>5349</v>
      </c>
    </row>
    <row r="3936" spans="1:6" x14ac:dyDescent="0.25">
      <c r="A3936" t="s">
        <v>1522</v>
      </c>
      <c r="B3936" t="s">
        <v>1278</v>
      </c>
      <c r="C3936" t="s">
        <v>1279</v>
      </c>
      <c r="D3936" t="str">
        <f>HYPERLINK("http://service.sap.com/sap/support/notes/1648721","1648721")</f>
        <v>1648721</v>
      </c>
      <c r="E3936">
        <v>1</v>
      </c>
      <c r="F3936" t="s">
        <v>5350</v>
      </c>
    </row>
    <row r="3937" spans="1:6" x14ac:dyDescent="0.25">
      <c r="A3937" t="s">
        <v>1522</v>
      </c>
      <c r="B3937" t="s">
        <v>5351</v>
      </c>
      <c r="C3937" t="s">
        <v>5352</v>
      </c>
      <c r="D3937" t="str">
        <f>HYPERLINK("http://service.sap.com/sap/support/notes/1449079","1449079")</f>
        <v>1449079</v>
      </c>
      <c r="E3937">
        <v>2</v>
      </c>
      <c r="F3937" t="s">
        <v>5353</v>
      </c>
    </row>
    <row r="3938" spans="1:6" x14ac:dyDescent="0.25">
      <c r="A3938" t="s">
        <v>1522</v>
      </c>
      <c r="B3938" t="s">
        <v>5354</v>
      </c>
      <c r="C3938" t="s">
        <v>5355</v>
      </c>
      <c r="D3938" t="str">
        <f>HYPERLINK("http://service.sap.com/sap/support/notes/1603910","1603910")</f>
        <v>1603910</v>
      </c>
      <c r="E3938">
        <v>6</v>
      </c>
      <c r="F3938" t="s">
        <v>5356</v>
      </c>
    </row>
    <row r="3939" spans="1:6" x14ac:dyDescent="0.25">
      <c r="A3939" t="s">
        <v>1522</v>
      </c>
      <c r="B3939" t="s">
        <v>5354</v>
      </c>
      <c r="C3939" t="s">
        <v>5355</v>
      </c>
      <c r="D3939" t="str">
        <f>HYPERLINK("http://service.sap.com/sap/support/notes/1618538","1618538")</f>
        <v>1618538</v>
      </c>
      <c r="E3939">
        <v>3</v>
      </c>
      <c r="F3939" t="s">
        <v>5357</v>
      </c>
    </row>
    <row r="3940" spans="1:6" x14ac:dyDescent="0.25">
      <c r="A3940" t="s">
        <v>1522</v>
      </c>
      <c r="B3940" t="s">
        <v>5354</v>
      </c>
      <c r="C3940" t="s">
        <v>5355</v>
      </c>
      <c r="D3940" t="str">
        <f>HYPERLINK("http://service.sap.com/sap/support/notes/1643617","1643617")</f>
        <v>1643617</v>
      </c>
      <c r="E3940">
        <v>2</v>
      </c>
      <c r="F3940" t="s">
        <v>5358</v>
      </c>
    </row>
    <row r="3941" spans="1:6" x14ac:dyDescent="0.25">
      <c r="A3941" t="s">
        <v>1522</v>
      </c>
      <c r="B3941" t="s">
        <v>5354</v>
      </c>
      <c r="C3941" t="s">
        <v>5355</v>
      </c>
      <c r="D3941" t="str">
        <f>HYPERLINK("http://service.sap.com/sap/support/notes/1648849","1648849")</f>
        <v>1648849</v>
      </c>
      <c r="E3941">
        <v>1</v>
      </c>
      <c r="F3941" t="s">
        <v>5359</v>
      </c>
    </row>
    <row r="3942" spans="1:6" x14ac:dyDescent="0.25">
      <c r="A3942" t="s">
        <v>1522</v>
      </c>
      <c r="B3942" t="s">
        <v>5354</v>
      </c>
      <c r="C3942" t="s">
        <v>5355</v>
      </c>
      <c r="D3942" t="str">
        <f>HYPERLINK("http://service.sap.com/sap/support/notes/1653076","1653076")</f>
        <v>1653076</v>
      </c>
      <c r="E3942">
        <v>2</v>
      </c>
      <c r="F3942" t="s">
        <v>5360</v>
      </c>
    </row>
    <row r="3943" spans="1:6" x14ac:dyDescent="0.25">
      <c r="A3943" t="s">
        <v>1522</v>
      </c>
      <c r="B3943" t="s">
        <v>5354</v>
      </c>
      <c r="C3943" t="s">
        <v>5355</v>
      </c>
      <c r="D3943" t="str">
        <f>HYPERLINK("http://service.sap.com/sap/support/notes/1654001","1654001")</f>
        <v>1654001</v>
      </c>
      <c r="E3943">
        <v>1</v>
      </c>
      <c r="F3943" t="s">
        <v>5361</v>
      </c>
    </row>
    <row r="3944" spans="1:6" x14ac:dyDescent="0.25">
      <c r="A3944" t="s">
        <v>1522</v>
      </c>
      <c r="B3944" t="s">
        <v>5354</v>
      </c>
      <c r="C3944" t="s">
        <v>5355</v>
      </c>
      <c r="D3944" t="str">
        <f>HYPERLINK("http://service.sap.com/sap/support/notes/1656070","1656070")</f>
        <v>1656070</v>
      </c>
      <c r="E3944">
        <v>2</v>
      </c>
      <c r="F3944" t="s">
        <v>5362</v>
      </c>
    </row>
    <row r="3945" spans="1:6" x14ac:dyDescent="0.25">
      <c r="A3945" t="s">
        <v>1522</v>
      </c>
      <c r="B3945" t="s">
        <v>5354</v>
      </c>
      <c r="C3945" t="s">
        <v>5355</v>
      </c>
      <c r="D3945" t="str">
        <f>HYPERLINK("http://service.sap.com/sap/support/notes/1662130","1662130")</f>
        <v>1662130</v>
      </c>
      <c r="E3945">
        <v>2</v>
      </c>
      <c r="F3945" t="s">
        <v>5363</v>
      </c>
    </row>
    <row r="3946" spans="1:6" x14ac:dyDescent="0.25">
      <c r="A3946" t="s">
        <v>1522</v>
      </c>
      <c r="B3946" t="s">
        <v>5354</v>
      </c>
      <c r="C3946" t="s">
        <v>5355</v>
      </c>
      <c r="D3946" t="str">
        <f>HYPERLINK("http://service.sap.com/sap/support/notes/1669626","1669626")</f>
        <v>1669626</v>
      </c>
      <c r="E3946">
        <v>1</v>
      </c>
      <c r="F3946" t="s">
        <v>5364</v>
      </c>
    </row>
    <row r="3947" spans="1:6" x14ac:dyDescent="0.25">
      <c r="A3947" t="s">
        <v>1522</v>
      </c>
      <c r="B3947" t="s">
        <v>1281</v>
      </c>
      <c r="C3947" t="s">
        <v>1282</v>
      </c>
      <c r="D3947" t="str">
        <f>HYPERLINK("http://service.sap.com/sap/support/notes/1580763","1580763")</f>
        <v>1580763</v>
      </c>
      <c r="E3947">
        <v>2</v>
      </c>
      <c r="F3947" t="s">
        <v>5365</v>
      </c>
    </row>
    <row r="3948" spans="1:6" x14ac:dyDescent="0.25">
      <c r="A3948" t="s">
        <v>1522</v>
      </c>
      <c r="B3948" t="s">
        <v>1281</v>
      </c>
      <c r="C3948" t="s">
        <v>1282</v>
      </c>
      <c r="D3948" t="str">
        <f>HYPERLINK("http://service.sap.com/sap/support/notes/1588454","1588454")</f>
        <v>1588454</v>
      </c>
      <c r="E3948">
        <v>2</v>
      </c>
      <c r="F3948" t="s">
        <v>5366</v>
      </c>
    </row>
    <row r="3949" spans="1:6" x14ac:dyDescent="0.25">
      <c r="A3949" t="s">
        <v>1522</v>
      </c>
      <c r="B3949" t="s">
        <v>1281</v>
      </c>
      <c r="C3949" t="s">
        <v>1282</v>
      </c>
      <c r="D3949" t="str">
        <f>HYPERLINK("http://service.sap.com/sap/support/notes/1600020","1600020")</f>
        <v>1600020</v>
      </c>
      <c r="E3949">
        <v>4</v>
      </c>
      <c r="F3949" t="s">
        <v>5367</v>
      </c>
    </row>
    <row r="3950" spans="1:6" x14ac:dyDescent="0.25">
      <c r="A3950" t="s">
        <v>1522</v>
      </c>
      <c r="B3950" t="s">
        <v>1281</v>
      </c>
      <c r="C3950" t="s">
        <v>1282</v>
      </c>
      <c r="D3950" t="str">
        <f>HYPERLINK("http://service.sap.com/sap/support/notes/1601755","1601755")</f>
        <v>1601755</v>
      </c>
      <c r="E3950">
        <v>3</v>
      </c>
      <c r="F3950" t="s">
        <v>5368</v>
      </c>
    </row>
    <row r="3951" spans="1:6" x14ac:dyDescent="0.25">
      <c r="A3951" t="s">
        <v>1522</v>
      </c>
      <c r="B3951" t="s">
        <v>1281</v>
      </c>
      <c r="C3951" t="s">
        <v>1282</v>
      </c>
      <c r="D3951" t="str">
        <f>HYPERLINK("http://service.sap.com/sap/support/notes/1642836","1642836")</f>
        <v>1642836</v>
      </c>
      <c r="E3951">
        <v>2</v>
      </c>
      <c r="F3951" t="s">
        <v>5369</v>
      </c>
    </row>
    <row r="3952" spans="1:6" x14ac:dyDescent="0.25">
      <c r="A3952" t="s">
        <v>1522</v>
      </c>
      <c r="B3952" t="s">
        <v>5370</v>
      </c>
      <c r="C3952" t="s">
        <v>5371</v>
      </c>
      <c r="D3952" t="str">
        <f>HYPERLINK("http://service.sap.com/sap/support/notes/1663273","1663273")</f>
        <v>1663273</v>
      </c>
      <c r="E3952">
        <v>2</v>
      </c>
      <c r="F3952" t="s">
        <v>5372</v>
      </c>
    </row>
    <row r="3953" spans="1:6" x14ac:dyDescent="0.25">
      <c r="A3953" t="s">
        <v>1522</v>
      </c>
      <c r="B3953" t="s">
        <v>1284</v>
      </c>
      <c r="C3953" t="s">
        <v>1285</v>
      </c>
      <c r="D3953" t="str">
        <f>HYPERLINK("http://service.sap.com/sap/support/notes/1557062","1557062")</f>
        <v>1557062</v>
      </c>
      <c r="E3953">
        <v>5</v>
      </c>
      <c r="F3953" t="s">
        <v>5373</v>
      </c>
    </row>
    <row r="3954" spans="1:6" x14ac:dyDescent="0.25">
      <c r="A3954" t="s">
        <v>1522</v>
      </c>
      <c r="B3954" t="s">
        <v>1284</v>
      </c>
      <c r="C3954" t="s">
        <v>1285</v>
      </c>
      <c r="D3954" t="str">
        <f>HYPERLINK("http://service.sap.com/sap/support/notes/1601989","1601989")</f>
        <v>1601989</v>
      </c>
      <c r="E3954">
        <v>4</v>
      </c>
      <c r="F3954" t="s">
        <v>5374</v>
      </c>
    </row>
    <row r="3955" spans="1:6" x14ac:dyDescent="0.25">
      <c r="A3955" t="s">
        <v>1522</v>
      </c>
      <c r="B3955" t="s">
        <v>1284</v>
      </c>
      <c r="C3955" t="s">
        <v>1285</v>
      </c>
      <c r="D3955" t="str">
        <f>HYPERLINK("http://service.sap.com/sap/support/notes/1606729","1606729")</f>
        <v>1606729</v>
      </c>
      <c r="E3955">
        <v>2</v>
      </c>
      <c r="F3955" t="s">
        <v>5375</v>
      </c>
    </row>
    <row r="3956" spans="1:6" x14ac:dyDescent="0.25">
      <c r="A3956" t="s">
        <v>1522</v>
      </c>
      <c r="B3956" t="s">
        <v>1284</v>
      </c>
      <c r="C3956" t="s">
        <v>1285</v>
      </c>
      <c r="D3956" t="str">
        <f>HYPERLINK("http://service.sap.com/sap/support/notes/1623296","1623296")</f>
        <v>1623296</v>
      </c>
      <c r="E3956">
        <v>1</v>
      </c>
      <c r="F3956" t="s">
        <v>5376</v>
      </c>
    </row>
    <row r="3957" spans="1:6" x14ac:dyDescent="0.25">
      <c r="A3957" t="s">
        <v>1522</v>
      </c>
      <c r="B3957" t="s">
        <v>1284</v>
      </c>
      <c r="C3957" t="s">
        <v>1285</v>
      </c>
      <c r="D3957" t="str">
        <f>HYPERLINK("http://service.sap.com/sap/support/notes/1624349","1624349")</f>
        <v>1624349</v>
      </c>
      <c r="E3957">
        <v>3</v>
      </c>
      <c r="F3957" t="s">
        <v>5377</v>
      </c>
    </row>
    <row r="3958" spans="1:6" x14ac:dyDescent="0.25">
      <c r="A3958" t="s">
        <v>1522</v>
      </c>
      <c r="B3958" t="s">
        <v>1284</v>
      </c>
      <c r="C3958" t="s">
        <v>1285</v>
      </c>
      <c r="D3958" t="str">
        <f>HYPERLINK("http://service.sap.com/sap/support/notes/1624757","1624757")</f>
        <v>1624757</v>
      </c>
      <c r="E3958">
        <v>1</v>
      </c>
      <c r="F3958" t="s">
        <v>5378</v>
      </c>
    </row>
    <row r="3959" spans="1:6" x14ac:dyDescent="0.25">
      <c r="A3959" t="s">
        <v>1522</v>
      </c>
      <c r="B3959" t="s">
        <v>1284</v>
      </c>
      <c r="C3959" t="s">
        <v>1285</v>
      </c>
      <c r="D3959" t="str">
        <f>HYPERLINK("http://service.sap.com/sap/support/notes/1625871","1625871")</f>
        <v>1625871</v>
      </c>
      <c r="E3959">
        <v>2</v>
      </c>
      <c r="F3959" t="s">
        <v>5379</v>
      </c>
    </row>
    <row r="3960" spans="1:6" x14ac:dyDescent="0.25">
      <c r="A3960" t="s">
        <v>1522</v>
      </c>
      <c r="B3960" t="s">
        <v>1284</v>
      </c>
      <c r="C3960" t="s">
        <v>1285</v>
      </c>
      <c r="D3960" t="str">
        <f>HYPERLINK("http://service.sap.com/sap/support/notes/1628103","1628103")</f>
        <v>1628103</v>
      </c>
      <c r="E3960">
        <v>2</v>
      </c>
      <c r="F3960" t="s">
        <v>5380</v>
      </c>
    </row>
    <row r="3961" spans="1:6" x14ac:dyDescent="0.25">
      <c r="A3961" t="s">
        <v>1522</v>
      </c>
      <c r="B3961" t="s">
        <v>1284</v>
      </c>
      <c r="C3961" t="s">
        <v>1285</v>
      </c>
      <c r="D3961" t="str">
        <f>HYPERLINK("http://service.sap.com/sap/support/notes/1628268","1628268")</f>
        <v>1628268</v>
      </c>
      <c r="E3961">
        <v>2</v>
      </c>
      <c r="F3961" t="s">
        <v>5381</v>
      </c>
    </row>
    <row r="3962" spans="1:6" x14ac:dyDescent="0.25">
      <c r="A3962" t="s">
        <v>1522</v>
      </c>
      <c r="B3962" t="s">
        <v>1284</v>
      </c>
      <c r="C3962" t="s">
        <v>1285</v>
      </c>
      <c r="D3962" t="str">
        <f>HYPERLINK("http://service.sap.com/sap/support/notes/1628956","1628956")</f>
        <v>1628956</v>
      </c>
      <c r="E3962">
        <v>1</v>
      </c>
      <c r="F3962" t="s">
        <v>5382</v>
      </c>
    </row>
    <row r="3963" spans="1:6" x14ac:dyDescent="0.25">
      <c r="A3963" t="s">
        <v>1522</v>
      </c>
      <c r="B3963" t="s">
        <v>1284</v>
      </c>
      <c r="C3963" t="s">
        <v>1285</v>
      </c>
      <c r="D3963" t="str">
        <f>HYPERLINK("http://service.sap.com/sap/support/notes/1630207","1630207")</f>
        <v>1630207</v>
      </c>
      <c r="E3963">
        <v>2</v>
      </c>
      <c r="F3963" t="s">
        <v>5383</v>
      </c>
    </row>
    <row r="3964" spans="1:6" x14ac:dyDescent="0.25">
      <c r="A3964" t="s">
        <v>1522</v>
      </c>
      <c r="B3964" t="s">
        <v>1284</v>
      </c>
      <c r="C3964" t="s">
        <v>1285</v>
      </c>
      <c r="D3964" t="str">
        <f>HYPERLINK("http://service.sap.com/sap/support/notes/1630819","1630819")</f>
        <v>1630819</v>
      </c>
      <c r="E3964">
        <v>2</v>
      </c>
      <c r="F3964" t="s">
        <v>5384</v>
      </c>
    </row>
    <row r="3965" spans="1:6" x14ac:dyDescent="0.25">
      <c r="A3965" t="s">
        <v>1522</v>
      </c>
      <c r="B3965" t="s">
        <v>1284</v>
      </c>
      <c r="C3965" t="s">
        <v>1285</v>
      </c>
      <c r="D3965" t="str">
        <f>HYPERLINK("http://service.sap.com/sap/support/notes/1631417","1631417")</f>
        <v>1631417</v>
      </c>
      <c r="E3965">
        <v>2</v>
      </c>
      <c r="F3965" t="s">
        <v>5385</v>
      </c>
    </row>
    <row r="3966" spans="1:6" x14ac:dyDescent="0.25">
      <c r="A3966" t="s">
        <v>1522</v>
      </c>
      <c r="B3966" t="s">
        <v>1284</v>
      </c>
      <c r="C3966" t="s">
        <v>1285</v>
      </c>
      <c r="D3966" t="str">
        <f>HYPERLINK("http://service.sap.com/sap/support/notes/1644790","1644790")</f>
        <v>1644790</v>
      </c>
      <c r="E3966">
        <v>1</v>
      </c>
      <c r="F3966" t="s">
        <v>5386</v>
      </c>
    </row>
    <row r="3967" spans="1:6" x14ac:dyDescent="0.25">
      <c r="A3967" t="s">
        <v>1522</v>
      </c>
      <c r="B3967" t="s">
        <v>1284</v>
      </c>
      <c r="C3967" t="s">
        <v>1285</v>
      </c>
      <c r="D3967" t="str">
        <f>HYPERLINK("http://service.sap.com/sap/support/notes/1653696","1653696")</f>
        <v>1653696</v>
      </c>
      <c r="E3967">
        <v>2</v>
      </c>
      <c r="F3967" t="s">
        <v>5387</v>
      </c>
    </row>
    <row r="3968" spans="1:6" x14ac:dyDescent="0.25">
      <c r="A3968" t="s">
        <v>1522</v>
      </c>
      <c r="B3968" t="s">
        <v>1284</v>
      </c>
      <c r="C3968" t="s">
        <v>1285</v>
      </c>
      <c r="D3968" t="str">
        <f>HYPERLINK("http://service.sap.com/sap/support/notes/1654143","1654143")</f>
        <v>1654143</v>
      </c>
      <c r="E3968">
        <v>1</v>
      </c>
      <c r="F3968" t="s">
        <v>5388</v>
      </c>
    </row>
    <row r="3969" spans="1:6" x14ac:dyDescent="0.25">
      <c r="A3969" t="s">
        <v>1522</v>
      </c>
      <c r="B3969" t="s">
        <v>1284</v>
      </c>
      <c r="C3969" t="s">
        <v>1285</v>
      </c>
      <c r="D3969" t="str">
        <f>HYPERLINK("http://service.sap.com/sap/support/notes/1655565","1655565")</f>
        <v>1655565</v>
      </c>
      <c r="E3969">
        <v>1</v>
      </c>
      <c r="F3969" t="s">
        <v>5389</v>
      </c>
    </row>
    <row r="3970" spans="1:6" x14ac:dyDescent="0.25">
      <c r="A3970" t="s">
        <v>1522</v>
      </c>
      <c r="B3970" t="s">
        <v>1284</v>
      </c>
      <c r="C3970" t="s">
        <v>1285</v>
      </c>
      <c r="D3970" t="str">
        <f>HYPERLINK("http://service.sap.com/sap/support/notes/1660698","1660698")</f>
        <v>1660698</v>
      </c>
      <c r="E3970">
        <v>4</v>
      </c>
      <c r="F3970" t="s">
        <v>5390</v>
      </c>
    </row>
    <row r="3971" spans="1:6" x14ac:dyDescent="0.25">
      <c r="A3971" t="s">
        <v>1522</v>
      </c>
      <c r="B3971" t="s">
        <v>1284</v>
      </c>
      <c r="C3971" t="s">
        <v>1285</v>
      </c>
      <c r="D3971" t="str">
        <f>HYPERLINK("http://service.sap.com/sap/support/notes/1661257","1661257")</f>
        <v>1661257</v>
      </c>
      <c r="E3971">
        <v>1</v>
      </c>
      <c r="F3971" t="s">
        <v>5391</v>
      </c>
    </row>
    <row r="3972" spans="1:6" x14ac:dyDescent="0.25">
      <c r="A3972" t="s">
        <v>1522</v>
      </c>
      <c r="B3972" t="s">
        <v>1284</v>
      </c>
      <c r="C3972" t="s">
        <v>1285</v>
      </c>
      <c r="D3972" t="str">
        <f>HYPERLINK("http://service.sap.com/sap/support/notes/1663704","1663704")</f>
        <v>1663704</v>
      </c>
      <c r="E3972">
        <v>1</v>
      </c>
      <c r="F3972" t="s">
        <v>5392</v>
      </c>
    </row>
    <row r="3973" spans="1:6" x14ac:dyDescent="0.25">
      <c r="A3973" t="s">
        <v>1522</v>
      </c>
      <c r="B3973" t="s">
        <v>5393</v>
      </c>
      <c r="C3973" t="s">
        <v>5394</v>
      </c>
      <c r="D3973" t="str">
        <f>HYPERLINK("http://service.sap.com/sap/support/notes/1634574","1634574")</f>
        <v>1634574</v>
      </c>
      <c r="E3973">
        <v>1</v>
      </c>
      <c r="F3973" t="s">
        <v>5395</v>
      </c>
    </row>
    <row r="3974" spans="1:6" x14ac:dyDescent="0.25">
      <c r="A3974" t="s">
        <v>1522</v>
      </c>
      <c r="B3974" t="s">
        <v>5396</v>
      </c>
      <c r="C3974" t="s">
        <v>5397</v>
      </c>
      <c r="D3974" t="str">
        <f>HYPERLINK("http://service.sap.com/sap/support/notes/1668401","1668401")</f>
        <v>1668401</v>
      </c>
      <c r="E3974">
        <v>1</v>
      </c>
      <c r="F3974" t="s">
        <v>5398</v>
      </c>
    </row>
    <row r="3975" spans="1:6" x14ac:dyDescent="0.25">
      <c r="A3975" t="s">
        <v>1522</v>
      </c>
      <c r="B3975" t="s">
        <v>1287</v>
      </c>
      <c r="C3975" t="s">
        <v>1288</v>
      </c>
    </row>
    <row r="3976" spans="1:6" x14ac:dyDescent="0.25">
      <c r="A3976" t="s">
        <v>1522</v>
      </c>
      <c r="B3976" t="s">
        <v>5399</v>
      </c>
      <c r="C3976" t="s">
        <v>5400</v>
      </c>
      <c r="D3976" t="str">
        <f>HYPERLINK("http://service.sap.com/sap/support/notes/1613791","1613791")</f>
        <v>1613791</v>
      </c>
      <c r="E3976">
        <v>2</v>
      </c>
      <c r="F3976" t="s">
        <v>5401</v>
      </c>
    </row>
    <row r="3977" spans="1:6" x14ac:dyDescent="0.25">
      <c r="A3977" t="s">
        <v>1522</v>
      </c>
      <c r="B3977" t="s">
        <v>5399</v>
      </c>
      <c r="C3977" t="s">
        <v>5400</v>
      </c>
      <c r="D3977" t="str">
        <f>HYPERLINK("http://service.sap.com/sap/support/notes/1643697","1643697")</f>
        <v>1643697</v>
      </c>
      <c r="E3977">
        <v>2</v>
      </c>
      <c r="F3977" t="s">
        <v>5402</v>
      </c>
    </row>
    <row r="3978" spans="1:6" x14ac:dyDescent="0.25">
      <c r="A3978" t="s">
        <v>1522</v>
      </c>
      <c r="B3978" t="s">
        <v>1289</v>
      </c>
      <c r="C3978" t="s">
        <v>1290</v>
      </c>
    </row>
    <row r="3979" spans="1:6" x14ac:dyDescent="0.25">
      <c r="A3979" t="s">
        <v>1522</v>
      </c>
      <c r="B3979" t="s">
        <v>1291</v>
      </c>
      <c r="C3979" t="s">
        <v>1292</v>
      </c>
      <c r="D3979" t="str">
        <f>HYPERLINK("http://service.sap.com/sap/support/notes/1629093","1629093")</f>
        <v>1629093</v>
      </c>
      <c r="E3979">
        <v>2</v>
      </c>
      <c r="F3979" t="s">
        <v>5403</v>
      </c>
    </row>
    <row r="3980" spans="1:6" x14ac:dyDescent="0.25">
      <c r="A3980" t="s">
        <v>1522</v>
      </c>
      <c r="B3980" t="s">
        <v>1291</v>
      </c>
      <c r="C3980" t="s">
        <v>1292</v>
      </c>
      <c r="D3980" t="str">
        <f>HYPERLINK("http://service.sap.com/sap/support/notes/1638436","1638436")</f>
        <v>1638436</v>
      </c>
      <c r="E3980">
        <v>1</v>
      </c>
      <c r="F3980" t="s">
        <v>5404</v>
      </c>
    </row>
    <row r="3981" spans="1:6" x14ac:dyDescent="0.25">
      <c r="A3981" t="s">
        <v>1522</v>
      </c>
      <c r="B3981" t="s">
        <v>1295</v>
      </c>
      <c r="C3981" t="s">
        <v>1296</v>
      </c>
    </row>
    <row r="3982" spans="1:6" x14ac:dyDescent="0.25">
      <c r="A3982" t="s">
        <v>1522</v>
      </c>
      <c r="B3982" t="s">
        <v>1297</v>
      </c>
      <c r="C3982" t="s">
        <v>1298</v>
      </c>
      <c r="D3982" t="str">
        <f>HYPERLINK("http://service.sap.com/sap/support/notes/1629738","1629738")</f>
        <v>1629738</v>
      </c>
      <c r="E3982">
        <v>1</v>
      </c>
      <c r="F3982" t="s">
        <v>5405</v>
      </c>
    </row>
    <row r="3983" spans="1:6" x14ac:dyDescent="0.25">
      <c r="A3983" t="s">
        <v>1522</v>
      </c>
      <c r="B3983" t="s">
        <v>5406</v>
      </c>
      <c r="C3983" t="s">
        <v>5407</v>
      </c>
      <c r="D3983" t="str">
        <f>HYPERLINK("http://service.sap.com/sap/support/notes/1639208","1639208")</f>
        <v>1639208</v>
      </c>
      <c r="E3983">
        <v>1</v>
      </c>
      <c r="F3983" t="s">
        <v>5408</v>
      </c>
    </row>
    <row r="3984" spans="1:6" x14ac:dyDescent="0.25">
      <c r="A3984" t="s">
        <v>1522</v>
      </c>
      <c r="B3984" t="s">
        <v>5406</v>
      </c>
      <c r="C3984" t="s">
        <v>5407</v>
      </c>
      <c r="D3984" t="str">
        <f>HYPERLINK("http://service.sap.com/sap/support/notes/1643795","1643795")</f>
        <v>1643795</v>
      </c>
      <c r="E3984">
        <v>2</v>
      </c>
      <c r="F3984" t="s">
        <v>5409</v>
      </c>
    </row>
    <row r="3985" spans="1:6" x14ac:dyDescent="0.25">
      <c r="A3985" t="s">
        <v>1522</v>
      </c>
      <c r="B3985" t="s">
        <v>1300</v>
      </c>
      <c r="C3985" t="s">
        <v>1301</v>
      </c>
      <c r="D3985" t="str">
        <f>HYPERLINK("http://service.sap.com/sap/support/notes/1492163","1492163")</f>
        <v>1492163</v>
      </c>
      <c r="E3985">
        <v>1</v>
      </c>
      <c r="F3985" t="s">
        <v>5410</v>
      </c>
    </row>
    <row r="3986" spans="1:6" x14ac:dyDescent="0.25">
      <c r="A3986" t="s">
        <v>1522</v>
      </c>
      <c r="B3986" t="s">
        <v>1300</v>
      </c>
      <c r="C3986" t="s">
        <v>1301</v>
      </c>
      <c r="D3986" t="str">
        <f>HYPERLINK("http://service.sap.com/sap/support/notes/1577210","1577210")</f>
        <v>1577210</v>
      </c>
      <c r="E3986">
        <v>3</v>
      </c>
      <c r="F3986" t="s">
        <v>5411</v>
      </c>
    </row>
    <row r="3987" spans="1:6" x14ac:dyDescent="0.25">
      <c r="A3987" t="s">
        <v>1522</v>
      </c>
      <c r="B3987" t="s">
        <v>1300</v>
      </c>
      <c r="C3987" t="s">
        <v>1301</v>
      </c>
      <c r="D3987" t="str">
        <f>HYPERLINK("http://service.sap.com/sap/support/notes/1587741","1587741")</f>
        <v>1587741</v>
      </c>
      <c r="E3987">
        <v>5</v>
      </c>
      <c r="F3987" t="s">
        <v>5412</v>
      </c>
    </row>
    <row r="3988" spans="1:6" x14ac:dyDescent="0.25">
      <c r="A3988" t="s">
        <v>1522</v>
      </c>
      <c r="B3988" t="s">
        <v>1300</v>
      </c>
      <c r="C3988" t="s">
        <v>1301</v>
      </c>
      <c r="D3988" t="str">
        <f>HYPERLINK("http://service.sap.com/sap/support/notes/1622136","1622136")</f>
        <v>1622136</v>
      </c>
      <c r="E3988">
        <v>2</v>
      </c>
      <c r="F3988" t="s">
        <v>5413</v>
      </c>
    </row>
    <row r="3989" spans="1:6" x14ac:dyDescent="0.25">
      <c r="A3989" t="s">
        <v>1522</v>
      </c>
      <c r="B3989" t="s">
        <v>1300</v>
      </c>
      <c r="C3989" t="s">
        <v>1301</v>
      </c>
      <c r="D3989" t="str">
        <f>HYPERLINK("http://service.sap.com/sap/support/notes/1635872","1635872")</f>
        <v>1635872</v>
      </c>
      <c r="E3989">
        <v>2</v>
      </c>
      <c r="F3989" t="s">
        <v>5414</v>
      </c>
    </row>
    <row r="3990" spans="1:6" x14ac:dyDescent="0.25">
      <c r="A3990" t="s">
        <v>1522</v>
      </c>
      <c r="B3990" t="s">
        <v>1300</v>
      </c>
      <c r="C3990" t="s">
        <v>1301</v>
      </c>
      <c r="D3990" t="str">
        <f>HYPERLINK("http://service.sap.com/sap/support/notes/1640265","1640265")</f>
        <v>1640265</v>
      </c>
      <c r="E3990">
        <v>3</v>
      </c>
      <c r="F3990" t="s">
        <v>5415</v>
      </c>
    </row>
    <row r="3991" spans="1:6" x14ac:dyDescent="0.25">
      <c r="A3991" t="s">
        <v>1522</v>
      </c>
      <c r="B3991" t="s">
        <v>1303</v>
      </c>
      <c r="C3991" t="s">
        <v>1304</v>
      </c>
      <c r="D3991" t="str">
        <f>HYPERLINK("http://service.sap.com/sap/support/notes/1605498","1605498")</f>
        <v>1605498</v>
      </c>
      <c r="E3991">
        <v>2</v>
      </c>
      <c r="F3991" t="s">
        <v>5416</v>
      </c>
    </row>
    <row r="3992" spans="1:6" x14ac:dyDescent="0.25">
      <c r="A3992" t="s">
        <v>1522</v>
      </c>
      <c r="B3992" t="s">
        <v>1303</v>
      </c>
      <c r="C3992" t="s">
        <v>1304</v>
      </c>
      <c r="D3992" t="str">
        <f>HYPERLINK("http://service.sap.com/sap/support/notes/1650147","1650147")</f>
        <v>1650147</v>
      </c>
      <c r="E3992">
        <v>3</v>
      </c>
      <c r="F3992" t="s">
        <v>5417</v>
      </c>
    </row>
    <row r="3993" spans="1:6" x14ac:dyDescent="0.25">
      <c r="A3993" t="s">
        <v>1522</v>
      </c>
      <c r="B3993" t="s">
        <v>1306</v>
      </c>
      <c r="C3993" t="s">
        <v>14</v>
      </c>
    </row>
    <row r="3994" spans="1:6" x14ac:dyDescent="0.25">
      <c r="A3994" t="s">
        <v>1522</v>
      </c>
      <c r="B3994" t="s">
        <v>1307</v>
      </c>
      <c r="C3994" t="s">
        <v>1308</v>
      </c>
      <c r="D3994" t="str">
        <f>HYPERLINK("http://service.sap.com/sap/support/notes/1605081","1605081")</f>
        <v>1605081</v>
      </c>
      <c r="E3994">
        <v>1</v>
      </c>
      <c r="F3994" t="s">
        <v>5418</v>
      </c>
    </row>
    <row r="3995" spans="1:6" x14ac:dyDescent="0.25">
      <c r="A3995" t="s">
        <v>1522</v>
      </c>
      <c r="B3995" t="s">
        <v>1307</v>
      </c>
      <c r="C3995" t="s">
        <v>1308</v>
      </c>
      <c r="D3995" t="str">
        <f>HYPERLINK("http://service.sap.com/sap/support/notes/1631485","1631485")</f>
        <v>1631485</v>
      </c>
      <c r="E3995">
        <v>1</v>
      </c>
      <c r="F3995" t="s">
        <v>5419</v>
      </c>
    </row>
    <row r="3996" spans="1:6" x14ac:dyDescent="0.25">
      <c r="A3996" t="s">
        <v>1522</v>
      </c>
      <c r="B3996" t="s">
        <v>1307</v>
      </c>
      <c r="C3996" t="s">
        <v>1308</v>
      </c>
      <c r="D3996" t="str">
        <f>HYPERLINK("http://service.sap.com/sap/support/notes/1647320","1647320")</f>
        <v>1647320</v>
      </c>
      <c r="E3996">
        <v>5</v>
      </c>
      <c r="F3996" t="s">
        <v>5420</v>
      </c>
    </row>
    <row r="3997" spans="1:6" x14ac:dyDescent="0.25">
      <c r="A3997" t="s">
        <v>1522</v>
      </c>
      <c r="B3997" t="s">
        <v>5421</v>
      </c>
      <c r="C3997" t="s">
        <v>5422</v>
      </c>
      <c r="D3997" t="str">
        <f>HYPERLINK("http://service.sap.com/sap/support/notes/1633815","1633815")</f>
        <v>1633815</v>
      </c>
      <c r="E3997">
        <v>2</v>
      </c>
      <c r="F3997" t="s">
        <v>5423</v>
      </c>
    </row>
    <row r="3998" spans="1:6" x14ac:dyDescent="0.25">
      <c r="A3998" t="s">
        <v>1522</v>
      </c>
      <c r="B3998" t="s">
        <v>1311</v>
      </c>
      <c r="C3998" t="s">
        <v>1312</v>
      </c>
      <c r="D3998" t="str">
        <f>HYPERLINK("http://service.sap.com/sap/support/notes/1638808","1638808")</f>
        <v>1638808</v>
      </c>
      <c r="E3998">
        <v>1</v>
      </c>
      <c r="F3998" t="s">
        <v>5424</v>
      </c>
    </row>
    <row r="3999" spans="1:6" x14ac:dyDescent="0.25">
      <c r="A3999" t="s">
        <v>1522</v>
      </c>
      <c r="B3999" t="s">
        <v>1317</v>
      </c>
      <c r="C3999" t="s">
        <v>170</v>
      </c>
      <c r="D3999" t="str">
        <f>HYPERLINK("http://service.sap.com/sap/support/notes/1609309","1609309")</f>
        <v>1609309</v>
      </c>
      <c r="E3999">
        <v>2</v>
      </c>
      <c r="F3999" t="s">
        <v>5425</v>
      </c>
    </row>
    <row r="4000" spans="1:6" x14ac:dyDescent="0.25">
      <c r="A4000" t="s">
        <v>1522</v>
      </c>
      <c r="B4000" t="s">
        <v>1317</v>
      </c>
      <c r="C4000" t="s">
        <v>170</v>
      </c>
      <c r="D4000" t="str">
        <f>HYPERLINK("http://service.sap.com/sap/support/notes/1623631","1623631")</f>
        <v>1623631</v>
      </c>
      <c r="E4000">
        <v>2</v>
      </c>
      <c r="F4000" t="s">
        <v>5426</v>
      </c>
    </row>
    <row r="4001" spans="1:6" x14ac:dyDescent="0.25">
      <c r="A4001" t="s">
        <v>1522</v>
      </c>
      <c r="B4001" t="s">
        <v>1317</v>
      </c>
      <c r="C4001" t="s">
        <v>170</v>
      </c>
      <c r="D4001" t="str">
        <f>HYPERLINK("http://service.sap.com/sap/support/notes/1637142","1637142")</f>
        <v>1637142</v>
      </c>
      <c r="E4001">
        <v>4</v>
      </c>
      <c r="F4001" t="s">
        <v>5427</v>
      </c>
    </row>
    <row r="4002" spans="1:6" x14ac:dyDescent="0.25">
      <c r="A4002" t="s">
        <v>1522</v>
      </c>
      <c r="B4002" t="s">
        <v>1317</v>
      </c>
      <c r="C4002" t="s">
        <v>170</v>
      </c>
      <c r="D4002" t="str">
        <f>HYPERLINK("http://service.sap.com/sap/support/notes/1637733","1637733")</f>
        <v>1637733</v>
      </c>
      <c r="E4002">
        <v>4</v>
      </c>
      <c r="F4002" t="s">
        <v>5428</v>
      </c>
    </row>
    <row r="4003" spans="1:6" x14ac:dyDescent="0.25">
      <c r="A4003" t="s">
        <v>1522</v>
      </c>
      <c r="B4003" t="s">
        <v>1317</v>
      </c>
      <c r="C4003" t="s">
        <v>170</v>
      </c>
      <c r="D4003" t="str">
        <f>HYPERLINK("http://service.sap.com/sap/support/notes/1646329","1646329")</f>
        <v>1646329</v>
      </c>
      <c r="E4003">
        <v>5</v>
      </c>
      <c r="F4003" t="s">
        <v>5429</v>
      </c>
    </row>
    <row r="4004" spans="1:6" x14ac:dyDescent="0.25">
      <c r="A4004" t="s">
        <v>1522</v>
      </c>
      <c r="B4004" t="s">
        <v>1317</v>
      </c>
      <c r="C4004" t="s">
        <v>170</v>
      </c>
      <c r="D4004" t="str">
        <f>HYPERLINK("http://service.sap.com/sap/support/notes/1649468","1649468")</f>
        <v>1649468</v>
      </c>
      <c r="E4004">
        <v>2</v>
      </c>
      <c r="F4004" t="s">
        <v>5430</v>
      </c>
    </row>
    <row r="4005" spans="1:6" x14ac:dyDescent="0.25">
      <c r="A4005" t="s">
        <v>1522</v>
      </c>
      <c r="B4005" t="s">
        <v>1317</v>
      </c>
      <c r="C4005" t="s">
        <v>170</v>
      </c>
      <c r="D4005" t="str">
        <f>HYPERLINK("http://service.sap.com/sap/support/notes/1649994","1649994")</f>
        <v>1649994</v>
      </c>
      <c r="E4005">
        <v>2</v>
      </c>
      <c r="F4005" t="s">
        <v>5431</v>
      </c>
    </row>
    <row r="4006" spans="1:6" x14ac:dyDescent="0.25">
      <c r="A4006" t="s">
        <v>1522</v>
      </c>
      <c r="B4006" t="s">
        <v>5432</v>
      </c>
      <c r="C4006" t="s">
        <v>5433</v>
      </c>
      <c r="D4006" t="str">
        <f>HYPERLINK("http://service.sap.com/sap/support/notes/1569094","1569094")</f>
        <v>1569094</v>
      </c>
      <c r="E4006">
        <v>4</v>
      </c>
      <c r="F4006" t="s">
        <v>5434</v>
      </c>
    </row>
    <row r="4007" spans="1:6" x14ac:dyDescent="0.25">
      <c r="A4007" t="s">
        <v>1522</v>
      </c>
      <c r="B4007" t="s">
        <v>5432</v>
      </c>
      <c r="C4007" t="s">
        <v>5433</v>
      </c>
      <c r="D4007" t="str">
        <f>HYPERLINK("http://service.sap.com/sap/support/notes/1583095","1583095")</f>
        <v>1583095</v>
      </c>
      <c r="E4007">
        <v>3</v>
      </c>
      <c r="F4007" t="s">
        <v>5435</v>
      </c>
    </row>
    <row r="4008" spans="1:6" x14ac:dyDescent="0.25">
      <c r="A4008" t="s">
        <v>1522</v>
      </c>
      <c r="B4008" t="s">
        <v>5432</v>
      </c>
      <c r="C4008" t="s">
        <v>5433</v>
      </c>
      <c r="D4008" t="str">
        <f>HYPERLINK("http://service.sap.com/sap/support/notes/1601839","1601839")</f>
        <v>1601839</v>
      </c>
      <c r="E4008">
        <v>2</v>
      </c>
      <c r="F4008" t="s">
        <v>5436</v>
      </c>
    </row>
    <row r="4009" spans="1:6" x14ac:dyDescent="0.25">
      <c r="A4009" t="s">
        <v>1522</v>
      </c>
      <c r="B4009" t="s">
        <v>5432</v>
      </c>
      <c r="C4009" t="s">
        <v>5433</v>
      </c>
      <c r="D4009" t="str">
        <f>HYPERLINK("http://service.sap.com/sap/support/notes/1606757","1606757")</f>
        <v>1606757</v>
      </c>
      <c r="E4009">
        <v>1</v>
      </c>
      <c r="F4009" t="s">
        <v>5437</v>
      </c>
    </row>
    <row r="4010" spans="1:6" x14ac:dyDescent="0.25">
      <c r="A4010" t="s">
        <v>1522</v>
      </c>
      <c r="B4010" t="s">
        <v>5432</v>
      </c>
      <c r="C4010" t="s">
        <v>5433</v>
      </c>
      <c r="D4010" t="str">
        <f>HYPERLINK("http://service.sap.com/sap/support/notes/1613867","1613867")</f>
        <v>1613867</v>
      </c>
      <c r="E4010">
        <v>3</v>
      </c>
      <c r="F4010" t="s">
        <v>5438</v>
      </c>
    </row>
    <row r="4011" spans="1:6" x14ac:dyDescent="0.25">
      <c r="A4011" t="s">
        <v>1522</v>
      </c>
      <c r="B4011" t="s">
        <v>5432</v>
      </c>
      <c r="C4011" t="s">
        <v>5433</v>
      </c>
      <c r="D4011" t="str">
        <f>HYPERLINK("http://service.sap.com/sap/support/notes/1615004","1615004")</f>
        <v>1615004</v>
      </c>
      <c r="E4011">
        <v>7</v>
      </c>
      <c r="F4011" t="s">
        <v>5439</v>
      </c>
    </row>
    <row r="4012" spans="1:6" x14ac:dyDescent="0.25">
      <c r="A4012" t="s">
        <v>1522</v>
      </c>
      <c r="B4012" t="s">
        <v>5432</v>
      </c>
      <c r="C4012" t="s">
        <v>5433</v>
      </c>
      <c r="D4012" t="str">
        <f>HYPERLINK("http://service.sap.com/sap/support/notes/1624000","1624000")</f>
        <v>1624000</v>
      </c>
      <c r="E4012">
        <v>4</v>
      </c>
      <c r="F4012" t="s">
        <v>5440</v>
      </c>
    </row>
    <row r="4013" spans="1:6" x14ac:dyDescent="0.25">
      <c r="A4013" t="s">
        <v>1522</v>
      </c>
      <c r="B4013" t="s">
        <v>5432</v>
      </c>
      <c r="C4013" t="s">
        <v>5433</v>
      </c>
      <c r="D4013" t="str">
        <f>HYPERLINK("http://service.sap.com/sap/support/notes/1624137","1624137")</f>
        <v>1624137</v>
      </c>
      <c r="E4013">
        <v>1</v>
      </c>
      <c r="F4013" t="s">
        <v>5441</v>
      </c>
    </row>
    <row r="4014" spans="1:6" x14ac:dyDescent="0.25">
      <c r="A4014" t="s">
        <v>1522</v>
      </c>
      <c r="B4014" t="s">
        <v>5432</v>
      </c>
      <c r="C4014" t="s">
        <v>5433</v>
      </c>
      <c r="D4014" t="str">
        <f>HYPERLINK("http://service.sap.com/sap/support/notes/1637669","1637669")</f>
        <v>1637669</v>
      </c>
      <c r="E4014">
        <v>1</v>
      </c>
      <c r="F4014" t="s">
        <v>5442</v>
      </c>
    </row>
    <row r="4015" spans="1:6" x14ac:dyDescent="0.25">
      <c r="A4015" t="s">
        <v>1522</v>
      </c>
      <c r="B4015" t="s">
        <v>5432</v>
      </c>
      <c r="C4015" t="s">
        <v>5433</v>
      </c>
      <c r="D4015" t="str">
        <f>HYPERLINK("http://service.sap.com/sap/support/notes/1641888","1641888")</f>
        <v>1641888</v>
      </c>
      <c r="E4015">
        <v>2</v>
      </c>
      <c r="F4015" t="s">
        <v>5443</v>
      </c>
    </row>
    <row r="4016" spans="1:6" x14ac:dyDescent="0.25">
      <c r="A4016" t="s">
        <v>1522</v>
      </c>
      <c r="B4016" t="s">
        <v>5432</v>
      </c>
      <c r="C4016" t="s">
        <v>5433</v>
      </c>
      <c r="D4016" t="str">
        <f>HYPERLINK("http://service.sap.com/sap/support/notes/1641908","1641908")</f>
        <v>1641908</v>
      </c>
      <c r="E4016">
        <v>1</v>
      </c>
      <c r="F4016" t="s">
        <v>5444</v>
      </c>
    </row>
    <row r="4017" spans="1:6" x14ac:dyDescent="0.25">
      <c r="A4017" t="s">
        <v>1522</v>
      </c>
      <c r="B4017" t="s">
        <v>5432</v>
      </c>
      <c r="C4017" t="s">
        <v>5433</v>
      </c>
      <c r="D4017" t="str">
        <f>HYPERLINK("http://service.sap.com/sap/support/notes/1642757","1642757")</f>
        <v>1642757</v>
      </c>
      <c r="E4017">
        <v>1</v>
      </c>
      <c r="F4017" t="s">
        <v>5445</v>
      </c>
    </row>
    <row r="4018" spans="1:6" x14ac:dyDescent="0.25">
      <c r="A4018" t="s">
        <v>1522</v>
      </c>
      <c r="B4018" t="s">
        <v>5432</v>
      </c>
      <c r="C4018" t="s">
        <v>5433</v>
      </c>
      <c r="D4018" t="str">
        <f>HYPERLINK("http://service.sap.com/sap/support/notes/1644802","1644802")</f>
        <v>1644802</v>
      </c>
      <c r="E4018">
        <v>1</v>
      </c>
      <c r="F4018" t="s">
        <v>5446</v>
      </c>
    </row>
    <row r="4019" spans="1:6" x14ac:dyDescent="0.25">
      <c r="A4019" t="s">
        <v>1522</v>
      </c>
      <c r="B4019" t="s">
        <v>5432</v>
      </c>
      <c r="C4019" t="s">
        <v>5433</v>
      </c>
      <c r="D4019" t="str">
        <f>HYPERLINK("http://service.sap.com/sap/support/notes/1654721","1654721")</f>
        <v>1654721</v>
      </c>
      <c r="E4019">
        <v>1</v>
      </c>
      <c r="F4019" t="s">
        <v>5447</v>
      </c>
    </row>
    <row r="4020" spans="1:6" x14ac:dyDescent="0.25">
      <c r="A4020" t="s">
        <v>1522</v>
      </c>
      <c r="B4020" t="s">
        <v>1322</v>
      </c>
      <c r="C4020" t="s">
        <v>869</v>
      </c>
      <c r="D4020" t="str">
        <f>HYPERLINK("http://service.sap.com/sap/support/notes/1626189","1626189")</f>
        <v>1626189</v>
      </c>
      <c r="E4020">
        <v>1</v>
      </c>
      <c r="F4020" t="s">
        <v>5448</v>
      </c>
    </row>
    <row r="4021" spans="1:6" x14ac:dyDescent="0.25">
      <c r="A4021" t="s">
        <v>1522</v>
      </c>
      <c r="B4021" t="s">
        <v>1322</v>
      </c>
      <c r="C4021" t="s">
        <v>869</v>
      </c>
      <c r="D4021" t="str">
        <f>HYPERLINK("http://service.sap.com/sap/support/notes/1641734","1641734")</f>
        <v>1641734</v>
      </c>
      <c r="E4021">
        <v>2</v>
      </c>
      <c r="F4021" t="s">
        <v>5449</v>
      </c>
    </row>
    <row r="4022" spans="1:6" x14ac:dyDescent="0.25">
      <c r="A4022" t="s">
        <v>1522</v>
      </c>
      <c r="B4022" t="s">
        <v>1322</v>
      </c>
      <c r="C4022" t="s">
        <v>869</v>
      </c>
      <c r="D4022" t="str">
        <f>HYPERLINK("http://service.sap.com/sap/support/notes/1642451","1642451")</f>
        <v>1642451</v>
      </c>
      <c r="E4022">
        <v>3</v>
      </c>
      <c r="F4022" t="s">
        <v>5450</v>
      </c>
    </row>
    <row r="4023" spans="1:6" x14ac:dyDescent="0.25">
      <c r="A4023" t="s">
        <v>1522</v>
      </c>
      <c r="B4023" t="s">
        <v>1324</v>
      </c>
      <c r="C4023" t="s">
        <v>337</v>
      </c>
    </row>
    <row r="4024" spans="1:6" x14ac:dyDescent="0.25">
      <c r="A4024" t="s">
        <v>1522</v>
      </c>
      <c r="B4024" t="s">
        <v>5451</v>
      </c>
      <c r="C4024" t="s">
        <v>5452</v>
      </c>
      <c r="D4024" t="str">
        <f>HYPERLINK("http://service.sap.com/sap/support/notes/1668720","1668720")</f>
        <v>1668720</v>
      </c>
      <c r="E4024">
        <v>1</v>
      </c>
      <c r="F4024" t="s">
        <v>5453</v>
      </c>
    </row>
    <row r="4025" spans="1:6" x14ac:dyDescent="0.25">
      <c r="A4025" t="s">
        <v>1522</v>
      </c>
      <c r="B4025" t="s">
        <v>5454</v>
      </c>
      <c r="C4025" t="s">
        <v>5455</v>
      </c>
      <c r="D4025" t="str">
        <f>HYPERLINK("http://service.sap.com/sap/support/notes/1641710","1641710")</f>
        <v>1641710</v>
      </c>
      <c r="E4025">
        <v>2</v>
      </c>
      <c r="F4025" t="s">
        <v>5456</v>
      </c>
    </row>
    <row r="4026" spans="1:6" x14ac:dyDescent="0.25">
      <c r="A4026" t="s">
        <v>1522</v>
      </c>
      <c r="B4026" t="s">
        <v>1325</v>
      </c>
      <c r="C4026" t="s">
        <v>1326</v>
      </c>
      <c r="D4026" t="str">
        <f>HYPERLINK("http://service.sap.com/sap/support/notes/1173666","1173666")</f>
        <v>1173666</v>
      </c>
      <c r="E4026">
        <v>4</v>
      </c>
      <c r="F4026" t="s">
        <v>5457</v>
      </c>
    </row>
    <row r="4027" spans="1:6" x14ac:dyDescent="0.25">
      <c r="A4027" t="s">
        <v>1522</v>
      </c>
      <c r="B4027" t="s">
        <v>1325</v>
      </c>
      <c r="C4027" t="s">
        <v>1326</v>
      </c>
      <c r="D4027" t="str">
        <f>HYPERLINK("http://service.sap.com/sap/support/notes/1531532","1531532")</f>
        <v>1531532</v>
      </c>
      <c r="E4027">
        <v>3</v>
      </c>
      <c r="F4027" t="s">
        <v>5458</v>
      </c>
    </row>
    <row r="4028" spans="1:6" x14ac:dyDescent="0.25">
      <c r="A4028" t="s">
        <v>1522</v>
      </c>
      <c r="B4028" t="s">
        <v>1325</v>
      </c>
      <c r="C4028" t="s">
        <v>1326</v>
      </c>
      <c r="D4028" t="str">
        <f>HYPERLINK("http://service.sap.com/sap/support/notes/1604958","1604958")</f>
        <v>1604958</v>
      </c>
      <c r="E4028">
        <v>2</v>
      </c>
      <c r="F4028" t="s">
        <v>5459</v>
      </c>
    </row>
    <row r="4029" spans="1:6" x14ac:dyDescent="0.25">
      <c r="A4029" t="s">
        <v>1522</v>
      </c>
      <c r="B4029" t="s">
        <v>1325</v>
      </c>
      <c r="C4029" t="s">
        <v>1326</v>
      </c>
      <c r="D4029" t="str">
        <f>HYPERLINK("http://service.sap.com/sap/support/notes/1608987","1608987")</f>
        <v>1608987</v>
      </c>
      <c r="E4029">
        <v>5</v>
      </c>
      <c r="F4029" t="s">
        <v>5460</v>
      </c>
    </row>
    <row r="4030" spans="1:6" x14ac:dyDescent="0.25">
      <c r="A4030" t="s">
        <v>1522</v>
      </c>
      <c r="B4030" t="s">
        <v>1325</v>
      </c>
      <c r="C4030" t="s">
        <v>1326</v>
      </c>
      <c r="D4030" t="str">
        <f>HYPERLINK("http://service.sap.com/sap/support/notes/1616584","1616584")</f>
        <v>1616584</v>
      </c>
      <c r="E4030">
        <v>1</v>
      </c>
      <c r="F4030" t="s">
        <v>5461</v>
      </c>
    </row>
    <row r="4031" spans="1:6" x14ac:dyDescent="0.25">
      <c r="A4031" t="s">
        <v>1522</v>
      </c>
      <c r="B4031" t="s">
        <v>1325</v>
      </c>
      <c r="C4031" t="s">
        <v>1326</v>
      </c>
      <c r="D4031" t="str">
        <f>HYPERLINK("http://service.sap.com/sap/support/notes/1624276","1624276")</f>
        <v>1624276</v>
      </c>
      <c r="E4031">
        <v>3</v>
      </c>
      <c r="F4031" t="s">
        <v>5462</v>
      </c>
    </row>
    <row r="4032" spans="1:6" x14ac:dyDescent="0.25">
      <c r="A4032" t="s">
        <v>1522</v>
      </c>
      <c r="B4032" t="s">
        <v>1325</v>
      </c>
      <c r="C4032" t="s">
        <v>1326</v>
      </c>
      <c r="D4032" t="str">
        <f>HYPERLINK("http://service.sap.com/sap/support/notes/1626350","1626350")</f>
        <v>1626350</v>
      </c>
      <c r="E4032">
        <v>4</v>
      </c>
      <c r="F4032" t="s">
        <v>5463</v>
      </c>
    </row>
    <row r="4033" spans="1:6" x14ac:dyDescent="0.25">
      <c r="A4033" t="s">
        <v>1522</v>
      </c>
      <c r="B4033" t="s">
        <v>1325</v>
      </c>
      <c r="C4033" t="s">
        <v>1326</v>
      </c>
      <c r="D4033" t="str">
        <f>HYPERLINK("http://service.sap.com/sap/support/notes/1631369","1631369")</f>
        <v>1631369</v>
      </c>
      <c r="E4033">
        <v>1</v>
      </c>
      <c r="F4033" t="s">
        <v>5464</v>
      </c>
    </row>
    <row r="4034" spans="1:6" x14ac:dyDescent="0.25">
      <c r="A4034" t="s">
        <v>1522</v>
      </c>
      <c r="B4034" t="s">
        <v>5465</v>
      </c>
      <c r="C4034" t="s">
        <v>5466</v>
      </c>
      <c r="D4034" t="str">
        <f>HYPERLINK("http://service.sap.com/sap/support/notes/1659028","1659028")</f>
        <v>1659028</v>
      </c>
      <c r="E4034">
        <v>5</v>
      </c>
      <c r="F4034" t="s">
        <v>5467</v>
      </c>
    </row>
    <row r="4035" spans="1:6" x14ac:dyDescent="0.25">
      <c r="A4035" t="s">
        <v>1522</v>
      </c>
      <c r="B4035" t="s">
        <v>1329</v>
      </c>
      <c r="C4035" t="s">
        <v>1330</v>
      </c>
      <c r="D4035" t="str">
        <f>HYPERLINK("http://service.sap.com/sap/support/notes/1605065","1605065")</f>
        <v>1605065</v>
      </c>
      <c r="E4035">
        <v>2</v>
      </c>
      <c r="F4035" t="s">
        <v>5468</v>
      </c>
    </row>
    <row r="4036" spans="1:6" x14ac:dyDescent="0.25">
      <c r="A4036" t="s">
        <v>1522</v>
      </c>
      <c r="B4036" t="s">
        <v>1329</v>
      </c>
      <c r="C4036" t="s">
        <v>1330</v>
      </c>
      <c r="D4036" t="str">
        <f>HYPERLINK("http://service.sap.com/sap/support/notes/1608120","1608120")</f>
        <v>1608120</v>
      </c>
      <c r="E4036">
        <v>2</v>
      </c>
      <c r="F4036" t="s">
        <v>5469</v>
      </c>
    </row>
    <row r="4037" spans="1:6" x14ac:dyDescent="0.25">
      <c r="A4037" t="s">
        <v>1522</v>
      </c>
      <c r="B4037" t="s">
        <v>1329</v>
      </c>
      <c r="C4037" t="s">
        <v>1330</v>
      </c>
      <c r="D4037" t="str">
        <f>HYPERLINK("http://service.sap.com/sap/support/notes/1626297","1626297")</f>
        <v>1626297</v>
      </c>
      <c r="E4037">
        <v>2</v>
      </c>
      <c r="F4037" t="s">
        <v>5470</v>
      </c>
    </row>
    <row r="4038" spans="1:6" x14ac:dyDescent="0.25">
      <c r="A4038" t="s">
        <v>1522</v>
      </c>
      <c r="B4038" t="s">
        <v>1329</v>
      </c>
      <c r="C4038" t="s">
        <v>1330</v>
      </c>
      <c r="D4038" t="str">
        <f>HYPERLINK("http://service.sap.com/sap/support/notes/1634515","1634515")</f>
        <v>1634515</v>
      </c>
      <c r="E4038">
        <v>1</v>
      </c>
      <c r="F4038" t="s">
        <v>5471</v>
      </c>
    </row>
    <row r="4039" spans="1:6" x14ac:dyDescent="0.25">
      <c r="A4039" t="s">
        <v>1522</v>
      </c>
      <c r="B4039" t="s">
        <v>1329</v>
      </c>
      <c r="C4039" t="s">
        <v>1330</v>
      </c>
      <c r="D4039" t="str">
        <f>HYPERLINK("http://service.sap.com/sap/support/notes/1641662","1641662")</f>
        <v>1641662</v>
      </c>
      <c r="E4039">
        <v>2</v>
      </c>
      <c r="F4039" t="s">
        <v>5472</v>
      </c>
    </row>
    <row r="4040" spans="1:6" x14ac:dyDescent="0.25">
      <c r="A4040" t="s">
        <v>1522</v>
      </c>
      <c r="B4040" t="s">
        <v>1329</v>
      </c>
      <c r="C4040" t="s">
        <v>1330</v>
      </c>
      <c r="D4040" t="str">
        <f>HYPERLINK("http://service.sap.com/sap/support/notes/1648652","1648652")</f>
        <v>1648652</v>
      </c>
      <c r="E4040">
        <v>1</v>
      </c>
      <c r="F4040" t="s">
        <v>5473</v>
      </c>
    </row>
    <row r="4041" spans="1:6" x14ac:dyDescent="0.25">
      <c r="A4041" t="s">
        <v>1522</v>
      </c>
      <c r="B4041" t="s">
        <v>1335</v>
      </c>
      <c r="C4041" t="s">
        <v>1336</v>
      </c>
      <c r="D4041" t="str">
        <f>HYPERLINK("http://service.sap.com/sap/support/notes/1035488","1035488")</f>
        <v>1035488</v>
      </c>
      <c r="E4041">
        <v>4</v>
      </c>
      <c r="F4041" t="s">
        <v>5474</v>
      </c>
    </row>
    <row r="4042" spans="1:6" x14ac:dyDescent="0.25">
      <c r="A4042" t="s">
        <v>1522</v>
      </c>
      <c r="B4042" t="s">
        <v>1335</v>
      </c>
      <c r="C4042" t="s">
        <v>1336</v>
      </c>
      <c r="D4042" t="str">
        <f>HYPERLINK("http://service.sap.com/sap/support/notes/1637679","1637679")</f>
        <v>1637679</v>
      </c>
      <c r="E4042">
        <v>1</v>
      </c>
      <c r="F4042" t="s">
        <v>5475</v>
      </c>
    </row>
    <row r="4043" spans="1:6" x14ac:dyDescent="0.25">
      <c r="A4043" t="s">
        <v>1522</v>
      </c>
      <c r="B4043" t="s">
        <v>1335</v>
      </c>
      <c r="C4043" t="s">
        <v>1336</v>
      </c>
      <c r="D4043" t="str">
        <f>HYPERLINK("http://service.sap.com/sap/support/notes/1645419","1645419")</f>
        <v>1645419</v>
      </c>
      <c r="E4043">
        <v>2</v>
      </c>
      <c r="F4043" t="s">
        <v>5476</v>
      </c>
    </row>
    <row r="4044" spans="1:6" x14ac:dyDescent="0.25">
      <c r="A4044" t="s">
        <v>1522</v>
      </c>
      <c r="B4044" t="s">
        <v>1343</v>
      </c>
      <c r="C4044" t="s">
        <v>1344</v>
      </c>
      <c r="D4044" t="str">
        <f>HYPERLINK("http://service.sap.com/sap/support/notes/1285627","1285627")</f>
        <v>1285627</v>
      </c>
      <c r="E4044">
        <v>3</v>
      </c>
      <c r="F4044" t="s">
        <v>5477</v>
      </c>
    </row>
    <row r="4045" spans="1:6" x14ac:dyDescent="0.25">
      <c r="A4045" t="s">
        <v>1522</v>
      </c>
      <c r="B4045" t="s">
        <v>1343</v>
      </c>
      <c r="C4045" t="s">
        <v>1344</v>
      </c>
      <c r="D4045" t="str">
        <f>HYPERLINK("http://service.sap.com/sap/support/notes/1629123","1629123")</f>
        <v>1629123</v>
      </c>
      <c r="E4045">
        <v>2</v>
      </c>
      <c r="F4045" t="s">
        <v>5478</v>
      </c>
    </row>
    <row r="4046" spans="1:6" x14ac:dyDescent="0.25">
      <c r="A4046" t="s">
        <v>1522</v>
      </c>
      <c r="B4046" t="s">
        <v>1343</v>
      </c>
      <c r="C4046" t="s">
        <v>1344</v>
      </c>
      <c r="D4046" t="str">
        <f>HYPERLINK("http://service.sap.com/sap/support/notes/1631156","1631156")</f>
        <v>1631156</v>
      </c>
      <c r="E4046">
        <v>1</v>
      </c>
      <c r="F4046" t="s">
        <v>5479</v>
      </c>
    </row>
    <row r="4047" spans="1:6" x14ac:dyDescent="0.25">
      <c r="A4047" t="s">
        <v>1522</v>
      </c>
      <c r="B4047" t="s">
        <v>1343</v>
      </c>
      <c r="C4047" t="s">
        <v>1344</v>
      </c>
      <c r="D4047" t="str">
        <f>HYPERLINK("http://service.sap.com/sap/support/notes/1643388","1643388")</f>
        <v>1643388</v>
      </c>
      <c r="E4047">
        <v>3</v>
      </c>
      <c r="F4047" t="s">
        <v>5480</v>
      </c>
    </row>
    <row r="4048" spans="1:6" x14ac:dyDescent="0.25">
      <c r="A4048" t="s">
        <v>1522</v>
      </c>
      <c r="B4048" t="s">
        <v>1343</v>
      </c>
      <c r="C4048" t="s">
        <v>1344</v>
      </c>
      <c r="D4048" t="str">
        <f>HYPERLINK("http://service.sap.com/sap/support/notes/1643927","1643927")</f>
        <v>1643927</v>
      </c>
      <c r="E4048">
        <v>1</v>
      </c>
      <c r="F4048" t="s">
        <v>5481</v>
      </c>
    </row>
    <row r="4049" spans="1:6" x14ac:dyDescent="0.25">
      <c r="A4049" t="s">
        <v>1522</v>
      </c>
      <c r="B4049" t="s">
        <v>1343</v>
      </c>
      <c r="C4049" t="s">
        <v>1344</v>
      </c>
      <c r="D4049" t="str">
        <f>HYPERLINK("http://service.sap.com/sap/support/notes/1663676","1663676")</f>
        <v>1663676</v>
      </c>
      <c r="E4049">
        <v>1</v>
      </c>
      <c r="F4049" t="s">
        <v>5482</v>
      </c>
    </row>
    <row r="4050" spans="1:6" x14ac:dyDescent="0.25">
      <c r="A4050" t="s">
        <v>1522</v>
      </c>
      <c r="B4050" t="s">
        <v>5483</v>
      </c>
      <c r="C4050" t="s">
        <v>5484</v>
      </c>
      <c r="D4050" t="str">
        <f>HYPERLINK("http://service.sap.com/sap/support/notes/1643751","1643751")</f>
        <v>1643751</v>
      </c>
      <c r="E4050">
        <v>1</v>
      </c>
      <c r="F4050" t="s">
        <v>5485</v>
      </c>
    </row>
    <row r="4051" spans="1:6" x14ac:dyDescent="0.25">
      <c r="A4051" t="s">
        <v>1522</v>
      </c>
      <c r="B4051" t="s">
        <v>5483</v>
      </c>
      <c r="C4051" t="s">
        <v>5484</v>
      </c>
      <c r="D4051" t="str">
        <f>HYPERLINK("http://service.sap.com/sap/support/notes/1653613","1653613")</f>
        <v>1653613</v>
      </c>
      <c r="E4051">
        <v>1</v>
      </c>
      <c r="F4051" t="s">
        <v>5486</v>
      </c>
    </row>
    <row r="4052" spans="1:6" x14ac:dyDescent="0.25">
      <c r="A4052" t="s">
        <v>1522</v>
      </c>
      <c r="B4052" t="s">
        <v>1347</v>
      </c>
      <c r="C4052" t="s">
        <v>1348</v>
      </c>
      <c r="D4052" t="str">
        <f>HYPERLINK("http://service.sap.com/sap/support/notes/1133551","1133551")</f>
        <v>1133551</v>
      </c>
      <c r="E4052">
        <v>3</v>
      </c>
      <c r="F4052" t="s">
        <v>5487</v>
      </c>
    </row>
    <row r="4053" spans="1:6" x14ac:dyDescent="0.25">
      <c r="A4053" t="s">
        <v>1522</v>
      </c>
      <c r="B4053" t="s">
        <v>1347</v>
      </c>
      <c r="C4053" t="s">
        <v>1348</v>
      </c>
      <c r="D4053" t="str">
        <f>HYPERLINK("http://service.sap.com/sap/support/notes/1643880","1643880")</f>
        <v>1643880</v>
      </c>
      <c r="E4053">
        <v>1</v>
      </c>
      <c r="F4053" t="s">
        <v>5488</v>
      </c>
    </row>
    <row r="4054" spans="1:6" x14ac:dyDescent="0.25">
      <c r="A4054" t="s">
        <v>1522</v>
      </c>
      <c r="B4054" t="s">
        <v>1347</v>
      </c>
      <c r="C4054" t="s">
        <v>1348</v>
      </c>
      <c r="D4054" t="str">
        <f>HYPERLINK("http://service.sap.com/sap/support/notes/1655238","1655238")</f>
        <v>1655238</v>
      </c>
      <c r="E4054">
        <v>1</v>
      </c>
      <c r="F4054" t="s">
        <v>5489</v>
      </c>
    </row>
    <row r="4055" spans="1:6" x14ac:dyDescent="0.25">
      <c r="A4055" t="s">
        <v>1522</v>
      </c>
      <c r="B4055" t="s">
        <v>5490</v>
      </c>
      <c r="C4055" t="s">
        <v>5491</v>
      </c>
      <c r="D4055" t="str">
        <f>HYPERLINK("http://service.sap.com/sap/support/notes/1605915","1605915")</f>
        <v>1605915</v>
      </c>
      <c r="E4055">
        <v>1</v>
      </c>
      <c r="F4055" t="s">
        <v>5492</v>
      </c>
    </row>
    <row r="4056" spans="1:6" x14ac:dyDescent="0.25">
      <c r="A4056" t="s">
        <v>1522</v>
      </c>
      <c r="B4056" t="s">
        <v>5490</v>
      </c>
      <c r="C4056" t="s">
        <v>5491</v>
      </c>
      <c r="D4056" t="str">
        <f>HYPERLINK("http://service.sap.com/sap/support/notes/1623722","1623722")</f>
        <v>1623722</v>
      </c>
      <c r="E4056">
        <v>1</v>
      </c>
      <c r="F4056" t="s">
        <v>5493</v>
      </c>
    </row>
    <row r="4057" spans="1:6" x14ac:dyDescent="0.25">
      <c r="A4057" t="s">
        <v>1522</v>
      </c>
      <c r="B4057" t="s">
        <v>5490</v>
      </c>
      <c r="C4057" t="s">
        <v>5491</v>
      </c>
      <c r="D4057" t="str">
        <f>HYPERLINK("http://service.sap.com/sap/support/notes/1625163","1625163")</f>
        <v>1625163</v>
      </c>
      <c r="E4057">
        <v>1</v>
      </c>
      <c r="F4057" t="s">
        <v>5494</v>
      </c>
    </row>
    <row r="4058" spans="1:6" x14ac:dyDescent="0.25">
      <c r="A4058" t="s">
        <v>1522</v>
      </c>
      <c r="B4058" t="s">
        <v>5490</v>
      </c>
      <c r="C4058" t="s">
        <v>5491</v>
      </c>
      <c r="D4058" t="str">
        <f>HYPERLINK("http://service.sap.com/sap/support/notes/1625727","1625727")</f>
        <v>1625727</v>
      </c>
      <c r="E4058">
        <v>1</v>
      </c>
      <c r="F4058" t="s">
        <v>5495</v>
      </c>
    </row>
    <row r="4059" spans="1:6" x14ac:dyDescent="0.25">
      <c r="A4059" t="s">
        <v>1522</v>
      </c>
      <c r="B4059" t="s">
        <v>5490</v>
      </c>
      <c r="C4059" t="s">
        <v>5491</v>
      </c>
      <c r="D4059" t="str">
        <f>HYPERLINK("http://service.sap.com/sap/support/notes/1633366","1633366")</f>
        <v>1633366</v>
      </c>
      <c r="E4059">
        <v>1</v>
      </c>
      <c r="F4059" t="s">
        <v>5496</v>
      </c>
    </row>
    <row r="4060" spans="1:6" x14ac:dyDescent="0.25">
      <c r="A4060" t="s">
        <v>1522</v>
      </c>
      <c r="B4060" t="s">
        <v>5490</v>
      </c>
      <c r="C4060" t="s">
        <v>5491</v>
      </c>
      <c r="D4060" t="str">
        <f>HYPERLINK("http://service.sap.com/sap/support/notes/1644891","1644891")</f>
        <v>1644891</v>
      </c>
      <c r="E4060">
        <v>4</v>
      </c>
      <c r="F4060" t="s">
        <v>5497</v>
      </c>
    </row>
    <row r="4061" spans="1:6" x14ac:dyDescent="0.25">
      <c r="A4061" t="s">
        <v>1522</v>
      </c>
      <c r="B4061" t="s">
        <v>5490</v>
      </c>
      <c r="C4061" t="s">
        <v>5491</v>
      </c>
      <c r="D4061" t="str">
        <f>HYPERLINK("http://service.sap.com/sap/support/notes/1657820","1657820")</f>
        <v>1657820</v>
      </c>
      <c r="E4061">
        <v>1</v>
      </c>
      <c r="F4061" t="s">
        <v>5498</v>
      </c>
    </row>
    <row r="4062" spans="1:6" x14ac:dyDescent="0.25">
      <c r="A4062" t="s">
        <v>1522</v>
      </c>
      <c r="B4062" t="s">
        <v>1350</v>
      </c>
      <c r="C4062" t="s">
        <v>1351</v>
      </c>
    </row>
    <row r="4063" spans="1:6" x14ac:dyDescent="0.25">
      <c r="A4063" t="s">
        <v>1522</v>
      </c>
      <c r="B4063" t="s">
        <v>1352</v>
      </c>
      <c r="C4063" t="s">
        <v>117</v>
      </c>
    </row>
    <row r="4064" spans="1:6" x14ac:dyDescent="0.25">
      <c r="A4064" t="s">
        <v>1522</v>
      </c>
      <c r="B4064" t="s">
        <v>5499</v>
      </c>
      <c r="C4064" t="s">
        <v>5500</v>
      </c>
    </row>
    <row r="4065" spans="1:6" x14ac:dyDescent="0.25">
      <c r="A4065" t="s">
        <v>1522</v>
      </c>
      <c r="B4065" t="s">
        <v>5501</v>
      </c>
      <c r="C4065" t="s">
        <v>4401</v>
      </c>
      <c r="D4065" t="str">
        <f>HYPERLINK("http://service.sap.com/sap/support/notes/1579278","1579278")</f>
        <v>1579278</v>
      </c>
      <c r="E4065">
        <v>2</v>
      </c>
      <c r="F4065" t="s">
        <v>5502</v>
      </c>
    </row>
    <row r="4066" spans="1:6" x14ac:dyDescent="0.25">
      <c r="A4066" t="s">
        <v>1522</v>
      </c>
      <c r="B4066" t="s">
        <v>5501</v>
      </c>
      <c r="C4066" t="s">
        <v>4401</v>
      </c>
      <c r="D4066" t="str">
        <f>HYPERLINK("http://service.sap.com/sap/support/notes/1591794","1591794")</f>
        <v>1591794</v>
      </c>
      <c r="E4066">
        <v>6</v>
      </c>
      <c r="F4066" t="s">
        <v>5503</v>
      </c>
    </row>
    <row r="4067" spans="1:6" x14ac:dyDescent="0.25">
      <c r="A4067" t="s">
        <v>1522</v>
      </c>
      <c r="B4067" t="s">
        <v>5504</v>
      </c>
      <c r="C4067" t="s">
        <v>4843</v>
      </c>
      <c r="D4067" t="str">
        <f>HYPERLINK("http://service.sap.com/sap/support/notes/1554753","1554753")</f>
        <v>1554753</v>
      </c>
      <c r="E4067">
        <v>5</v>
      </c>
      <c r="F4067" t="s">
        <v>5505</v>
      </c>
    </row>
    <row r="4068" spans="1:6" x14ac:dyDescent="0.25">
      <c r="A4068" t="s">
        <v>1522</v>
      </c>
      <c r="B4068" t="s">
        <v>5506</v>
      </c>
      <c r="C4068" t="s">
        <v>5507</v>
      </c>
      <c r="D4068" t="str">
        <f>HYPERLINK("http://service.sap.com/sap/support/notes/1608735","1608735")</f>
        <v>1608735</v>
      </c>
      <c r="E4068">
        <v>1</v>
      </c>
      <c r="F4068" t="s">
        <v>5508</v>
      </c>
    </row>
    <row r="4069" spans="1:6" x14ac:dyDescent="0.25">
      <c r="A4069" t="s">
        <v>1522</v>
      </c>
      <c r="B4069" t="s">
        <v>5509</v>
      </c>
      <c r="C4069" t="s">
        <v>5510</v>
      </c>
      <c r="D4069" t="str">
        <f>HYPERLINK("http://service.sap.com/sap/support/notes/1560824","1560824")</f>
        <v>1560824</v>
      </c>
      <c r="E4069">
        <v>2</v>
      </c>
      <c r="F4069" t="s">
        <v>5511</v>
      </c>
    </row>
    <row r="4070" spans="1:6" x14ac:dyDescent="0.25">
      <c r="A4070" t="s">
        <v>1522</v>
      </c>
      <c r="B4070" t="s">
        <v>5509</v>
      </c>
      <c r="C4070" t="s">
        <v>5510</v>
      </c>
      <c r="D4070" t="str">
        <f>HYPERLINK("http://service.sap.com/sap/support/notes/1642080","1642080")</f>
        <v>1642080</v>
      </c>
      <c r="E4070">
        <v>2</v>
      </c>
      <c r="F4070" t="s">
        <v>5512</v>
      </c>
    </row>
    <row r="4071" spans="1:6" x14ac:dyDescent="0.25">
      <c r="A4071" t="s">
        <v>1522</v>
      </c>
      <c r="B4071" t="s">
        <v>5513</v>
      </c>
      <c r="C4071" t="s">
        <v>5514</v>
      </c>
      <c r="D4071" t="str">
        <f>HYPERLINK("http://service.sap.com/sap/support/notes/1642053","1642053")</f>
        <v>1642053</v>
      </c>
      <c r="E4071">
        <v>3</v>
      </c>
      <c r="F4071" t="s">
        <v>5515</v>
      </c>
    </row>
    <row r="4072" spans="1:6" x14ac:dyDescent="0.25">
      <c r="A4072" t="s">
        <v>1522</v>
      </c>
      <c r="B4072" t="s">
        <v>5516</v>
      </c>
      <c r="C4072" t="s">
        <v>5517</v>
      </c>
      <c r="D4072" t="str">
        <f>HYPERLINK("http://service.sap.com/sap/support/notes/1628257","1628257")</f>
        <v>1628257</v>
      </c>
      <c r="E4072">
        <v>3</v>
      </c>
      <c r="F4072" t="s">
        <v>5518</v>
      </c>
    </row>
    <row r="4073" spans="1:6" x14ac:dyDescent="0.25">
      <c r="A4073" t="s">
        <v>1522</v>
      </c>
      <c r="B4073" t="s">
        <v>5519</v>
      </c>
      <c r="C4073" t="s">
        <v>5520</v>
      </c>
      <c r="D4073" t="str">
        <f>HYPERLINK("http://service.sap.com/sap/support/notes/1671378","1671378")</f>
        <v>1671378</v>
      </c>
      <c r="E4073">
        <v>1</v>
      </c>
      <c r="F4073" t="s">
        <v>5521</v>
      </c>
    </row>
    <row r="4074" spans="1:6" x14ac:dyDescent="0.25">
      <c r="A4074" t="s">
        <v>1522</v>
      </c>
      <c r="B4074" t="s">
        <v>5522</v>
      </c>
      <c r="C4074" t="s">
        <v>5523</v>
      </c>
      <c r="D4074" t="str">
        <f>HYPERLINK("http://service.sap.com/sap/support/notes/1564701","1564701")</f>
        <v>1564701</v>
      </c>
      <c r="E4074">
        <v>2</v>
      </c>
      <c r="F4074" t="s">
        <v>5524</v>
      </c>
    </row>
    <row r="4075" spans="1:6" x14ac:dyDescent="0.25">
      <c r="A4075" t="s">
        <v>1522</v>
      </c>
      <c r="B4075" t="s">
        <v>5525</v>
      </c>
      <c r="C4075" t="s">
        <v>5526</v>
      </c>
      <c r="D4075" t="str">
        <f>HYPERLINK("http://service.sap.com/sap/support/notes/1336719","1336719")</f>
        <v>1336719</v>
      </c>
      <c r="E4075">
        <v>6</v>
      </c>
      <c r="F4075" t="s">
        <v>5527</v>
      </c>
    </row>
    <row r="4076" spans="1:6" x14ac:dyDescent="0.25">
      <c r="A4076" t="s">
        <v>1522</v>
      </c>
      <c r="B4076" t="s">
        <v>5528</v>
      </c>
      <c r="C4076" t="s">
        <v>5529</v>
      </c>
    </row>
    <row r="4077" spans="1:6" x14ac:dyDescent="0.25">
      <c r="A4077" t="s">
        <v>1522</v>
      </c>
      <c r="B4077" t="s">
        <v>5530</v>
      </c>
      <c r="C4077" t="s">
        <v>5531</v>
      </c>
    </row>
    <row r="4078" spans="1:6" x14ac:dyDescent="0.25">
      <c r="A4078" t="s">
        <v>1522</v>
      </c>
      <c r="B4078" t="s">
        <v>5532</v>
      </c>
      <c r="C4078" t="s">
        <v>5533</v>
      </c>
    </row>
    <row r="4079" spans="1:6" x14ac:dyDescent="0.25">
      <c r="A4079" t="s">
        <v>1522</v>
      </c>
      <c r="B4079" t="s">
        <v>5534</v>
      </c>
      <c r="C4079" t="s">
        <v>5535</v>
      </c>
    </row>
    <row r="4080" spans="1:6" x14ac:dyDescent="0.25">
      <c r="A4080" t="s">
        <v>1522</v>
      </c>
      <c r="B4080" t="s">
        <v>5536</v>
      </c>
      <c r="C4080" t="s">
        <v>132</v>
      </c>
      <c r="D4080" t="str">
        <f>HYPERLINK("http://service.sap.com/sap/support/notes/1616083","1616083")</f>
        <v>1616083</v>
      </c>
      <c r="E4080">
        <v>2</v>
      </c>
      <c r="F4080" t="s">
        <v>5537</v>
      </c>
    </row>
    <row r="4081" spans="1:6" x14ac:dyDescent="0.25">
      <c r="A4081" t="s">
        <v>1522</v>
      </c>
      <c r="B4081" t="s">
        <v>5536</v>
      </c>
      <c r="C4081" t="s">
        <v>132</v>
      </c>
      <c r="D4081" t="str">
        <f>HYPERLINK("http://service.sap.com/sap/support/notes/1663202","1663202")</f>
        <v>1663202</v>
      </c>
      <c r="E4081">
        <v>1</v>
      </c>
      <c r="F4081" t="s">
        <v>5538</v>
      </c>
    </row>
    <row r="4082" spans="1:6" x14ac:dyDescent="0.25">
      <c r="A4082" t="s">
        <v>1522</v>
      </c>
      <c r="B4082" t="s">
        <v>5539</v>
      </c>
      <c r="C4082" t="s">
        <v>5540</v>
      </c>
    </row>
    <row r="4083" spans="1:6" x14ac:dyDescent="0.25">
      <c r="A4083" t="s">
        <v>1522</v>
      </c>
      <c r="B4083" t="s">
        <v>5541</v>
      </c>
      <c r="C4083" t="s">
        <v>5542</v>
      </c>
      <c r="D4083" t="str">
        <f>HYPERLINK("http://service.sap.com/sap/support/notes/1628467","1628467")</f>
        <v>1628467</v>
      </c>
      <c r="E4083">
        <v>1</v>
      </c>
      <c r="F4083" t="s">
        <v>5543</v>
      </c>
    </row>
    <row r="4084" spans="1:6" x14ac:dyDescent="0.25">
      <c r="A4084" t="s">
        <v>1522</v>
      </c>
      <c r="B4084" t="s">
        <v>5541</v>
      </c>
      <c r="C4084" t="s">
        <v>5542</v>
      </c>
      <c r="D4084" t="str">
        <f>HYPERLINK("http://service.sap.com/sap/support/notes/1639974","1639974")</f>
        <v>1639974</v>
      </c>
      <c r="E4084">
        <v>2</v>
      </c>
      <c r="F4084" t="s">
        <v>5544</v>
      </c>
    </row>
    <row r="4085" spans="1:6" x14ac:dyDescent="0.25">
      <c r="A4085" t="s">
        <v>1522</v>
      </c>
      <c r="B4085" t="s">
        <v>5541</v>
      </c>
      <c r="C4085" t="s">
        <v>5542</v>
      </c>
      <c r="D4085" t="str">
        <f>HYPERLINK("http://service.sap.com/sap/support/notes/1643512","1643512")</f>
        <v>1643512</v>
      </c>
      <c r="E4085">
        <v>2</v>
      </c>
      <c r="F4085" t="s">
        <v>5545</v>
      </c>
    </row>
    <row r="4086" spans="1:6" x14ac:dyDescent="0.25">
      <c r="A4086" t="s">
        <v>1522</v>
      </c>
      <c r="B4086" t="s">
        <v>5541</v>
      </c>
      <c r="C4086" t="s">
        <v>5542</v>
      </c>
      <c r="D4086" t="str">
        <f>HYPERLINK("http://service.sap.com/sap/support/notes/1652849","1652849")</f>
        <v>1652849</v>
      </c>
      <c r="E4086">
        <v>1</v>
      </c>
      <c r="F4086" t="s">
        <v>5546</v>
      </c>
    </row>
    <row r="4087" spans="1:6" x14ac:dyDescent="0.25">
      <c r="A4087" t="s">
        <v>1522</v>
      </c>
      <c r="B4087" t="s">
        <v>5541</v>
      </c>
      <c r="C4087" t="s">
        <v>5542</v>
      </c>
      <c r="D4087" t="str">
        <f>HYPERLINK("http://service.sap.com/sap/support/notes/1655992","1655992")</f>
        <v>1655992</v>
      </c>
      <c r="E4087">
        <v>1</v>
      </c>
      <c r="F4087" t="s">
        <v>5547</v>
      </c>
    </row>
    <row r="4088" spans="1:6" x14ac:dyDescent="0.25">
      <c r="A4088" t="s">
        <v>1522</v>
      </c>
      <c r="B4088" t="s">
        <v>5548</v>
      </c>
      <c r="C4088" t="s">
        <v>5549</v>
      </c>
      <c r="D4088" t="str">
        <f>HYPERLINK("http://service.sap.com/sap/support/notes/1634273","1634273")</f>
        <v>1634273</v>
      </c>
      <c r="E4088">
        <v>2</v>
      </c>
      <c r="F4088" t="s">
        <v>5550</v>
      </c>
    </row>
    <row r="4089" spans="1:6" x14ac:dyDescent="0.25">
      <c r="A4089" t="s">
        <v>1522</v>
      </c>
      <c r="B4089" t="s">
        <v>5548</v>
      </c>
      <c r="C4089" t="s">
        <v>5549</v>
      </c>
      <c r="D4089" t="str">
        <f>HYPERLINK("http://service.sap.com/sap/support/notes/1636327","1636327")</f>
        <v>1636327</v>
      </c>
      <c r="E4089">
        <v>1</v>
      </c>
      <c r="F4089" t="s">
        <v>5551</v>
      </c>
    </row>
    <row r="4090" spans="1:6" x14ac:dyDescent="0.25">
      <c r="A4090" t="s">
        <v>1522</v>
      </c>
      <c r="B4090" t="s">
        <v>5552</v>
      </c>
      <c r="C4090" t="s">
        <v>5553</v>
      </c>
      <c r="D4090" t="str">
        <f>HYPERLINK("http://service.sap.com/sap/support/notes/1636064","1636064")</f>
        <v>1636064</v>
      </c>
      <c r="E4090">
        <v>1</v>
      </c>
      <c r="F4090" t="s">
        <v>5554</v>
      </c>
    </row>
    <row r="4091" spans="1:6" x14ac:dyDescent="0.25">
      <c r="A4091" t="s">
        <v>1522</v>
      </c>
      <c r="B4091" t="s">
        <v>5552</v>
      </c>
      <c r="C4091" t="s">
        <v>5553</v>
      </c>
      <c r="D4091" t="str">
        <f>HYPERLINK("http://service.sap.com/sap/support/notes/1657750","1657750")</f>
        <v>1657750</v>
      </c>
      <c r="E4091">
        <v>1</v>
      </c>
      <c r="F4091" t="s">
        <v>5555</v>
      </c>
    </row>
    <row r="4092" spans="1:6" x14ac:dyDescent="0.25">
      <c r="A4092" t="s">
        <v>1522</v>
      </c>
      <c r="B4092" t="s">
        <v>5556</v>
      </c>
      <c r="C4092" t="s">
        <v>5557</v>
      </c>
      <c r="D4092" t="str">
        <f>HYPERLINK("http://service.sap.com/sap/support/notes/1629726","1629726")</f>
        <v>1629726</v>
      </c>
      <c r="E4092">
        <v>3</v>
      </c>
      <c r="F4092" t="s">
        <v>5558</v>
      </c>
    </row>
    <row r="4093" spans="1:6" x14ac:dyDescent="0.25">
      <c r="A4093" t="s">
        <v>1522</v>
      </c>
      <c r="B4093" t="s">
        <v>5556</v>
      </c>
      <c r="C4093" t="s">
        <v>5557</v>
      </c>
      <c r="D4093" t="str">
        <f>HYPERLINK("http://service.sap.com/sap/support/notes/1647646","1647646")</f>
        <v>1647646</v>
      </c>
      <c r="E4093">
        <v>1</v>
      </c>
      <c r="F4093" t="s">
        <v>5559</v>
      </c>
    </row>
    <row r="4094" spans="1:6" x14ac:dyDescent="0.25">
      <c r="A4094" t="s">
        <v>1522</v>
      </c>
      <c r="B4094" t="s">
        <v>5556</v>
      </c>
      <c r="C4094" t="s">
        <v>5557</v>
      </c>
      <c r="D4094" t="str">
        <f>HYPERLINK("http://service.sap.com/sap/support/notes/1664538","1664538")</f>
        <v>1664538</v>
      </c>
      <c r="E4094">
        <v>1</v>
      </c>
      <c r="F4094" t="s">
        <v>5560</v>
      </c>
    </row>
    <row r="4095" spans="1:6" x14ac:dyDescent="0.25">
      <c r="A4095" t="s">
        <v>1522</v>
      </c>
      <c r="B4095" t="s">
        <v>5556</v>
      </c>
      <c r="C4095" t="s">
        <v>5557</v>
      </c>
      <c r="D4095" t="str">
        <f>HYPERLINK("http://service.sap.com/sap/support/notes/1665000","1665000")</f>
        <v>1665000</v>
      </c>
      <c r="E4095">
        <v>1</v>
      </c>
      <c r="F4095" t="s">
        <v>5561</v>
      </c>
    </row>
    <row r="4096" spans="1:6" x14ac:dyDescent="0.25">
      <c r="A4096" t="s">
        <v>1522</v>
      </c>
      <c r="B4096" t="s">
        <v>5556</v>
      </c>
      <c r="C4096" t="s">
        <v>5557</v>
      </c>
      <c r="D4096" t="str">
        <f>HYPERLINK("http://service.sap.com/sap/support/notes/1669753","1669753")</f>
        <v>1669753</v>
      </c>
      <c r="E4096">
        <v>1</v>
      </c>
      <c r="F4096" t="s">
        <v>5562</v>
      </c>
    </row>
    <row r="4097" spans="1:6" x14ac:dyDescent="0.25">
      <c r="A4097" t="s">
        <v>1522</v>
      </c>
      <c r="B4097" t="s">
        <v>1356</v>
      </c>
      <c r="C4097" t="s">
        <v>1357</v>
      </c>
    </row>
    <row r="4098" spans="1:6" x14ac:dyDescent="0.25">
      <c r="A4098" t="s">
        <v>1522</v>
      </c>
      <c r="B4098" t="s">
        <v>5563</v>
      </c>
      <c r="C4098" t="s">
        <v>5564</v>
      </c>
    </row>
    <row r="4099" spans="1:6" x14ac:dyDescent="0.25">
      <c r="A4099" t="s">
        <v>1522</v>
      </c>
      <c r="B4099" t="s">
        <v>5565</v>
      </c>
      <c r="C4099" t="s">
        <v>5566</v>
      </c>
      <c r="D4099" t="str">
        <f>HYPERLINK("http://service.sap.com/sap/support/notes/1625626","1625626")</f>
        <v>1625626</v>
      </c>
      <c r="E4099">
        <v>1</v>
      </c>
      <c r="F4099" t="s">
        <v>5567</v>
      </c>
    </row>
    <row r="4100" spans="1:6" x14ac:dyDescent="0.25">
      <c r="A4100" t="s">
        <v>1522</v>
      </c>
      <c r="B4100" t="s">
        <v>5568</v>
      </c>
      <c r="C4100" t="s">
        <v>5569</v>
      </c>
    </row>
    <row r="4101" spans="1:6" x14ac:dyDescent="0.25">
      <c r="A4101" t="s">
        <v>1522</v>
      </c>
      <c r="B4101" t="s">
        <v>5570</v>
      </c>
      <c r="C4101" t="s">
        <v>5571</v>
      </c>
      <c r="D4101" t="str">
        <f>HYPERLINK("http://service.sap.com/sap/support/notes/1596164","1596164")</f>
        <v>1596164</v>
      </c>
      <c r="E4101">
        <v>1</v>
      </c>
      <c r="F4101" t="s">
        <v>5572</v>
      </c>
    </row>
    <row r="4102" spans="1:6" x14ac:dyDescent="0.25">
      <c r="A4102" t="s">
        <v>1522</v>
      </c>
      <c r="B4102" t="s">
        <v>5570</v>
      </c>
      <c r="C4102" t="s">
        <v>5571</v>
      </c>
      <c r="D4102" t="str">
        <f>HYPERLINK("http://service.sap.com/sap/support/notes/1608799","1608799")</f>
        <v>1608799</v>
      </c>
      <c r="E4102">
        <v>1</v>
      </c>
      <c r="F4102" t="s">
        <v>5573</v>
      </c>
    </row>
    <row r="4103" spans="1:6" x14ac:dyDescent="0.25">
      <c r="A4103" t="s">
        <v>1522</v>
      </c>
      <c r="B4103" t="s">
        <v>5570</v>
      </c>
      <c r="C4103" t="s">
        <v>5571</v>
      </c>
      <c r="D4103" t="str">
        <f>HYPERLINK("http://service.sap.com/sap/support/notes/1636063","1636063")</f>
        <v>1636063</v>
      </c>
      <c r="E4103">
        <v>1</v>
      </c>
      <c r="F4103" t="s">
        <v>5574</v>
      </c>
    </row>
    <row r="4104" spans="1:6" x14ac:dyDescent="0.25">
      <c r="A4104" t="s">
        <v>1522</v>
      </c>
      <c r="B4104" t="s">
        <v>5575</v>
      </c>
      <c r="C4104" t="s">
        <v>5576</v>
      </c>
      <c r="D4104" t="str">
        <f>HYPERLINK("http://service.sap.com/sap/support/notes/1594105","1594105")</f>
        <v>1594105</v>
      </c>
      <c r="E4104">
        <v>1</v>
      </c>
      <c r="F4104" t="s">
        <v>5577</v>
      </c>
    </row>
    <row r="4105" spans="1:6" x14ac:dyDescent="0.25">
      <c r="A4105" t="s">
        <v>1522</v>
      </c>
      <c r="B4105" t="s">
        <v>5575</v>
      </c>
      <c r="C4105" t="s">
        <v>5576</v>
      </c>
      <c r="D4105" t="str">
        <f>HYPERLINK("http://service.sap.com/sap/support/notes/1663214","1663214")</f>
        <v>1663214</v>
      </c>
      <c r="E4105">
        <v>1</v>
      </c>
      <c r="F4105" t="s">
        <v>5578</v>
      </c>
    </row>
    <row r="4106" spans="1:6" x14ac:dyDescent="0.25">
      <c r="A4106" t="s">
        <v>1522</v>
      </c>
      <c r="B4106" t="s">
        <v>5579</v>
      </c>
      <c r="C4106" t="s">
        <v>5580</v>
      </c>
      <c r="D4106" t="str">
        <f>HYPERLINK("http://service.sap.com/sap/support/notes/1622483","1622483")</f>
        <v>1622483</v>
      </c>
      <c r="E4106">
        <v>1</v>
      </c>
      <c r="F4106" t="s">
        <v>5581</v>
      </c>
    </row>
    <row r="4107" spans="1:6" x14ac:dyDescent="0.25">
      <c r="A4107" t="s">
        <v>1522</v>
      </c>
      <c r="B4107" t="s">
        <v>1358</v>
      </c>
      <c r="C4107" t="s">
        <v>1359</v>
      </c>
      <c r="D4107" t="str">
        <f>HYPERLINK("http://service.sap.com/sap/support/notes/1597510","1597510")</f>
        <v>1597510</v>
      </c>
      <c r="E4107">
        <v>1</v>
      </c>
      <c r="F4107" t="s">
        <v>1360</v>
      </c>
    </row>
    <row r="4108" spans="1:6" x14ac:dyDescent="0.25">
      <c r="A4108" t="s">
        <v>1522</v>
      </c>
      <c r="B4108" t="s">
        <v>1361</v>
      </c>
      <c r="C4108" t="s">
        <v>1362</v>
      </c>
    </row>
    <row r="4109" spans="1:6" x14ac:dyDescent="0.25">
      <c r="A4109" t="s">
        <v>1522</v>
      </c>
      <c r="B4109" t="s">
        <v>1363</v>
      </c>
      <c r="C4109" t="s">
        <v>1364</v>
      </c>
    </row>
    <row r="4110" spans="1:6" x14ac:dyDescent="0.25">
      <c r="A4110" t="s">
        <v>1522</v>
      </c>
      <c r="B4110" t="s">
        <v>1365</v>
      </c>
      <c r="C4110" t="s">
        <v>5582</v>
      </c>
    </row>
    <row r="4111" spans="1:6" x14ac:dyDescent="0.25">
      <c r="A4111" t="s">
        <v>1522</v>
      </c>
      <c r="B4111" t="s">
        <v>5583</v>
      </c>
      <c r="C4111" t="s">
        <v>22</v>
      </c>
      <c r="D4111" t="str">
        <f>HYPERLINK("http://service.sap.com/sap/support/notes/1662011","1662011")</f>
        <v>1662011</v>
      </c>
      <c r="E4111">
        <v>1</v>
      </c>
      <c r="F4111" t="s">
        <v>5584</v>
      </c>
    </row>
    <row r="4112" spans="1:6" x14ac:dyDescent="0.25">
      <c r="A4112" t="s">
        <v>1522</v>
      </c>
      <c r="B4112" t="s">
        <v>39</v>
      </c>
      <c r="C4112" t="s">
        <v>40</v>
      </c>
    </row>
    <row r="4113" spans="1:6" x14ac:dyDescent="0.25">
      <c r="A4113" t="s">
        <v>1522</v>
      </c>
      <c r="B4113" t="s">
        <v>1368</v>
      </c>
      <c r="C4113" t="s">
        <v>1369</v>
      </c>
    </row>
    <row r="4114" spans="1:6" x14ac:dyDescent="0.25">
      <c r="A4114" t="s">
        <v>1522</v>
      </c>
      <c r="B4114" t="s">
        <v>1370</v>
      </c>
      <c r="C4114" t="s">
        <v>1371</v>
      </c>
      <c r="D4114" t="str">
        <f>HYPERLINK("http://service.sap.com/sap/support/notes/1344872","1344872")</f>
        <v>1344872</v>
      </c>
      <c r="E4114">
        <v>1</v>
      </c>
      <c r="F4114" t="s">
        <v>5585</v>
      </c>
    </row>
    <row r="4115" spans="1:6" x14ac:dyDescent="0.25">
      <c r="A4115" t="s">
        <v>1522</v>
      </c>
      <c r="B4115" t="s">
        <v>1370</v>
      </c>
      <c r="C4115" t="s">
        <v>1371</v>
      </c>
      <c r="D4115" t="str">
        <f>HYPERLINK("http://service.sap.com/sap/support/notes/1580641","1580641")</f>
        <v>1580641</v>
      </c>
      <c r="E4115">
        <v>4</v>
      </c>
      <c r="F4115" t="s">
        <v>5586</v>
      </c>
    </row>
    <row r="4116" spans="1:6" x14ac:dyDescent="0.25">
      <c r="A4116" t="s">
        <v>1522</v>
      </c>
      <c r="B4116" t="s">
        <v>1370</v>
      </c>
      <c r="C4116" t="s">
        <v>1371</v>
      </c>
      <c r="D4116" t="str">
        <f>HYPERLINK("http://service.sap.com/sap/support/notes/1608551","1608551")</f>
        <v>1608551</v>
      </c>
      <c r="E4116">
        <v>1</v>
      </c>
      <c r="F4116" t="s">
        <v>5587</v>
      </c>
    </row>
    <row r="4117" spans="1:6" x14ac:dyDescent="0.25">
      <c r="A4117" t="s">
        <v>1522</v>
      </c>
      <c r="B4117" t="s">
        <v>1370</v>
      </c>
      <c r="C4117" t="s">
        <v>1371</v>
      </c>
      <c r="D4117" t="str">
        <f>HYPERLINK("http://service.sap.com/sap/support/notes/1621657","1621657")</f>
        <v>1621657</v>
      </c>
      <c r="E4117">
        <v>1</v>
      </c>
      <c r="F4117" t="s">
        <v>5588</v>
      </c>
    </row>
    <row r="4118" spans="1:6" x14ac:dyDescent="0.25">
      <c r="A4118" t="s">
        <v>1522</v>
      </c>
      <c r="B4118" t="s">
        <v>1370</v>
      </c>
      <c r="C4118" t="s">
        <v>1371</v>
      </c>
      <c r="D4118" t="str">
        <f>HYPERLINK("http://service.sap.com/sap/support/notes/1628389","1628389")</f>
        <v>1628389</v>
      </c>
      <c r="E4118">
        <v>1</v>
      </c>
      <c r="F4118" t="s">
        <v>5589</v>
      </c>
    </row>
    <row r="4119" spans="1:6" x14ac:dyDescent="0.25">
      <c r="A4119" t="s">
        <v>1522</v>
      </c>
      <c r="B4119" t="s">
        <v>1370</v>
      </c>
      <c r="C4119" t="s">
        <v>1371</v>
      </c>
      <c r="D4119" t="str">
        <f>HYPERLINK("http://service.sap.com/sap/support/notes/1639879","1639879")</f>
        <v>1639879</v>
      </c>
      <c r="E4119">
        <v>1</v>
      </c>
      <c r="F4119" t="s">
        <v>5590</v>
      </c>
    </row>
    <row r="4120" spans="1:6" x14ac:dyDescent="0.25">
      <c r="A4120" t="s">
        <v>1522</v>
      </c>
      <c r="B4120" t="s">
        <v>1370</v>
      </c>
      <c r="C4120" t="s">
        <v>1371</v>
      </c>
      <c r="D4120" t="str">
        <f>HYPERLINK("http://service.sap.com/sap/support/notes/1642086","1642086")</f>
        <v>1642086</v>
      </c>
      <c r="E4120">
        <v>1</v>
      </c>
      <c r="F4120" t="s">
        <v>5591</v>
      </c>
    </row>
    <row r="4121" spans="1:6" x14ac:dyDescent="0.25">
      <c r="A4121" t="s">
        <v>1522</v>
      </c>
      <c r="B4121" t="s">
        <v>1370</v>
      </c>
      <c r="C4121" t="s">
        <v>1371</v>
      </c>
      <c r="D4121" t="str">
        <f>HYPERLINK("http://service.sap.com/sap/support/notes/1653471","1653471")</f>
        <v>1653471</v>
      </c>
      <c r="E4121">
        <v>2</v>
      </c>
      <c r="F4121" t="s">
        <v>5592</v>
      </c>
    </row>
    <row r="4122" spans="1:6" x14ac:dyDescent="0.25">
      <c r="A4122" t="s">
        <v>1522</v>
      </c>
      <c r="B4122" t="s">
        <v>1372</v>
      </c>
      <c r="C4122" t="s">
        <v>1373</v>
      </c>
      <c r="D4122" t="str">
        <f>HYPERLINK("http://service.sap.com/sap/support/notes/1537823","1537823")</f>
        <v>1537823</v>
      </c>
      <c r="E4122">
        <v>13</v>
      </c>
      <c r="F4122" t="s">
        <v>5593</v>
      </c>
    </row>
    <row r="4123" spans="1:6" x14ac:dyDescent="0.25">
      <c r="A4123" t="s">
        <v>1522</v>
      </c>
      <c r="B4123" t="s">
        <v>1372</v>
      </c>
      <c r="C4123" t="s">
        <v>1373</v>
      </c>
      <c r="D4123" t="str">
        <f>HYPERLINK("http://service.sap.com/sap/support/notes/1574605","1574605")</f>
        <v>1574605</v>
      </c>
      <c r="E4123">
        <v>3</v>
      </c>
      <c r="F4123" t="s">
        <v>5594</v>
      </c>
    </row>
    <row r="4124" spans="1:6" x14ac:dyDescent="0.25">
      <c r="A4124" t="s">
        <v>1522</v>
      </c>
      <c r="B4124" t="s">
        <v>1372</v>
      </c>
      <c r="C4124" t="s">
        <v>1373</v>
      </c>
      <c r="D4124" t="str">
        <f>HYPERLINK("http://service.sap.com/sap/support/notes/1591297","1591297")</f>
        <v>1591297</v>
      </c>
      <c r="E4124">
        <v>2</v>
      </c>
      <c r="F4124" t="s">
        <v>5595</v>
      </c>
    </row>
    <row r="4125" spans="1:6" x14ac:dyDescent="0.25">
      <c r="A4125" t="s">
        <v>1522</v>
      </c>
      <c r="B4125" t="s">
        <v>1372</v>
      </c>
      <c r="C4125" t="s">
        <v>1373</v>
      </c>
      <c r="D4125" t="str">
        <f>HYPERLINK("http://service.sap.com/sap/support/notes/1608595","1608595")</f>
        <v>1608595</v>
      </c>
      <c r="E4125">
        <v>2</v>
      </c>
      <c r="F4125" t="s">
        <v>5596</v>
      </c>
    </row>
    <row r="4126" spans="1:6" x14ac:dyDescent="0.25">
      <c r="A4126" t="s">
        <v>1522</v>
      </c>
      <c r="B4126" t="s">
        <v>1372</v>
      </c>
      <c r="C4126" t="s">
        <v>1373</v>
      </c>
      <c r="D4126" t="str">
        <f>HYPERLINK("http://service.sap.com/sap/support/notes/1609061","1609061")</f>
        <v>1609061</v>
      </c>
      <c r="E4126">
        <v>5</v>
      </c>
      <c r="F4126" t="s">
        <v>5597</v>
      </c>
    </row>
    <row r="4127" spans="1:6" x14ac:dyDescent="0.25">
      <c r="A4127" t="s">
        <v>1522</v>
      </c>
      <c r="B4127" t="s">
        <v>1372</v>
      </c>
      <c r="C4127" t="s">
        <v>1373</v>
      </c>
      <c r="D4127" t="str">
        <f>HYPERLINK("http://service.sap.com/sap/support/notes/1618588","1618588")</f>
        <v>1618588</v>
      </c>
      <c r="E4127">
        <v>2</v>
      </c>
      <c r="F4127" t="s">
        <v>5598</v>
      </c>
    </row>
    <row r="4128" spans="1:6" x14ac:dyDescent="0.25">
      <c r="A4128" t="s">
        <v>1522</v>
      </c>
      <c r="B4128" t="s">
        <v>1372</v>
      </c>
      <c r="C4128" t="s">
        <v>1373</v>
      </c>
      <c r="D4128" t="str">
        <f>HYPERLINK("http://service.sap.com/sap/support/notes/1622574","1622574")</f>
        <v>1622574</v>
      </c>
      <c r="E4128">
        <v>6</v>
      </c>
      <c r="F4128" t="s">
        <v>5599</v>
      </c>
    </row>
    <row r="4129" spans="1:6" x14ac:dyDescent="0.25">
      <c r="A4129" t="s">
        <v>1522</v>
      </c>
      <c r="B4129" t="s">
        <v>1372</v>
      </c>
      <c r="C4129" t="s">
        <v>1373</v>
      </c>
      <c r="D4129" t="str">
        <f>HYPERLINK("http://service.sap.com/sap/support/notes/1628348","1628348")</f>
        <v>1628348</v>
      </c>
      <c r="E4129">
        <v>7</v>
      </c>
      <c r="F4129" t="s">
        <v>5600</v>
      </c>
    </row>
    <row r="4130" spans="1:6" x14ac:dyDescent="0.25">
      <c r="A4130" t="s">
        <v>1522</v>
      </c>
      <c r="B4130" t="s">
        <v>1372</v>
      </c>
      <c r="C4130" t="s">
        <v>1373</v>
      </c>
      <c r="D4130" t="str">
        <f>HYPERLINK("http://service.sap.com/sap/support/notes/1633669","1633669")</f>
        <v>1633669</v>
      </c>
      <c r="E4130">
        <v>2</v>
      </c>
      <c r="F4130" t="s">
        <v>5601</v>
      </c>
    </row>
    <row r="4131" spans="1:6" x14ac:dyDescent="0.25">
      <c r="A4131" t="s">
        <v>1522</v>
      </c>
      <c r="B4131" t="s">
        <v>1372</v>
      </c>
      <c r="C4131" t="s">
        <v>1373</v>
      </c>
      <c r="D4131" t="str">
        <f>HYPERLINK("http://service.sap.com/sap/support/notes/1636127","1636127")</f>
        <v>1636127</v>
      </c>
      <c r="E4131">
        <v>5</v>
      </c>
      <c r="F4131" t="s">
        <v>5602</v>
      </c>
    </row>
    <row r="4132" spans="1:6" x14ac:dyDescent="0.25">
      <c r="A4132" t="s">
        <v>1522</v>
      </c>
      <c r="B4132" t="s">
        <v>1372</v>
      </c>
      <c r="C4132" t="s">
        <v>1373</v>
      </c>
      <c r="D4132" t="str">
        <f>HYPERLINK("http://service.sap.com/sap/support/notes/1640068","1640068")</f>
        <v>1640068</v>
      </c>
      <c r="E4132">
        <v>4</v>
      </c>
      <c r="F4132" t="s">
        <v>5603</v>
      </c>
    </row>
    <row r="4133" spans="1:6" x14ac:dyDescent="0.25">
      <c r="A4133" t="s">
        <v>1522</v>
      </c>
      <c r="B4133" t="s">
        <v>1372</v>
      </c>
      <c r="C4133" t="s">
        <v>1373</v>
      </c>
      <c r="D4133" t="str">
        <f>HYPERLINK("http://service.sap.com/sap/support/notes/1641477","1641477")</f>
        <v>1641477</v>
      </c>
      <c r="E4133">
        <v>2</v>
      </c>
      <c r="F4133" t="s">
        <v>5604</v>
      </c>
    </row>
    <row r="4134" spans="1:6" x14ac:dyDescent="0.25">
      <c r="A4134" t="s">
        <v>1522</v>
      </c>
      <c r="B4134" t="s">
        <v>1372</v>
      </c>
      <c r="C4134" t="s">
        <v>1373</v>
      </c>
      <c r="D4134" t="str">
        <f>HYPERLINK("http://service.sap.com/sap/support/notes/1646912","1646912")</f>
        <v>1646912</v>
      </c>
      <c r="E4134">
        <v>2</v>
      </c>
      <c r="F4134" t="s">
        <v>5605</v>
      </c>
    </row>
    <row r="4135" spans="1:6" x14ac:dyDescent="0.25">
      <c r="A4135" t="s">
        <v>1522</v>
      </c>
      <c r="B4135" t="s">
        <v>1372</v>
      </c>
      <c r="C4135" t="s">
        <v>1373</v>
      </c>
      <c r="D4135" t="str">
        <f>HYPERLINK("http://service.sap.com/sap/support/notes/1648261","1648261")</f>
        <v>1648261</v>
      </c>
      <c r="E4135">
        <v>6</v>
      </c>
      <c r="F4135" t="s">
        <v>5606</v>
      </c>
    </row>
    <row r="4136" spans="1:6" x14ac:dyDescent="0.25">
      <c r="A4136" t="s">
        <v>1522</v>
      </c>
      <c r="B4136" t="s">
        <v>1372</v>
      </c>
      <c r="C4136" t="s">
        <v>1373</v>
      </c>
      <c r="D4136" t="str">
        <f>HYPERLINK("http://service.sap.com/sap/support/notes/1649703","1649703")</f>
        <v>1649703</v>
      </c>
      <c r="E4136">
        <v>1</v>
      </c>
      <c r="F4136" t="s">
        <v>5607</v>
      </c>
    </row>
    <row r="4137" spans="1:6" x14ac:dyDescent="0.25">
      <c r="A4137" t="s">
        <v>1522</v>
      </c>
      <c r="B4137" t="s">
        <v>1372</v>
      </c>
      <c r="C4137" t="s">
        <v>1373</v>
      </c>
      <c r="D4137" t="str">
        <f>HYPERLINK("http://service.sap.com/sap/support/notes/1653416","1653416")</f>
        <v>1653416</v>
      </c>
      <c r="E4137">
        <v>2</v>
      </c>
      <c r="F4137" t="s">
        <v>5608</v>
      </c>
    </row>
    <row r="4138" spans="1:6" x14ac:dyDescent="0.25">
      <c r="A4138" t="s">
        <v>1522</v>
      </c>
      <c r="B4138" t="s">
        <v>1372</v>
      </c>
      <c r="C4138" t="s">
        <v>1373</v>
      </c>
      <c r="D4138" t="str">
        <f>HYPERLINK("http://service.sap.com/sap/support/notes/1662881","1662881")</f>
        <v>1662881</v>
      </c>
      <c r="E4138">
        <v>2</v>
      </c>
      <c r="F4138" t="s">
        <v>5609</v>
      </c>
    </row>
    <row r="4139" spans="1:6" x14ac:dyDescent="0.25">
      <c r="A4139" t="s">
        <v>1522</v>
      </c>
      <c r="B4139" t="s">
        <v>1375</v>
      </c>
      <c r="C4139" t="s">
        <v>1376</v>
      </c>
    </row>
    <row r="4140" spans="1:6" x14ac:dyDescent="0.25">
      <c r="A4140" t="s">
        <v>1522</v>
      </c>
      <c r="B4140" t="s">
        <v>1377</v>
      </c>
      <c r="C4140" t="s">
        <v>1373</v>
      </c>
      <c r="D4140" t="str">
        <f>HYPERLINK("http://service.sap.com/sap/support/notes/1469120","1469120")</f>
        <v>1469120</v>
      </c>
      <c r="E4140">
        <v>7</v>
      </c>
      <c r="F4140" t="s">
        <v>5610</v>
      </c>
    </row>
    <row r="4141" spans="1:6" x14ac:dyDescent="0.25">
      <c r="A4141" t="s">
        <v>1522</v>
      </c>
      <c r="B4141" t="s">
        <v>1379</v>
      </c>
      <c r="C4141" t="s">
        <v>1380</v>
      </c>
      <c r="D4141" t="str">
        <f>HYPERLINK("http://service.sap.com/sap/support/notes/1617889","1617889")</f>
        <v>1617889</v>
      </c>
      <c r="E4141">
        <v>2</v>
      </c>
      <c r="F4141" t="s">
        <v>5611</v>
      </c>
    </row>
    <row r="4142" spans="1:6" x14ac:dyDescent="0.25">
      <c r="A4142" t="s">
        <v>1522</v>
      </c>
      <c r="B4142" t="s">
        <v>1379</v>
      </c>
      <c r="C4142" t="s">
        <v>1380</v>
      </c>
      <c r="D4142" t="str">
        <f>HYPERLINK("http://service.sap.com/sap/support/notes/1618238","1618238")</f>
        <v>1618238</v>
      </c>
      <c r="E4142">
        <v>2</v>
      </c>
      <c r="F4142" t="s">
        <v>5612</v>
      </c>
    </row>
    <row r="4143" spans="1:6" x14ac:dyDescent="0.25">
      <c r="A4143" t="s">
        <v>1522</v>
      </c>
      <c r="B4143" t="s">
        <v>1379</v>
      </c>
      <c r="C4143" t="s">
        <v>1380</v>
      </c>
      <c r="D4143" t="str">
        <f>HYPERLINK("http://service.sap.com/sap/support/notes/1620370","1620370")</f>
        <v>1620370</v>
      </c>
      <c r="E4143">
        <v>4</v>
      </c>
      <c r="F4143" t="s">
        <v>5613</v>
      </c>
    </row>
    <row r="4144" spans="1:6" x14ac:dyDescent="0.25">
      <c r="A4144" t="s">
        <v>1522</v>
      </c>
      <c r="B4144" t="s">
        <v>1379</v>
      </c>
      <c r="C4144" t="s">
        <v>1380</v>
      </c>
      <c r="D4144" t="str">
        <f>HYPERLINK("http://service.sap.com/sap/support/notes/1623986","1623986")</f>
        <v>1623986</v>
      </c>
      <c r="E4144">
        <v>2</v>
      </c>
      <c r="F4144" t="s">
        <v>5614</v>
      </c>
    </row>
    <row r="4145" spans="1:6" x14ac:dyDescent="0.25">
      <c r="A4145" t="s">
        <v>1522</v>
      </c>
      <c r="B4145" t="s">
        <v>1379</v>
      </c>
      <c r="C4145" t="s">
        <v>1380</v>
      </c>
      <c r="D4145" t="str">
        <f>HYPERLINK("http://service.sap.com/sap/support/notes/1625116","1625116")</f>
        <v>1625116</v>
      </c>
      <c r="E4145">
        <v>1</v>
      </c>
      <c r="F4145" t="s">
        <v>5615</v>
      </c>
    </row>
    <row r="4146" spans="1:6" x14ac:dyDescent="0.25">
      <c r="A4146" t="s">
        <v>1522</v>
      </c>
      <c r="B4146" t="s">
        <v>1379</v>
      </c>
      <c r="C4146" t="s">
        <v>1380</v>
      </c>
      <c r="D4146" t="str">
        <f>HYPERLINK("http://service.sap.com/sap/support/notes/1635974","1635974")</f>
        <v>1635974</v>
      </c>
      <c r="E4146">
        <v>3</v>
      </c>
      <c r="F4146" t="s">
        <v>5616</v>
      </c>
    </row>
    <row r="4147" spans="1:6" x14ac:dyDescent="0.25">
      <c r="A4147" t="s">
        <v>1522</v>
      </c>
      <c r="B4147" t="s">
        <v>1379</v>
      </c>
      <c r="C4147" t="s">
        <v>1380</v>
      </c>
      <c r="D4147" t="str">
        <f>HYPERLINK("http://service.sap.com/sap/support/notes/1637895","1637895")</f>
        <v>1637895</v>
      </c>
      <c r="E4147">
        <v>4</v>
      </c>
      <c r="F4147" t="s">
        <v>5617</v>
      </c>
    </row>
    <row r="4148" spans="1:6" x14ac:dyDescent="0.25">
      <c r="A4148" t="s">
        <v>1522</v>
      </c>
      <c r="B4148" t="s">
        <v>1379</v>
      </c>
      <c r="C4148" t="s">
        <v>1380</v>
      </c>
      <c r="D4148" t="str">
        <f>HYPERLINK("http://service.sap.com/sap/support/notes/1638543","1638543")</f>
        <v>1638543</v>
      </c>
      <c r="E4148">
        <v>1</v>
      </c>
      <c r="F4148" t="s">
        <v>5618</v>
      </c>
    </row>
    <row r="4149" spans="1:6" x14ac:dyDescent="0.25">
      <c r="A4149" t="s">
        <v>1522</v>
      </c>
      <c r="B4149" t="s">
        <v>1379</v>
      </c>
      <c r="C4149" t="s">
        <v>1380</v>
      </c>
      <c r="D4149" t="str">
        <f>HYPERLINK("http://service.sap.com/sap/support/notes/1640668","1640668")</f>
        <v>1640668</v>
      </c>
      <c r="E4149">
        <v>1</v>
      </c>
      <c r="F4149" t="s">
        <v>5619</v>
      </c>
    </row>
    <row r="4150" spans="1:6" x14ac:dyDescent="0.25">
      <c r="A4150" t="s">
        <v>1522</v>
      </c>
      <c r="B4150" t="s">
        <v>1379</v>
      </c>
      <c r="C4150" t="s">
        <v>1380</v>
      </c>
      <c r="D4150" t="str">
        <f>HYPERLINK("http://service.sap.com/sap/support/notes/1645721","1645721")</f>
        <v>1645721</v>
      </c>
      <c r="E4150">
        <v>5</v>
      </c>
      <c r="F4150" t="s">
        <v>5620</v>
      </c>
    </row>
    <row r="4151" spans="1:6" x14ac:dyDescent="0.25">
      <c r="A4151" t="s">
        <v>1522</v>
      </c>
      <c r="B4151" t="s">
        <v>1379</v>
      </c>
      <c r="C4151" t="s">
        <v>1380</v>
      </c>
      <c r="D4151" t="str">
        <f>HYPERLINK("http://service.sap.com/sap/support/notes/1655188","1655188")</f>
        <v>1655188</v>
      </c>
      <c r="E4151">
        <v>1</v>
      </c>
      <c r="F4151" t="s">
        <v>5621</v>
      </c>
    </row>
    <row r="4152" spans="1:6" x14ac:dyDescent="0.25">
      <c r="A4152" t="s">
        <v>1522</v>
      </c>
      <c r="B4152" t="s">
        <v>5622</v>
      </c>
      <c r="C4152" t="s">
        <v>5623</v>
      </c>
      <c r="D4152" t="str">
        <f>HYPERLINK("http://service.sap.com/sap/support/notes/1627377","1627377")</f>
        <v>1627377</v>
      </c>
      <c r="E4152">
        <v>2</v>
      </c>
      <c r="F4152" t="s">
        <v>5624</v>
      </c>
    </row>
    <row r="4153" spans="1:6" x14ac:dyDescent="0.25">
      <c r="A4153" t="s">
        <v>1522</v>
      </c>
      <c r="B4153" t="s">
        <v>5622</v>
      </c>
      <c r="C4153" t="s">
        <v>5623</v>
      </c>
      <c r="D4153" t="str">
        <f>HYPERLINK("http://service.sap.com/sap/support/notes/1630442","1630442")</f>
        <v>1630442</v>
      </c>
      <c r="E4153">
        <v>1</v>
      </c>
      <c r="F4153" t="s">
        <v>5625</v>
      </c>
    </row>
    <row r="4154" spans="1:6" x14ac:dyDescent="0.25">
      <c r="A4154" t="s">
        <v>1522</v>
      </c>
      <c r="B4154" t="s">
        <v>5622</v>
      </c>
      <c r="C4154" t="s">
        <v>5623</v>
      </c>
      <c r="D4154" t="str">
        <f>HYPERLINK("http://service.sap.com/sap/support/notes/1635483","1635483")</f>
        <v>1635483</v>
      </c>
      <c r="E4154">
        <v>2</v>
      </c>
      <c r="F4154" t="s">
        <v>5626</v>
      </c>
    </row>
    <row r="4155" spans="1:6" x14ac:dyDescent="0.25">
      <c r="A4155" t="s">
        <v>1522</v>
      </c>
      <c r="B4155" t="s">
        <v>5622</v>
      </c>
      <c r="C4155" t="s">
        <v>5623</v>
      </c>
      <c r="D4155" t="str">
        <f>HYPERLINK("http://service.sap.com/sap/support/notes/1636989","1636989")</f>
        <v>1636989</v>
      </c>
      <c r="E4155">
        <v>1</v>
      </c>
      <c r="F4155" t="s">
        <v>5627</v>
      </c>
    </row>
    <row r="4156" spans="1:6" x14ac:dyDescent="0.25">
      <c r="A4156" t="s">
        <v>1522</v>
      </c>
      <c r="B4156" t="s">
        <v>5622</v>
      </c>
      <c r="C4156" t="s">
        <v>5623</v>
      </c>
      <c r="D4156" t="str">
        <f>HYPERLINK("http://service.sap.com/sap/support/notes/1644550","1644550")</f>
        <v>1644550</v>
      </c>
      <c r="E4156">
        <v>1</v>
      </c>
      <c r="F4156" t="s">
        <v>5628</v>
      </c>
    </row>
    <row r="4157" spans="1:6" x14ac:dyDescent="0.25">
      <c r="A4157" t="s">
        <v>1522</v>
      </c>
      <c r="B4157" t="s">
        <v>5622</v>
      </c>
      <c r="C4157" t="s">
        <v>5623</v>
      </c>
      <c r="D4157" t="str">
        <f>HYPERLINK("http://service.sap.com/sap/support/notes/1650735","1650735")</f>
        <v>1650735</v>
      </c>
      <c r="E4157">
        <v>1</v>
      </c>
      <c r="F4157" t="s">
        <v>5629</v>
      </c>
    </row>
    <row r="4158" spans="1:6" x14ac:dyDescent="0.25">
      <c r="A4158" t="s">
        <v>1522</v>
      </c>
      <c r="B4158" t="s">
        <v>5622</v>
      </c>
      <c r="C4158" t="s">
        <v>5623</v>
      </c>
      <c r="D4158" t="str">
        <f>HYPERLINK("http://service.sap.com/sap/support/notes/1652414","1652414")</f>
        <v>1652414</v>
      </c>
      <c r="E4158">
        <v>1</v>
      </c>
      <c r="F4158" t="s">
        <v>5630</v>
      </c>
    </row>
    <row r="4159" spans="1:6" x14ac:dyDescent="0.25">
      <c r="A4159" t="s">
        <v>1522</v>
      </c>
      <c r="B4159" t="s">
        <v>5622</v>
      </c>
      <c r="C4159" t="s">
        <v>5623</v>
      </c>
      <c r="D4159" t="str">
        <f>HYPERLINK("http://service.sap.com/sap/support/notes/1653351","1653351")</f>
        <v>1653351</v>
      </c>
      <c r="E4159">
        <v>1</v>
      </c>
      <c r="F4159" t="s">
        <v>5631</v>
      </c>
    </row>
    <row r="4160" spans="1:6" x14ac:dyDescent="0.25">
      <c r="A4160" t="s">
        <v>1522</v>
      </c>
      <c r="B4160" t="s">
        <v>5622</v>
      </c>
      <c r="C4160" t="s">
        <v>5623</v>
      </c>
      <c r="D4160" t="str">
        <f>HYPERLINK("http://service.sap.com/sap/support/notes/1659236","1659236")</f>
        <v>1659236</v>
      </c>
      <c r="E4160">
        <v>1</v>
      </c>
      <c r="F4160" t="s">
        <v>5632</v>
      </c>
    </row>
    <row r="4161" spans="1:6" x14ac:dyDescent="0.25">
      <c r="A4161" t="s">
        <v>1522</v>
      </c>
      <c r="B4161" t="s">
        <v>1382</v>
      </c>
      <c r="C4161" t="s">
        <v>141</v>
      </c>
      <c r="D4161" t="str">
        <f>HYPERLINK("http://service.sap.com/sap/support/notes/1615782","1615782")</f>
        <v>1615782</v>
      </c>
      <c r="E4161">
        <v>5</v>
      </c>
      <c r="F4161" t="s">
        <v>5633</v>
      </c>
    </row>
    <row r="4162" spans="1:6" x14ac:dyDescent="0.25">
      <c r="A4162" t="s">
        <v>1522</v>
      </c>
      <c r="B4162" t="s">
        <v>1382</v>
      </c>
      <c r="C4162" t="s">
        <v>141</v>
      </c>
      <c r="D4162" t="str">
        <f>HYPERLINK("http://service.sap.com/sap/support/notes/1621103","1621103")</f>
        <v>1621103</v>
      </c>
      <c r="E4162">
        <v>2</v>
      </c>
      <c r="F4162" t="s">
        <v>5634</v>
      </c>
    </row>
    <row r="4163" spans="1:6" x14ac:dyDescent="0.25">
      <c r="A4163" t="s">
        <v>1522</v>
      </c>
      <c r="B4163" t="s">
        <v>1382</v>
      </c>
      <c r="C4163" t="s">
        <v>141</v>
      </c>
      <c r="D4163" t="str">
        <f>HYPERLINK("http://service.sap.com/sap/support/notes/1621456","1621456")</f>
        <v>1621456</v>
      </c>
      <c r="E4163">
        <v>2</v>
      </c>
      <c r="F4163" t="s">
        <v>5635</v>
      </c>
    </row>
    <row r="4164" spans="1:6" x14ac:dyDescent="0.25">
      <c r="A4164" t="s">
        <v>1522</v>
      </c>
      <c r="B4164" t="s">
        <v>1382</v>
      </c>
      <c r="C4164" t="s">
        <v>141</v>
      </c>
      <c r="D4164" t="str">
        <f>HYPERLINK("http://service.sap.com/sap/support/notes/1626878","1626878")</f>
        <v>1626878</v>
      </c>
      <c r="E4164">
        <v>1</v>
      </c>
      <c r="F4164" t="s">
        <v>5636</v>
      </c>
    </row>
    <row r="4165" spans="1:6" x14ac:dyDescent="0.25">
      <c r="A4165" t="s">
        <v>1522</v>
      </c>
      <c r="B4165" t="s">
        <v>1382</v>
      </c>
      <c r="C4165" t="s">
        <v>141</v>
      </c>
      <c r="D4165" t="str">
        <f>HYPERLINK("http://service.sap.com/sap/support/notes/1635336","1635336")</f>
        <v>1635336</v>
      </c>
      <c r="E4165">
        <v>3</v>
      </c>
      <c r="F4165" t="s">
        <v>5637</v>
      </c>
    </row>
    <row r="4166" spans="1:6" x14ac:dyDescent="0.25">
      <c r="A4166" t="s">
        <v>1522</v>
      </c>
      <c r="B4166" t="s">
        <v>1382</v>
      </c>
      <c r="C4166" t="s">
        <v>141</v>
      </c>
      <c r="D4166" t="str">
        <f>HYPERLINK("http://service.sap.com/sap/support/notes/1638575","1638575")</f>
        <v>1638575</v>
      </c>
      <c r="E4166">
        <v>1</v>
      </c>
      <c r="F4166" t="s">
        <v>5638</v>
      </c>
    </row>
    <row r="4167" spans="1:6" x14ac:dyDescent="0.25">
      <c r="A4167" t="s">
        <v>1522</v>
      </c>
      <c r="B4167" t="s">
        <v>1382</v>
      </c>
      <c r="C4167" t="s">
        <v>141</v>
      </c>
      <c r="D4167" t="str">
        <f>HYPERLINK("http://service.sap.com/sap/support/notes/1638868","1638868")</f>
        <v>1638868</v>
      </c>
      <c r="E4167">
        <v>4</v>
      </c>
      <c r="F4167" t="s">
        <v>5639</v>
      </c>
    </row>
    <row r="4168" spans="1:6" x14ac:dyDescent="0.25">
      <c r="A4168" t="s">
        <v>1522</v>
      </c>
      <c r="B4168" t="s">
        <v>1382</v>
      </c>
      <c r="C4168" t="s">
        <v>141</v>
      </c>
      <c r="D4168" t="str">
        <f>HYPERLINK("http://service.sap.com/sap/support/notes/1639713","1639713")</f>
        <v>1639713</v>
      </c>
      <c r="E4168">
        <v>3</v>
      </c>
      <c r="F4168" t="s">
        <v>5640</v>
      </c>
    </row>
    <row r="4169" spans="1:6" x14ac:dyDescent="0.25">
      <c r="A4169" t="s">
        <v>1522</v>
      </c>
      <c r="B4169" t="s">
        <v>1382</v>
      </c>
      <c r="C4169" t="s">
        <v>141</v>
      </c>
      <c r="D4169" t="str">
        <f>HYPERLINK("http://service.sap.com/sap/support/notes/1643964","1643964")</f>
        <v>1643964</v>
      </c>
      <c r="E4169">
        <v>5</v>
      </c>
      <c r="F4169" t="s">
        <v>5641</v>
      </c>
    </row>
    <row r="4170" spans="1:6" x14ac:dyDescent="0.25">
      <c r="A4170" t="s">
        <v>1522</v>
      </c>
      <c r="B4170" t="s">
        <v>1382</v>
      </c>
      <c r="C4170" t="s">
        <v>141</v>
      </c>
      <c r="D4170" t="str">
        <f>HYPERLINK("http://service.sap.com/sap/support/notes/1652833","1652833")</f>
        <v>1652833</v>
      </c>
      <c r="E4170">
        <v>4</v>
      </c>
      <c r="F4170" t="s">
        <v>5642</v>
      </c>
    </row>
    <row r="4171" spans="1:6" x14ac:dyDescent="0.25">
      <c r="A4171" t="s">
        <v>1522</v>
      </c>
      <c r="B4171" t="s">
        <v>1382</v>
      </c>
      <c r="C4171" t="s">
        <v>141</v>
      </c>
      <c r="D4171" t="str">
        <f>HYPERLINK("http://service.sap.com/sap/support/notes/1658064","1658064")</f>
        <v>1658064</v>
      </c>
      <c r="E4171">
        <v>2</v>
      </c>
      <c r="F4171" t="s">
        <v>5643</v>
      </c>
    </row>
    <row r="4172" spans="1:6" x14ac:dyDescent="0.25">
      <c r="A4172" t="s">
        <v>1522</v>
      </c>
      <c r="B4172" t="s">
        <v>1385</v>
      </c>
      <c r="C4172" t="s">
        <v>1386</v>
      </c>
      <c r="D4172" t="str">
        <f>HYPERLINK("http://service.sap.com/sap/support/notes/1592997","1592997")</f>
        <v>1592997</v>
      </c>
      <c r="E4172">
        <v>2</v>
      </c>
      <c r="F4172" t="s">
        <v>5644</v>
      </c>
    </row>
    <row r="4173" spans="1:6" x14ac:dyDescent="0.25">
      <c r="A4173" t="s">
        <v>1522</v>
      </c>
      <c r="B4173" t="s">
        <v>1385</v>
      </c>
      <c r="C4173" t="s">
        <v>1386</v>
      </c>
      <c r="D4173" t="str">
        <f>HYPERLINK("http://service.sap.com/sap/support/notes/1612648","1612648")</f>
        <v>1612648</v>
      </c>
      <c r="E4173">
        <v>1</v>
      </c>
      <c r="F4173" t="s">
        <v>5645</v>
      </c>
    </row>
    <row r="4174" spans="1:6" x14ac:dyDescent="0.25">
      <c r="A4174" t="s">
        <v>1522</v>
      </c>
      <c r="B4174" t="s">
        <v>1385</v>
      </c>
      <c r="C4174" t="s">
        <v>1386</v>
      </c>
      <c r="D4174" t="str">
        <f>HYPERLINK("http://service.sap.com/sap/support/notes/1616778","1616778")</f>
        <v>1616778</v>
      </c>
      <c r="E4174">
        <v>1</v>
      </c>
      <c r="F4174" t="s">
        <v>5646</v>
      </c>
    </row>
    <row r="4175" spans="1:6" x14ac:dyDescent="0.25">
      <c r="A4175" t="s">
        <v>1522</v>
      </c>
      <c r="B4175" t="s">
        <v>1385</v>
      </c>
      <c r="C4175" t="s">
        <v>1386</v>
      </c>
      <c r="D4175" t="str">
        <f>HYPERLINK("http://service.sap.com/sap/support/notes/1620092","1620092")</f>
        <v>1620092</v>
      </c>
      <c r="E4175">
        <v>1</v>
      </c>
      <c r="F4175" t="s">
        <v>5647</v>
      </c>
    </row>
    <row r="4176" spans="1:6" x14ac:dyDescent="0.25">
      <c r="A4176" t="s">
        <v>1522</v>
      </c>
      <c r="B4176" t="s">
        <v>1385</v>
      </c>
      <c r="C4176" t="s">
        <v>1386</v>
      </c>
      <c r="D4176" t="str">
        <f>HYPERLINK("http://service.sap.com/sap/support/notes/1621044","1621044")</f>
        <v>1621044</v>
      </c>
      <c r="E4176">
        <v>4</v>
      </c>
      <c r="F4176" t="s">
        <v>5648</v>
      </c>
    </row>
    <row r="4177" spans="1:6" x14ac:dyDescent="0.25">
      <c r="A4177" t="s">
        <v>1522</v>
      </c>
      <c r="B4177" t="s">
        <v>1385</v>
      </c>
      <c r="C4177" t="s">
        <v>1386</v>
      </c>
      <c r="D4177" t="str">
        <f>HYPERLINK("http://service.sap.com/sap/support/notes/1622831","1622831")</f>
        <v>1622831</v>
      </c>
      <c r="E4177">
        <v>2</v>
      </c>
      <c r="F4177" t="s">
        <v>5649</v>
      </c>
    </row>
    <row r="4178" spans="1:6" x14ac:dyDescent="0.25">
      <c r="A4178" t="s">
        <v>1522</v>
      </c>
      <c r="B4178" t="s">
        <v>1385</v>
      </c>
      <c r="C4178" t="s">
        <v>1386</v>
      </c>
      <c r="D4178" t="str">
        <f>HYPERLINK("http://service.sap.com/sap/support/notes/1623121","1623121")</f>
        <v>1623121</v>
      </c>
      <c r="E4178">
        <v>1</v>
      </c>
      <c r="F4178" t="s">
        <v>5650</v>
      </c>
    </row>
    <row r="4179" spans="1:6" x14ac:dyDescent="0.25">
      <c r="A4179" t="s">
        <v>1522</v>
      </c>
      <c r="B4179" t="s">
        <v>1385</v>
      </c>
      <c r="C4179" t="s">
        <v>1386</v>
      </c>
      <c r="D4179" t="str">
        <f>HYPERLINK("http://service.sap.com/sap/support/notes/1623340","1623340")</f>
        <v>1623340</v>
      </c>
      <c r="E4179">
        <v>1</v>
      </c>
      <c r="F4179" t="s">
        <v>5651</v>
      </c>
    </row>
    <row r="4180" spans="1:6" x14ac:dyDescent="0.25">
      <c r="A4180" t="s">
        <v>1522</v>
      </c>
      <c r="B4180" t="s">
        <v>1385</v>
      </c>
      <c r="C4180" t="s">
        <v>1386</v>
      </c>
      <c r="D4180" t="str">
        <f>HYPERLINK("http://service.sap.com/sap/support/notes/1624105","1624105")</f>
        <v>1624105</v>
      </c>
      <c r="E4180">
        <v>1</v>
      </c>
      <c r="F4180" t="s">
        <v>5652</v>
      </c>
    </row>
    <row r="4181" spans="1:6" x14ac:dyDescent="0.25">
      <c r="A4181" t="s">
        <v>1522</v>
      </c>
      <c r="B4181" t="s">
        <v>1385</v>
      </c>
      <c r="C4181" t="s">
        <v>1386</v>
      </c>
      <c r="D4181" t="str">
        <f>HYPERLINK("http://service.sap.com/sap/support/notes/1624109","1624109")</f>
        <v>1624109</v>
      </c>
      <c r="E4181">
        <v>1</v>
      </c>
      <c r="F4181" t="s">
        <v>5653</v>
      </c>
    </row>
    <row r="4182" spans="1:6" x14ac:dyDescent="0.25">
      <c r="A4182" t="s">
        <v>1522</v>
      </c>
      <c r="B4182" t="s">
        <v>1385</v>
      </c>
      <c r="C4182" t="s">
        <v>1386</v>
      </c>
      <c r="D4182" t="str">
        <f>HYPERLINK("http://service.sap.com/sap/support/notes/1625225","1625225")</f>
        <v>1625225</v>
      </c>
      <c r="E4182">
        <v>1</v>
      </c>
      <c r="F4182" t="s">
        <v>5654</v>
      </c>
    </row>
    <row r="4183" spans="1:6" x14ac:dyDescent="0.25">
      <c r="A4183" t="s">
        <v>1522</v>
      </c>
      <c r="B4183" t="s">
        <v>1385</v>
      </c>
      <c r="C4183" t="s">
        <v>1386</v>
      </c>
      <c r="D4183" t="str">
        <f>HYPERLINK("http://service.sap.com/sap/support/notes/1625819","1625819")</f>
        <v>1625819</v>
      </c>
      <c r="E4183">
        <v>1</v>
      </c>
      <c r="F4183" t="s">
        <v>5655</v>
      </c>
    </row>
    <row r="4184" spans="1:6" x14ac:dyDescent="0.25">
      <c r="A4184" t="s">
        <v>1522</v>
      </c>
      <c r="B4184" t="s">
        <v>1385</v>
      </c>
      <c r="C4184" t="s">
        <v>1386</v>
      </c>
      <c r="D4184" t="str">
        <f>HYPERLINK("http://service.sap.com/sap/support/notes/1627065","1627065")</f>
        <v>1627065</v>
      </c>
      <c r="E4184">
        <v>1</v>
      </c>
      <c r="F4184" t="s">
        <v>5656</v>
      </c>
    </row>
    <row r="4185" spans="1:6" x14ac:dyDescent="0.25">
      <c r="A4185" t="s">
        <v>1522</v>
      </c>
      <c r="B4185" t="s">
        <v>1385</v>
      </c>
      <c r="C4185" t="s">
        <v>1386</v>
      </c>
      <c r="D4185" t="str">
        <f>HYPERLINK("http://service.sap.com/sap/support/notes/1628273","1628273")</f>
        <v>1628273</v>
      </c>
      <c r="E4185">
        <v>2</v>
      </c>
      <c r="F4185" t="s">
        <v>5657</v>
      </c>
    </row>
    <row r="4186" spans="1:6" x14ac:dyDescent="0.25">
      <c r="A4186" t="s">
        <v>1522</v>
      </c>
      <c r="B4186" t="s">
        <v>1385</v>
      </c>
      <c r="C4186" t="s">
        <v>1386</v>
      </c>
      <c r="D4186" t="str">
        <f>HYPERLINK("http://service.sap.com/sap/support/notes/1630397","1630397")</f>
        <v>1630397</v>
      </c>
      <c r="E4186">
        <v>1</v>
      </c>
      <c r="F4186" t="s">
        <v>5654</v>
      </c>
    </row>
    <row r="4187" spans="1:6" x14ac:dyDescent="0.25">
      <c r="A4187" t="s">
        <v>1522</v>
      </c>
      <c r="B4187" t="s">
        <v>1385</v>
      </c>
      <c r="C4187" t="s">
        <v>1386</v>
      </c>
      <c r="D4187" t="str">
        <f>HYPERLINK("http://service.sap.com/sap/support/notes/1630409","1630409")</f>
        <v>1630409</v>
      </c>
      <c r="E4187">
        <v>1</v>
      </c>
      <c r="F4187" t="s">
        <v>5658</v>
      </c>
    </row>
    <row r="4188" spans="1:6" x14ac:dyDescent="0.25">
      <c r="A4188" t="s">
        <v>1522</v>
      </c>
      <c r="B4188" t="s">
        <v>1385</v>
      </c>
      <c r="C4188" t="s">
        <v>1386</v>
      </c>
      <c r="D4188" t="str">
        <f>HYPERLINK("http://service.sap.com/sap/support/notes/1630675","1630675")</f>
        <v>1630675</v>
      </c>
      <c r="E4188">
        <v>1</v>
      </c>
      <c r="F4188" t="s">
        <v>5659</v>
      </c>
    </row>
    <row r="4189" spans="1:6" x14ac:dyDescent="0.25">
      <c r="A4189" t="s">
        <v>1522</v>
      </c>
      <c r="B4189" t="s">
        <v>1385</v>
      </c>
      <c r="C4189" t="s">
        <v>1386</v>
      </c>
      <c r="D4189" t="str">
        <f>HYPERLINK("http://service.sap.com/sap/support/notes/1631213","1631213")</f>
        <v>1631213</v>
      </c>
      <c r="E4189">
        <v>3</v>
      </c>
      <c r="F4189" t="s">
        <v>5660</v>
      </c>
    </row>
    <row r="4190" spans="1:6" x14ac:dyDescent="0.25">
      <c r="A4190" t="s">
        <v>1522</v>
      </c>
      <c r="B4190" t="s">
        <v>1385</v>
      </c>
      <c r="C4190" t="s">
        <v>1386</v>
      </c>
      <c r="D4190" t="str">
        <f>HYPERLINK("http://service.sap.com/sap/support/notes/1631695","1631695")</f>
        <v>1631695</v>
      </c>
      <c r="E4190">
        <v>1</v>
      </c>
      <c r="F4190" t="s">
        <v>5661</v>
      </c>
    </row>
    <row r="4191" spans="1:6" x14ac:dyDescent="0.25">
      <c r="A4191" t="s">
        <v>1522</v>
      </c>
      <c r="B4191" t="s">
        <v>1385</v>
      </c>
      <c r="C4191" t="s">
        <v>1386</v>
      </c>
      <c r="D4191" t="str">
        <f>HYPERLINK("http://service.sap.com/sap/support/notes/1631920","1631920")</f>
        <v>1631920</v>
      </c>
      <c r="E4191">
        <v>1</v>
      </c>
      <c r="F4191" t="s">
        <v>5662</v>
      </c>
    </row>
    <row r="4192" spans="1:6" x14ac:dyDescent="0.25">
      <c r="A4192" t="s">
        <v>1522</v>
      </c>
      <c r="B4192" t="s">
        <v>1385</v>
      </c>
      <c r="C4192" t="s">
        <v>1386</v>
      </c>
      <c r="D4192" t="str">
        <f>HYPERLINK("http://service.sap.com/sap/support/notes/1633945","1633945")</f>
        <v>1633945</v>
      </c>
      <c r="E4192">
        <v>4</v>
      </c>
      <c r="F4192" t="s">
        <v>5663</v>
      </c>
    </row>
    <row r="4193" spans="1:6" x14ac:dyDescent="0.25">
      <c r="A4193" t="s">
        <v>1522</v>
      </c>
      <c r="B4193" t="s">
        <v>1385</v>
      </c>
      <c r="C4193" t="s">
        <v>1386</v>
      </c>
      <c r="D4193" t="str">
        <f>HYPERLINK("http://service.sap.com/sap/support/notes/1640055","1640055")</f>
        <v>1640055</v>
      </c>
      <c r="E4193">
        <v>1</v>
      </c>
      <c r="F4193" t="s">
        <v>5664</v>
      </c>
    </row>
    <row r="4194" spans="1:6" x14ac:dyDescent="0.25">
      <c r="A4194" t="s">
        <v>1522</v>
      </c>
      <c r="B4194" t="s">
        <v>1385</v>
      </c>
      <c r="C4194" t="s">
        <v>1386</v>
      </c>
      <c r="D4194" t="str">
        <f>HYPERLINK("http://service.sap.com/sap/support/notes/1644779","1644779")</f>
        <v>1644779</v>
      </c>
      <c r="E4194">
        <v>1</v>
      </c>
      <c r="F4194" t="s">
        <v>5665</v>
      </c>
    </row>
    <row r="4195" spans="1:6" x14ac:dyDescent="0.25">
      <c r="A4195" t="s">
        <v>1522</v>
      </c>
      <c r="B4195" t="s">
        <v>1385</v>
      </c>
      <c r="C4195" t="s">
        <v>1386</v>
      </c>
      <c r="D4195" t="str">
        <f>HYPERLINK("http://service.sap.com/sap/support/notes/1648192","1648192")</f>
        <v>1648192</v>
      </c>
      <c r="E4195">
        <v>1</v>
      </c>
      <c r="F4195" t="s">
        <v>5666</v>
      </c>
    </row>
    <row r="4196" spans="1:6" x14ac:dyDescent="0.25">
      <c r="A4196" t="s">
        <v>1522</v>
      </c>
      <c r="B4196" t="s">
        <v>1385</v>
      </c>
      <c r="C4196" t="s">
        <v>1386</v>
      </c>
      <c r="D4196" t="str">
        <f>HYPERLINK("http://service.sap.com/sap/support/notes/1650771","1650771")</f>
        <v>1650771</v>
      </c>
      <c r="E4196">
        <v>2</v>
      </c>
      <c r="F4196" t="s">
        <v>5667</v>
      </c>
    </row>
    <row r="4197" spans="1:6" x14ac:dyDescent="0.25">
      <c r="A4197" t="s">
        <v>1522</v>
      </c>
      <c r="B4197" t="s">
        <v>1385</v>
      </c>
      <c r="C4197" t="s">
        <v>1386</v>
      </c>
      <c r="D4197" t="str">
        <f>HYPERLINK("http://service.sap.com/sap/support/notes/1653002","1653002")</f>
        <v>1653002</v>
      </c>
      <c r="E4197">
        <v>1</v>
      </c>
      <c r="F4197" t="s">
        <v>5668</v>
      </c>
    </row>
    <row r="4198" spans="1:6" x14ac:dyDescent="0.25">
      <c r="A4198" t="s">
        <v>1522</v>
      </c>
      <c r="B4198" t="s">
        <v>1385</v>
      </c>
      <c r="C4198" t="s">
        <v>1386</v>
      </c>
      <c r="D4198" t="str">
        <f>HYPERLINK("http://service.sap.com/sap/support/notes/1653567","1653567")</f>
        <v>1653567</v>
      </c>
      <c r="E4198">
        <v>1</v>
      </c>
      <c r="F4198" t="s">
        <v>5669</v>
      </c>
    </row>
    <row r="4199" spans="1:6" x14ac:dyDescent="0.25">
      <c r="A4199" t="s">
        <v>1522</v>
      </c>
      <c r="B4199" t="s">
        <v>1385</v>
      </c>
      <c r="C4199" t="s">
        <v>1386</v>
      </c>
      <c r="D4199" t="str">
        <f>HYPERLINK("http://service.sap.com/sap/support/notes/1655107","1655107")</f>
        <v>1655107</v>
      </c>
      <c r="E4199">
        <v>2</v>
      </c>
      <c r="F4199" t="s">
        <v>5670</v>
      </c>
    </row>
    <row r="4200" spans="1:6" x14ac:dyDescent="0.25">
      <c r="A4200" t="s">
        <v>1522</v>
      </c>
      <c r="B4200" t="s">
        <v>1385</v>
      </c>
      <c r="C4200" t="s">
        <v>1386</v>
      </c>
      <c r="D4200" t="str">
        <f>HYPERLINK("http://service.sap.com/sap/support/notes/1657816","1657816")</f>
        <v>1657816</v>
      </c>
      <c r="E4200">
        <v>1</v>
      </c>
      <c r="F4200" t="s">
        <v>5671</v>
      </c>
    </row>
    <row r="4201" spans="1:6" x14ac:dyDescent="0.25">
      <c r="A4201" t="s">
        <v>1522</v>
      </c>
      <c r="B4201" t="s">
        <v>1385</v>
      </c>
      <c r="C4201" t="s">
        <v>1386</v>
      </c>
      <c r="D4201" t="str">
        <f>HYPERLINK("http://service.sap.com/sap/support/notes/1658558","1658558")</f>
        <v>1658558</v>
      </c>
      <c r="E4201">
        <v>1</v>
      </c>
      <c r="F4201" t="s">
        <v>5672</v>
      </c>
    </row>
    <row r="4202" spans="1:6" x14ac:dyDescent="0.25">
      <c r="A4202" t="s">
        <v>1522</v>
      </c>
      <c r="B4202" t="s">
        <v>1385</v>
      </c>
      <c r="C4202" t="s">
        <v>1386</v>
      </c>
      <c r="D4202" t="str">
        <f>HYPERLINK("http://service.sap.com/sap/support/notes/1661138","1661138")</f>
        <v>1661138</v>
      </c>
      <c r="E4202">
        <v>2</v>
      </c>
      <c r="F4202" t="s">
        <v>5673</v>
      </c>
    </row>
    <row r="4203" spans="1:6" x14ac:dyDescent="0.25">
      <c r="A4203" t="s">
        <v>1522</v>
      </c>
      <c r="B4203" t="s">
        <v>1385</v>
      </c>
      <c r="C4203" t="s">
        <v>1386</v>
      </c>
      <c r="D4203" t="str">
        <f>HYPERLINK("http://service.sap.com/sap/support/notes/1669094","1669094")</f>
        <v>1669094</v>
      </c>
      <c r="E4203">
        <v>1</v>
      </c>
      <c r="F4203" t="s">
        <v>5674</v>
      </c>
    </row>
    <row r="4204" spans="1:6" x14ac:dyDescent="0.25">
      <c r="A4204" t="s">
        <v>1522</v>
      </c>
      <c r="B4204" t="s">
        <v>1385</v>
      </c>
      <c r="C4204" t="s">
        <v>1386</v>
      </c>
      <c r="D4204" t="str">
        <f>HYPERLINK("http://service.sap.com/sap/support/notes/1670368","1670368")</f>
        <v>1670368</v>
      </c>
      <c r="E4204">
        <v>1</v>
      </c>
      <c r="F4204" t="s">
        <v>5675</v>
      </c>
    </row>
    <row r="4205" spans="1:6" x14ac:dyDescent="0.25">
      <c r="A4205" t="s">
        <v>1522</v>
      </c>
      <c r="B4205" t="s">
        <v>1385</v>
      </c>
      <c r="C4205" t="s">
        <v>1386</v>
      </c>
      <c r="D4205" t="str">
        <f>HYPERLINK("http://service.sap.com/sap/support/notes/1671302","1671302")</f>
        <v>1671302</v>
      </c>
      <c r="E4205">
        <v>2</v>
      </c>
      <c r="F4205" t="s">
        <v>5676</v>
      </c>
    </row>
    <row r="4206" spans="1:6" x14ac:dyDescent="0.25">
      <c r="A4206" t="s">
        <v>1522</v>
      </c>
      <c r="B4206" t="s">
        <v>1385</v>
      </c>
      <c r="C4206" t="s">
        <v>1386</v>
      </c>
      <c r="D4206" t="str">
        <f>HYPERLINK("http://service.sap.com/sap/support/notes/1671343","1671343")</f>
        <v>1671343</v>
      </c>
      <c r="E4206">
        <v>1</v>
      </c>
      <c r="F4206" t="s">
        <v>5677</v>
      </c>
    </row>
    <row r="4207" spans="1:6" x14ac:dyDescent="0.25">
      <c r="A4207" t="s">
        <v>1522</v>
      </c>
      <c r="B4207" t="s">
        <v>1397</v>
      </c>
      <c r="C4207" t="s">
        <v>1398</v>
      </c>
      <c r="D4207" t="str">
        <f>HYPERLINK("http://service.sap.com/sap/support/notes/1568361","1568361")</f>
        <v>1568361</v>
      </c>
      <c r="E4207">
        <v>1</v>
      </c>
      <c r="F4207" t="s">
        <v>5678</v>
      </c>
    </row>
    <row r="4208" spans="1:6" x14ac:dyDescent="0.25">
      <c r="A4208" t="s">
        <v>1522</v>
      </c>
      <c r="B4208" t="s">
        <v>1397</v>
      </c>
      <c r="C4208" t="s">
        <v>1398</v>
      </c>
      <c r="D4208" t="str">
        <f>HYPERLINK("http://service.sap.com/sap/support/notes/1573580","1573580")</f>
        <v>1573580</v>
      </c>
      <c r="E4208">
        <v>3</v>
      </c>
      <c r="F4208" t="s">
        <v>5679</v>
      </c>
    </row>
    <row r="4209" spans="1:6" x14ac:dyDescent="0.25">
      <c r="A4209" t="s">
        <v>1522</v>
      </c>
      <c r="B4209" t="s">
        <v>1397</v>
      </c>
      <c r="C4209" t="s">
        <v>1398</v>
      </c>
      <c r="D4209" t="str">
        <f>HYPERLINK("http://service.sap.com/sap/support/notes/1616520","1616520")</f>
        <v>1616520</v>
      </c>
      <c r="E4209">
        <v>3</v>
      </c>
      <c r="F4209" t="s">
        <v>5680</v>
      </c>
    </row>
    <row r="4210" spans="1:6" x14ac:dyDescent="0.25">
      <c r="A4210" t="s">
        <v>1522</v>
      </c>
      <c r="B4210" t="s">
        <v>1397</v>
      </c>
      <c r="C4210" t="s">
        <v>1398</v>
      </c>
      <c r="D4210" t="str">
        <f>HYPERLINK("http://service.sap.com/sap/support/notes/1616521","1616521")</f>
        <v>1616521</v>
      </c>
      <c r="E4210">
        <v>1</v>
      </c>
      <c r="F4210" t="s">
        <v>5681</v>
      </c>
    </row>
    <row r="4211" spans="1:6" x14ac:dyDescent="0.25">
      <c r="A4211" t="s">
        <v>1522</v>
      </c>
      <c r="B4211" t="s">
        <v>1397</v>
      </c>
      <c r="C4211" t="s">
        <v>1398</v>
      </c>
      <c r="D4211" t="str">
        <f>HYPERLINK("http://service.sap.com/sap/support/notes/1623183","1623183")</f>
        <v>1623183</v>
      </c>
      <c r="E4211">
        <v>7</v>
      </c>
      <c r="F4211" t="s">
        <v>5682</v>
      </c>
    </row>
    <row r="4212" spans="1:6" x14ac:dyDescent="0.25">
      <c r="A4212" t="s">
        <v>1522</v>
      </c>
      <c r="B4212" t="s">
        <v>1397</v>
      </c>
      <c r="C4212" t="s">
        <v>1398</v>
      </c>
      <c r="D4212" t="str">
        <f>HYPERLINK("http://service.sap.com/sap/support/notes/1626304","1626304")</f>
        <v>1626304</v>
      </c>
      <c r="E4212">
        <v>1</v>
      </c>
      <c r="F4212" t="s">
        <v>5683</v>
      </c>
    </row>
    <row r="4213" spans="1:6" x14ac:dyDescent="0.25">
      <c r="A4213" t="s">
        <v>1522</v>
      </c>
      <c r="B4213" t="s">
        <v>1397</v>
      </c>
      <c r="C4213" t="s">
        <v>1398</v>
      </c>
      <c r="D4213" t="str">
        <f>HYPERLINK("http://service.sap.com/sap/support/notes/1626903","1626903")</f>
        <v>1626903</v>
      </c>
      <c r="E4213">
        <v>4</v>
      </c>
      <c r="F4213" t="s">
        <v>5684</v>
      </c>
    </row>
    <row r="4214" spans="1:6" x14ac:dyDescent="0.25">
      <c r="A4214" t="s">
        <v>1522</v>
      </c>
      <c r="B4214" t="s">
        <v>1397</v>
      </c>
      <c r="C4214" t="s">
        <v>1398</v>
      </c>
      <c r="D4214" t="str">
        <f>HYPERLINK("http://service.sap.com/sap/support/notes/1627026","1627026")</f>
        <v>1627026</v>
      </c>
      <c r="E4214">
        <v>3</v>
      </c>
      <c r="F4214" t="s">
        <v>5685</v>
      </c>
    </row>
    <row r="4215" spans="1:6" x14ac:dyDescent="0.25">
      <c r="A4215" t="s">
        <v>1522</v>
      </c>
      <c r="B4215" t="s">
        <v>1397</v>
      </c>
      <c r="C4215" t="s">
        <v>1398</v>
      </c>
      <c r="D4215" t="str">
        <f>HYPERLINK("http://service.sap.com/sap/support/notes/1628192","1628192")</f>
        <v>1628192</v>
      </c>
      <c r="E4215">
        <v>1</v>
      </c>
      <c r="F4215" t="s">
        <v>5686</v>
      </c>
    </row>
    <row r="4216" spans="1:6" x14ac:dyDescent="0.25">
      <c r="A4216" t="s">
        <v>1522</v>
      </c>
      <c r="B4216" t="s">
        <v>1397</v>
      </c>
      <c r="C4216" t="s">
        <v>1398</v>
      </c>
      <c r="D4216" t="str">
        <f>HYPERLINK("http://service.sap.com/sap/support/notes/1628621","1628621")</f>
        <v>1628621</v>
      </c>
      <c r="E4216">
        <v>3</v>
      </c>
      <c r="F4216" t="s">
        <v>5687</v>
      </c>
    </row>
    <row r="4217" spans="1:6" x14ac:dyDescent="0.25">
      <c r="A4217" t="s">
        <v>1522</v>
      </c>
      <c r="B4217" t="s">
        <v>1397</v>
      </c>
      <c r="C4217" t="s">
        <v>1398</v>
      </c>
      <c r="D4217" t="str">
        <f>HYPERLINK("http://service.sap.com/sap/support/notes/1630899","1630899")</f>
        <v>1630899</v>
      </c>
      <c r="E4217">
        <v>1</v>
      </c>
      <c r="F4217" t="s">
        <v>5688</v>
      </c>
    </row>
    <row r="4218" spans="1:6" x14ac:dyDescent="0.25">
      <c r="A4218" t="s">
        <v>1522</v>
      </c>
      <c r="B4218" t="s">
        <v>1397</v>
      </c>
      <c r="C4218" t="s">
        <v>1398</v>
      </c>
      <c r="D4218" t="str">
        <f>HYPERLINK("http://service.sap.com/sap/support/notes/1631982","1631982")</f>
        <v>1631982</v>
      </c>
      <c r="E4218">
        <v>1</v>
      </c>
      <c r="F4218" t="s">
        <v>5689</v>
      </c>
    </row>
    <row r="4219" spans="1:6" x14ac:dyDescent="0.25">
      <c r="A4219" t="s">
        <v>1522</v>
      </c>
      <c r="B4219" t="s">
        <v>1397</v>
      </c>
      <c r="C4219" t="s">
        <v>1398</v>
      </c>
      <c r="D4219" t="str">
        <f>HYPERLINK("http://service.sap.com/sap/support/notes/1632930","1632930")</f>
        <v>1632930</v>
      </c>
      <c r="E4219">
        <v>1</v>
      </c>
      <c r="F4219" t="s">
        <v>5690</v>
      </c>
    </row>
    <row r="4220" spans="1:6" x14ac:dyDescent="0.25">
      <c r="A4220" t="s">
        <v>1522</v>
      </c>
      <c r="B4220" t="s">
        <v>1397</v>
      </c>
      <c r="C4220" t="s">
        <v>1398</v>
      </c>
      <c r="D4220" t="str">
        <f>HYPERLINK("http://service.sap.com/sap/support/notes/1633644","1633644")</f>
        <v>1633644</v>
      </c>
      <c r="E4220">
        <v>2</v>
      </c>
      <c r="F4220" t="s">
        <v>5691</v>
      </c>
    </row>
    <row r="4221" spans="1:6" x14ac:dyDescent="0.25">
      <c r="A4221" t="s">
        <v>1522</v>
      </c>
      <c r="B4221" t="s">
        <v>1397</v>
      </c>
      <c r="C4221" t="s">
        <v>1398</v>
      </c>
      <c r="D4221" t="str">
        <f>HYPERLINK("http://service.sap.com/sap/support/notes/1635729","1635729")</f>
        <v>1635729</v>
      </c>
      <c r="E4221">
        <v>1</v>
      </c>
      <c r="F4221" t="s">
        <v>5692</v>
      </c>
    </row>
    <row r="4222" spans="1:6" x14ac:dyDescent="0.25">
      <c r="A4222" t="s">
        <v>1522</v>
      </c>
      <c r="B4222" t="s">
        <v>1397</v>
      </c>
      <c r="C4222" t="s">
        <v>1398</v>
      </c>
      <c r="D4222" t="str">
        <f>HYPERLINK("http://service.sap.com/sap/support/notes/1636750","1636750")</f>
        <v>1636750</v>
      </c>
      <c r="E4222">
        <v>1</v>
      </c>
      <c r="F4222" t="s">
        <v>5693</v>
      </c>
    </row>
    <row r="4223" spans="1:6" x14ac:dyDescent="0.25">
      <c r="A4223" t="s">
        <v>1522</v>
      </c>
      <c r="B4223" t="s">
        <v>1397</v>
      </c>
      <c r="C4223" t="s">
        <v>1398</v>
      </c>
      <c r="D4223" t="str">
        <f>HYPERLINK("http://service.sap.com/sap/support/notes/1637762","1637762")</f>
        <v>1637762</v>
      </c>
      <c r="E4223">
        <v>1</v>
      </c>
      <c r="F4223" t="s">
        <v>5694</v>
      </c>
    </row>
    <row r="4224" spans="1:6" x14ac:dyDescent="0.25">
      <c r="A4224" t="s">
        <v>1522</v>
      </c>
      <c r="B4224" t="s">
        <v>1397</v>
      </c>
      <c r="C4224" t="s">
        <v>1398</v>
      </c>
      <c r="D4224" t="str">
        <f>HYPERLINK("http://service.sap.com/sap/support/notes/1638531","1638531")</f>
        <v>1638531</v>
      </c>
      <c r="E4224">
        <v>1</v>
      </c>
      <c r="F4224" t="s">
        <v>5695</v>
      </c>
    </row>
    <row r="4225" spans="1:6" x14ac:dyDescent="0.25">
      <c r="A4225" t="s">
        <v>1522</v>
      </c>
      <c r="B4225" t="s">
        <v>1397</v>
      </c>
      <c r="C4225" t="s">
        <v>1398</v>
      </c>
      <c r="D4225" t="str">
        <f>HYPERLINK("http://service.sap.com/sap/support/notes/1639222","1639222")</f>
        <v>1639222</v>
      </c>
      <c r="E4225">
        <v>1</v>
      </c>
      <c r="F4225" t="s">
        <v>5686</v>
      </c>
    </row>
    <row r="4226" spans="1:6" x14ac:dyDescent="0.25">
      <c r="A4226" t="s">
        <v>1522</v>
      </c>
      <c r="B4226" t="s">
        <v>1397</v>
      </c>
      <c r="C4226" t="s">
        <v>1398</v>
      </c>
      <c r="D4226" t="str">
        <f>HYPERLINK("http://service.sap.com/sap/support/notes/1639262","1639262")</f>
        <v>1639262</v>
      </c>
      <c r="E4226">
        <v>1</v>
      </c>
      <c r="F4226" t="s">
        <v>5696</v>
      </c>
    </row>
    <row r="4227" spans="1:6" x14ac:dyDescent="0.25">
      <c r="A4227" t="s">
        <v>1522</v>
      </c>
      <c r="B4227" t="s">
        <v>1397</v>
      </c>
      <c r="C4227" t="s">
        <v>1398</v>
      </c>
      <c r="D4227" t="str">
        <f>HYPERLINK("http://service.sap.com/sap/support/notes/1640464","1640464")</f>
        <v>1640464</v>
      </c>
      <c r="E4227">
        <v>1</v>
      </c>
      <c r="F4227" t="s">
        <v>5697</v>
      </c>
    </row>
    <row r="4228" spans="1:6" x14ac:dyDescent="0.25">
      <c r="A4228" t="s">
        <v>1522</v>
      </c>
      <c r="B4228" t="s">
        <v>1397</v>
      </c>
      <c r="C4228" t="s">
        <v>1398</v>
      </c>
      <c r="D4228" t="str">
        <f>HYPERLINK("http://service.sap.com/sap/support/notes/1640583","1640583")</f>
        <v>1640583</v>
      </c>
      <c r="E4228">
        <v>1</v>
      </c>
      <c r="F4228" t="s">
        <v>5698</v>
      </c>
    </row>
    <row r="4229" spans="1:6" x14ac:dyDescent="0.25">
      <c r="A4229" t="s">
        <v>1522</v>
      </c>
      <c r="B4229" t="s">
        <v>1397</v>
      </c>
      <c r="C4229" t="s">
        <v>1398</v>
      </c>
      <c r="D4229" t="str">
        <f>HYPERLINK("http://service.sap.com/sap/support/notes/1640632","1640632")</f>
        <v>1640632</v>
      </c>
      <c r="E4229">
        <v>1</v>
      </c>
      <c r="F4229" t="s">
        <v>5699</v>
      </c>
    </row>
    <row r="4230" spans="1:6" x14ac:dyDescent="0.25">
      <c r="A4230" t="s">
        <v>1522</v>
      </c>
      <c r="B4230" t="s">
        <v>1397</v>
      </c>
      <c r="C4230" t="s">
        <v>1398</v>
      </c>
      <c r="D4230" t="str">
        <f>HYPERLINK("http://service.sap.com/sap/support/notes/1641101","1641101")</f>
        <v>1641101</v>
      </c>
      <c r="E4230">
        <v>1</v>
      </c>
      <c r="F4230" t="s">
        <v>5700</v>
      </c>
    </row>
    <row r="4231" spans="1:6" x14ac:dyDescent="0.25">
      <c r="A4231" t="s">
        <v>1522</v>
      </c>
      <c r="B4231" t="s">
        <v>1397</v>
      </c>
      <c r="C4231" t="s">
        <v>1398</v>
      </c>
      <c r="D4231" t="str">
        <f>HYPERLINK("http://service.sap.com/sap/support/notes/1641823","1641823")</f>
        <v>1641823</v>
      </c>
      <c r="E4231">
        <v>4</v>
      </c>
      <c r="F4231" t="s">
        <v>5701</v>
      </c>
    </row>
    <row r="4232" spans="1:6" x14ac:dyDescent="0.25">
      <c r="A4232" t="s">
        <v>1522</v>
      </c>
      <c r="B4232" t="s">
        <v>1397</v>
      </c>
      <c r="C4232" t="s">
        <v>1398</v>
      </c>
      <c r="D4232" t="str">
        <f>HYPERLINK("http://service.sap.com/sap/support/notes/1642423","1642423")</f>
        <v>1642423</v>
      </c>
      <c r="E4232">
        <v>1</v>
      </c>
      <c r="F4232" t="s">
        <v>5702</v>
      </c>
    </row>
    <row r="4233" spans="1:6" x14ac:dyDescent="0.25">
      <c r="A4233" t="s">
        <v>1522</v>
      </c>
      <c r="B4233" t="s">
        <v>1397</v>
      </c>
      <c r="C4233" t="s">
        <v>1398</v>
      </c>
      <c r="D4233" t="str">
        <f>HYPERLINK("http://service.sap.com/sap/support/notes/1645822","1645822")</f>
        <v>1645822</v>
      </c>
      <c r="E4233">
        <v>1</v>
      </c>
      <c r="F4233" t="s">
        <v>5703</v>
      </c>
    </row>
    <row r="4234" spans="1:6" x14ac:dyDescent="0.25">
      <c r="A4234" t="s">
        <v>1522</v>
      </c>
      <c r="B4234" t="s">
        <v>1397</v>
      </c>
      <c r="C4234" t="s">
        <v>1398</v>
      </c>
      <c r="D4234" t="str">
        <f>HYPERLINK("http://service.sap.com/sap/support/notes/1649024","1649024")</f>
        <v>1649024</v>
      </c>
      <c r="E4234">
        <v>1</v>
      </c>
      <c r="F4234" t="s">
        <v>5704</v>
      </c>
    </row>
    <row r="4235" spans="1:6" x14ac:dyDescent="0.25">
      <c r="A4235" t="s">
        <v>1522</v>
      </c>
      <c r="B4235" t="s">
        <v>1397</v>
      </c>
      <c r="C4235" t="s">
        <v>1398</v>
      </c>
      <c r="D4235" t="str">
        <f>HYPERLINK("http://service.sap.com/sap/support/notes/1649321","1649321")</f>
        <v>1649321</v>
      </c>
      <c r="E4235">
        <v>1</v>
      </c>
      <c r="F4235" t="s">
        <v>5705</v>
      </c>
    </row>
    <row r="4236" spans="1:6" x14ac:dyDescent="0.25">
      <c r="A4236" t="s">
        <v>1522</v>
      </c>
      <c r="B4236" t="s">
        <v>1397</v>
      </c>
      <c r="C4236" t="s">
        <v>1398</v>
      </c>
      <c r="D4236" t="str">
        <f>HYPERLINK("http://service.sap.com/sap/support/notes/1650851","1650851")</f>
        <v>1650851</v>
      </c>
      <c r="E4236">
        <v>1</v>
      </c>
      <c r="F4236" t="s">
        <v>5706</v>
      </c>
    </row>
    <row r="4237" spans="1:6" x14ac:dyDescent="0.25">
      <c r="A4237" t="s">
        <v>1522</v>
      </c>
      <c r="B4237" t="s">
        <v>1397</v>
      </c>
      <c r="C4237" t="s">
        <v>1398</v>
      </c>
      <c r="D4237" t="str">
        <f>HYPERLINK("http://service.sap.com/sap/support/notes/1652103","1652103")</f>
        <v>1652103</v>
      </c>
      <c r="E4237">
        <v>3</v>
      </c>
      <c r="F4237" t="s">
        <v>5707</v>
      </c>
    </row>
    <row r="4238" spans="1:6" x14ac:dyDescent="0.25">
      <c r="A4238" t="s">
        <v>1522</v>
      </c>
      <c r="B4238" t="s">
        <v>1397</v>
      </c>
      <c r="C4238" t="s">
        <v>1398</v>
      </c>
      <c r="D4238" t="str">
        <f>HYPERLINK("http://service.sap.com/sap/support/notes/1654179","1654179")</f>
        <v>1654179</v>
      </c>
      <c r="E4238">
        <v>1</v>
      </c>
      <c r="F4238" t="s">
        <v>5708</v>
      </c>
    </row>
    <row r="4239" spans="1:6" x14ac:dyDescent="0.25">
      <c r="A4239" t="s">
        <v>1522</v>
      </c>
      <c r="B4239" t="s">
        <v>1397</v>
      </c>
      <c r="C4239" t="s">
        <v>1398</v>
      </c>
      <c r="D4239" t="str">
        <f>HYPERLINK("http://service.sap.com/sap/support/notes/1655561","1655561")</f>
        <v>1655561</v>
      </c>
      <c r="E4239">
        <v>1</v>
      </c>
      <c r="F4239" t="s">
        <v>5709</v>
      </c>
    </row>
    <row r="4240" spans="1:6" x14ac:dyDescent="0.25">
      <c r="A4240" t="s">
        <v>1522</v>
      </c>
      <c r="B4240" t="s">
        <v>1397</v>
      </c>
      <c r="C4240" t="s">
        <v>1398</v>
      </c>
      <c r="D4240" t="str">
        <f>HYPERLINK("http://service.sap.com/sap/support/notes/1663591","1663591")</f>
        <v>1663591</v>
      </c>
      <c r="E4240">
        <v>1</v>
      </c>
      <c r="F4240" t="s">
        <v>5686</v>
      </c>
    </row>
    <row r="4241" spans="1:6" x14ac:dyDescent="0.25">
      <c r="A4241" t="s">
        <v>1522</v>
      </c>
      <c r="B4241" t="s">
        <v>1397</v>
      </c>
      <c r="C4241" t="s">
        <v>1398</v>
      </c>
      <c r="D4241" t="str">
        <f>HYPERLINK("http://service.sap.com/sap/support/notes/1666477","1666477")</f>
        <v>1666477</v>
      </c>
      <c r="E4241">
        <v>1</v>
      </c>
      <c r="F4241" t="s">
        <v>5710</v>
      </c>
    </row>
    <row r="4242" spans="1:6" x14ac:dyDescent="0.25">
      <c r="A4242" t="s">
        <v>1522</v>
      </c>
      <c r="B4242" t="s">
        <v>1397</v>
      </c>
      <c r="C4242" t="s">
        <v>1398</v>
      </c>
      <c r="D4242" t="str">
        <f>HYPERLINK("http://service.sap.com/sap/support/notes/1666781","1666781")</f>
        <v>1666781</v>
      </c>
      <c r="E4242">
        <v>1</v>
      </c>
      <c r="F4242" t="s">
        <v>5711</v>
      </c>
    </row>
    <row r="4243" spans="1:6" x14ac:dyDescent="0.25">
      <c r="A4243" t="s">
        <v>1522</v>
      </c>
      <c r="B4243" t="s">
        <v>1407</v>
      </c>
      <c r="C4243" t="s">
        <v>1408</v>
      </c>
      <c r="D4243" t="str">
        <f>HYPERLINK("http://service.sap.com/sap/support/notes/1444166","1444166")</f>
        <v>1444166</v>
      </c>
      <c r="E4243">
        <v>2</v>
      </c>
      <c r="F4243" t="s">
        <v>5712</v>
      </c>
    </row>
    <row r="4244" spans="1:6" x14ac:dyDescent="0.25">
      <c r="A4244" t="s">
        <v>1522</v>
      </c>
      <c r="B4244" t="s">
        <v>1407</v>
      </c>
      <c r="C4244" t="s">
        <v>1408</v>
      </c>
      <c r="D4244" t="str">
        <f>HYPERLINK("http://service.sap.com/sap/support/notes/1456150","1456150")</f>
        <v>1456150</v>
      </c>
      <c r="E4244">
        <v>2</v>
      </c>
      <c r="F4244" t="s">
        <v>5713</v>
      </c>
    </row>
    <row r="4245" spans="1:6" x14ac:dyDescent="0.25">
      <c r="A4245" t="s">
        <v>1522</v>
      </c>
      <c r="B4245" t="s">
        <v>1407</v>
      </c>
      <c r="C4245" t="s">
        <v>1408</v>
      </c>
      <c r="D4245" t="str">
        <f>HYPERLINK("http://service.sap.com/sap/support/notes/1456207","1456207")</f>
        <v>1456207</v>
      </c>
      <c r="E4245">
        <v>2</v>
      </c>
      <c r="F4245" t="s">
        <v>5714</v>
      </c>
    </row>
    <row r="4246" spans="1:6" x14ac:dyDescent="0.25">
      <c r="A4246" t="s">
        <v>1522</v>
      </c>
      <c r="B4246" t="s">
        <v>1407</v>
      </c>
      <c r="C4246" t="s">
        <v>1408</v>
      </c>
      <c r="D4246" t="str">
        <f>HYPERLINK("http://service.sap.com/sap/support/notes/1464160","1464160")</f>
        <v>1464160</v>
      </c>
      <c r="E4246">
        <v>2</v>
      </c>
      <c r="F4246" t="s">
        <v>5715</v>
      </c>
    </row>
    <row r="4247" spans="1:6" x14ac:dyDescent="0.25">
      <c r="A4247" t="s">
        <v>1522</v>
      </c>
      <c r="B4247" t="s">
        <v>1407</v>
      </c>
      <c r="C4247" t="s">
        <v>1408</v>
      </c>
      <c r="D4247" t="str">
        <f>HYPERLINK("http://service.sap.com/sap/support/notes/1475262","1475262")</f>
        <v>1475262</v>
      </c>
      <c r="E4247">
        <v>1</v>
      </c>
      <c r="F4247" t="s">
        <v>1409</v>
      </c>
    </row>
    <row r="4248" spans="1:6" x14ac:dyDescent="0.25">
      <c r="A4248" t="s">
        <v>1522</v>
      </c>
      <c r="B4248" t="s">
        <v>1407</v>
      </c>
      <c r="C4248" t="s">
        <v>1408</v>
      </c>
      <c r="D4248" t="str">
        <f>HYPERLINK("http://service.sap.com/sap/support/notes/1480864","1480864")</f>
        <v>1480864</v>
      </c>
      <c r="E4248">
        <v>6</v>
      </c>
      <c r="F4248" t="s">
        <v>5716</v>
      </c>
    </row>
    <row r="4249" spans="1:6" x14ac:dyDescent="0.25">
      <c r="A4249" t="s">
        <v>1522</v>
      </c>
      <c r="B4249" t="s">
        <v>1407</v>
      </c>
      <c r="C4249" t="s">
        <v>1408</v>
      </c>
      <c r="D4249" t="str">
        <f>HYPERLINK("http://service.sap.com/sap/support/notes/1481191","1481191")</f>
        <v>1481191</v>
      </c>
      <c r="E4249">
        <v>2</v>
      </c>
      <c r="F4249" t="s">
        <v>5717</v>
      </c>
    </row>
    <row r="4250" spans="1:6" x14ac:dyDescent="0.25">
      <c r="A4250" t="s">
        <v>1522</v>
      </c>
      <c r="B4250" t="s">
        <v>1407</v>
      </c>
      <c r="C4250" t="s">
        <v>1408</v>
      </c>
      <c r="D4250" t="str">
        <f>HYPERLINK("http://service.sap.com/sap/support/notes/1492633","1492633")</f>
        <v>1492633</v>
      </c>
      <c r="E4250">
        <v>3</v>
      </c>
      <c r="F4250" t="s">
        <v>5718</v>
      </c>
    </row>
    <row r="4251" spans="1:6" x14ac:dyDescent="0.25">
      <c r="A4251" t="s">
        <v>1522</v>
      </c>
      <c r="B4251" t="s">
        <v>1407</v>
      </c>
      <c r="C4251" t="s">
        <v>1408</v>
      </c>
      <c r="D4251" t="str">
        <f>HYPERLINK("http://service.sap.com/sap/support/notes/1505548","1505548")</f>
        <v>1505548</v>
      </c>
      <c r="E4251">
        <v>3</v>
      </c>
      <c r="F4251" t="s">
        <v>5719</v>
      </c>
    </row>
    <row r="4252" spans="1:6" x14ac:dyDescent="0.25">
      <c r="A4252" t="s">
        <v>1522</v>
      </c>
      <c r="B4252" t="s">
        <v>1407</v>
      </c>
      <c r="C4252" t="s">
        <v>1408</v>
      </c>
      <c r="D4252" t="str">
        <f>HYPERLINK("http://service.sap.com/sap/support/notes/1508489","1508489")</f>
        <v>1508489</v>
      </c>
      <c r="E4252">
        <v>2</v>
      </c>
      <c r="F4252" t="s">
        <v>5720</v>
      </c>
    </row>
    <row r="4253" spans="1:6" x14ac:dyDescent="0.25">
      <c r="A4253" t="s">
        <v>1522</v>
      </c>
      <c r="B4253" t="s">
        <v>1407</v>
      </c>
      <c r="C4253" t="s">
        <v>1408</v>
      </c>
      <c r="D4253" t="str">
        <f>HYPERLINK("http://service.sap.com/sap/support/notes/1508995","1508995")</f>
        <v>1508995</v>
      </c>
      <c r="E4253">
        <v>2</v>
      </c>
      <c r="F4253" t="s">
        <v>5721</v>
      </c>
    </row>
    <row r="4254" spans="1:6" x14ac:dyDescent="0.25">
      <c r="A4254" t="s">
        <v>1522</v>
      </c>
      <c r="B4254" t="s">
        <v>1407</v>
      </c>
      <c r="C4254" t="s">
        <v>1408</v>
      </c>
      <c r="D4254" t="str">
        <f>HYPERLINK("http://service.sap.com/sap/support/notes/1511231","1511231")</f>
        <v>1511231</v>
      </c>
      <c r="E4254">
        <v>2</v>
      </c>
      <c r="F4254" t="s">
        <v>5722</v>
      </c>
    </row>
    <row r="4255" spans="1:6" x14ac:dyDescent="0.25">
      <c r="A4255" t="s">
        <v>1522</v>
      </c>
      <c r="B4255" t="s">
        <v>1407</v>
      </c>
      <c r="C4255" t="s">
        <v>1408</v>
      </c>
      <c r="D4255" t="str">
        <f>HYPERLINK("http://service.sap.com/sap/support/notes/1538872","1538872")</f>
        <v>1538872</v>
      </c>
      <c r="E4255">
        <v>1</v>
      </c>
      <c r="F4255" t="s">
        <v>5723</v>
      </c>
    </row>
    <row r="4256" spans="1:6" x14ac:dyDescent="0.25">
      <c r="A4256" t="s">
        <v>1522</v>
      </c>
      <c r="B4256" t="s">
        <v>1407</v>
      </c>
      <c r="C4256" t="s">
        <v>1408</v>
      </c>
      <c r="D4256" t="str">
        <f>HYPERLINK("http://service.sap.com/sap/support/notes/1540490","1540490")</f>
        <v>1540490</v>
      </c>
      <c r="E4256">
        <v>2</v>
      </c>
      <c r="F4256" t="s">
        <v>5724</v>
      </c>
    </row>
    <row r="4257" spans="1:6" x14ac:dyDescent="0.25">
      <c r="A4257" t="s">
        <v>1522</v>
      </c>
      <c r="B4257" t="s">
        <v>1407</v>
      </c>
      <c r="C4257" t="s">
        <v>1408</v>
      </c>
      <c r="D4257" t="str">
        <f>HYPERLINK("http://service.sap.com/sap/support/notes/1541810","1541810")</f>
        <v>1541810</v>
      </c>
      <c r="E4257">
        <v>2</v>
      </c>
      <c r="F4257" t="s">
        <v>5725</v>
      </c>
    </row>
    <row r="4258" spans="1:6" x14ac:dyDescent="0.25">
      <c r="A4258" t="s">
        <v>1522</v>
      </c>
      <c r="B4258" t="s">
        <v>1407</v>
      </c>
      <c r="C4258" t="s">
        <v>1408</v>
      </c>
      <c r="D4258" t="str">
        <f>HYPERLINK("http://service.sap.com/sap/support/notes/1548880","1548880")</f>
        <v>1548880</v>
      </c>
      <c r="E4258">
        <v>5</v>
      </c>
      <c r="F4258" t="s">
        <v>5726</v>
      </c>
    </row>
    <row r="4259" spans="1:6" x14ac:dyDescent="0.25">
      <c r="A4259" t="s">
        <v>1522</v>
      </c>
      <c r="B4259" t="s">
        <v>1407</v>
      </c>
      <c r="C4259" t="s">
        <v>1408</v>
      </c>
      <c r="D4259" t="str">
        <f>HYPERLINK("http://service.sap.com/sap/support/notes/1549288","1549288")</f>
        <v>1549288</v>
      </c>
      <c r="E4259">
        <v>3</v>
      </c>
      <c r="F4259" t="s">
        <v>5727</v>
      </c>
    </row>
    <row r="4260" spans="1:6" x14ac:dyDescent="0.25">
      <c r="A4260" t="s">
        <v>1522</v>
      </c>
      <c r="B4260" t="s">
        <v>1407</v>
      </c>
      <c r="C4260" t="s">
        <v>1408</v>
      </c>
      <c r="D4260" t="str">
        <f>HYPERLINK("http://service.sap.com/sap/support/notes/1551625","1551625")</f>
        <v>1551625</v>
      </c>
      <c r="E4260">
        <v>2</v>
      </c>
      <c r="F4260" t="s">
        <v>5728</v>
      </c>
    </row>
    <row r="4261" spans="1:6" x14ac:dyDescent="0.25">
      <c r="A4261" t="s">
        <v>1522</v>
      </c>
      <c r="B4261" t="s">
        <v>1407</v>
      </c>
      <c r="C4261" t="s">
        <v>1408</v>
      </c>
      <c r="D4261" t="str">
        <f>HYPERLINK("http://service.sap.com/sap/support/notes/1555726","1555726")</f>
        <v>1555726</v>
      </c>
      <c r="E4261">
        <v>2</v>
      </c>
      <c r="F4261" t="s">
        <v>5729</v>
      </c>
    </row>
    <row r="4262" spans="1:6" x14ac:dyDescent="0.25">
      <c r="A4262" t="s">
        <v>1522</v>
      </c>
      <c r="B4262" t="s">
        <v>1407</v>
      </c>
      <c r="C4262" t="s">
        <v>1408</v>
      </c>
      <c r="D4262" t="str">
        <f>HYPERLINK("http://service.sap.com/sap/support/notes/1605650","1605650")</f>
        <v>1605650</v>
      </c>
      <c r="E4262">
        <v>3</v>
      </c>
      <c r="F4262" t="s">
        <v>5730</v>
      </c>
    </row>
    <row r="4263" spans="1:6" x14ac:dyDescent="0.25">
      <c r="A4263" t="s">
        <v>1522</v>
      </c>
      <c r="B4263" t="s">
        <v>1407</v>
      </c>
      <c r="C4263" t="s">
        <v>1408</v>
      </c>
      <c r="D4263" t="str">
        <f>HYPERLINK("http://service.sap.com/sap/support/notes/1608917","1608917")</f>
        <v>1608917</v>
      </c>
      <c r="E4263">
        <v>3</v>
      </c>
      <c r="F4263" t="s">
        <v>5731</v>
      </c>
    </row>
    <row r="4264" spans="1:6" x14ac:dyDescent="0.25">
      <c r="A4264" t="s">
        <v>1522</v>
      </c>
      <c r="B4264" t="s">
        <v>1407</v>
      </c>
      <c r="C4264" t="s">
        <v>1408</v>
      </c>
      <c r="D4264" t="str">
        <f>HYPERLINK("http://service.sap.com/sap/support/notes/1614976","1614976")</f>
        <v>1614976</v>
      </c>
      <c r="E4264">
        <v>2</v>
      </c>
      <c r="F4264" t="s">
        <v>5732</v>
      </c>
    </row>
    <row r="4265" spans="1:6" x14ac:dyDescent="0.25">
      <c r="A4265" t="s">
        <v>1522</v>
      </c>
      <c r="B4265" t="s">
        <v>1407</v>
      </c>
      <c r="C4265" t="s">
        <v>1408</v>
      </c>
      <c r="D4265" t="str">
        <f>HYPERLINK("http://service.sap.com/sap/support/notes/1616887","1616887")</f>
        <v>1616887</v>
      </c>
      <c r="E4265">
        <v>2</v>
      </c>
      <c r="F4265" t="s">
        <v>5733</v>
      </c>
    </row>
    <row r="4266" spans="1:6" x14ac:dyDescent="0.25">
      <c r="A4266" t="s">
        <v>1522</v>
      </c>
      <c r="B4266" t="s">
        <v>1407</v>
      </c>
      <c r="C4266" t="s">
        <v>1408</v>
      </c>
      <c r="D4266" t="str">
        <f>HYPERLINK("http://service.sap.com/sap/support/notes/1618302","1618302")</f>
        <v>1618302</v>
      </c>
      <c r="E4266">
        <v>2</v>
      </c>
      <c r="F4266" t="s">
        <v>5734</v>
      </c>
    </row>
    <row r="4267" spans="1:6" x14ac:dyDescent="0.25">
      <c r="A4267" t="s">
        <v>1522</v>
      </c>
      <c r="B4267" t="s">
        <v>1407</v>
      </c>
      <c r="C4267" t="s">
        <v>1408</v>
      </c>
      <c r="D4267" t="str">
        <f>HYPERLINK("http://service.sap.com/sap/support/notes/1618790","1618790")</f>
        <v>1618790</v>
      </c>
      <c r="E4267">
        <v>3</v>
      </c>
      <c r="F4267" t="s">
        <v>5735</v>
      </c>
    </row>
    <row r="4268" spans="1:6" x14ac:dyDescent="0.25">
      <c r="A4268" t="s">
        <v>1522</v>
      </c>
      <c r="B4268" t="s">
        <v>1407</v>
      </c>
      <c r="C4268" t="s">
        <v>1408</v>
      </c>
      <c r="D4268" t="str">
        <f>HYPERLINK("http://service.sap.com/sap/support/notes/1621491","1621491")</f>
        <v>1621491</v>
      </c>
      <c r="E4268">
        <v>6</v>
      </c>
      <c r="F4268" t="s">
        <v>5736</v>
      </c>
    </row>
    <row r="4269" spans="1:6" x14ac:dyDescent="0.25">
      <c r="A4269" t="s">
        <v>1522</v>
      </c>
      <c r="B4269" t="s">
        <v>1407</v>
      </c>
      <c r="C4269" t="s">
        <v>1408</v>
      </c>
      <c r="D4269" t="str">
        <f>HYPERLINK("http://service.sap.com/sap/support/notes/1623434","1623434")</f>
        <v>1623434</v>
      </c>
      <c r="E4269">
        <v>3</v>
      </c>
      <c r="F4269" t="s">
        <v>5737</v>
      </c>
    </row>
    <row r="4270" spans="1:6" x14ac:dyDescent="0.25">
      <c r="A4270" t="s">
        <v>1522</v>
      </c>
      <c r="B4270" t="s">
        <v>1407</v>
      </c>
      <c r="C4270" t="s">
        <v>1408</v>
      </c>
      <c r="D4270" t="str">
        <f>HYPERLINK("http://service.sap.com/sap/support/notes/1625817","1625817")</f>
        <v>1625817</v>
      </c>
      <c r="E4270">
        <v>4</v>
      </c>
      <c r="F4270" t="s">
        <v>5738</v>
      </c>
    </row>
    <row r="4271" spans="1:6" x14ac:dyDescent="0.25">
      <c r="A4271" t="s">
        <v>1522</v>
      </c>
      <c r="B4271" t="s">
        <v>1407</v>
      </c>
      <c r="C4271" t="s">
        <v>1408</v>
      </c>
      <c r="D4271" t="str">
        <f>HYPERLINK("http://service.sap.com/sap/support/notes/1628320","1628320")</f>
        <v>1628320</v>
      </c>
      <c r="E4271">
        <v>2</v>
      </c>
      <c r="F4271" t="s">
        <v>5739</v>
      </c>
    </row>
    <row r="4272" spans="1:6" x14ac:dyDescent="0.25">
      <c r="A4272" t="s">
        <v>1522</v>
      </c>
      <c r="B4272" t="s">
        <v>1407</v>
      </c>
      <c r="C4272" t="s">
        <v>1408</v>
      </c>
      <c r="D4272" t="str">
        <f>HYPERLINK("http://service.sap.com/sap/support/notes/1629597","1629597")</f>
        <v>1629597</v>
      </c>
      <c r="E4272">
        <v>3</v>
      </c>
      <c r="F4272" t="s">
        <v>5740</v>
      </c>
    </row>
    <row r="4273" spans="1:6" x14ac:dyDescent="0.25">
      <c r="A4273" t="s">
        <v>1522</v>
      </c>
      <c r="B4273" t="s">
        <v>1407</v>
      </c>
      <c r="C4273" t="s">
        <v>1408</v>
      </c>
      <c r="D4273" t="str">
        <f>HYPERLINK("http://service.sap.com/sap/support/notes/1630697","1630697")</f>
        <v>1630697</v>
      </c>
      <c r="E4273">
        <v>2</v>
      </c>
      <c r="F4273" t="s">
        <v>5741</v>
      </c>
    </row>
    <row r="4274" spans="1:6" x14ac:dyDescent="0.25">
      <c r="A4274" t="s">
        <v>1522</v>
      </c>
      <c r="B4274" t="s">
        <v>1407</v>
      </c>
      <c r="C4274" t="s">
        <v>1408</v>
      </c>
      <c r="D4274" t="str">
        <f>HYPERLINK("http://service.sap.com/sap/support/notes/1635325","1635325")</f>
        <v>1635325</v>
      </c>
      <c r="E4274">
        <v>1</v>
      </c>
      <c r="F4274" t="s">
        <v>5742</v>
      </c>
    </row>
    <row r="4275" spans="1:6" x14ac:dyDescent="0.25">
      <c r="A4275" t="s">
        <v>1522</v>
      </c>
      <c r="B4275" t="s">
        <v>1407</v>
      </c>
      <c r="C4275" t="s">
        <v>1408</v>
      </c>
      <c r="D4275" t="str">
        <f>HYPERLINK("http://service.sap.com/sap/support/notes/1636464","1636464")</f>
        <v>1636464</v>
      </c>
      <c r="E4275">
        <v>1</v>
      </c>
      <c r="F4275" t="s">
        <v>5743</v>
      </c>
    </row>
    <row r="4276" spans="1:6" x14ac:dyDescent="0.25">
      <c r="A4276" t="s">
        <v>1522</v>
      </c>
      <c r="B4276" t="s">
        <v>1407</v>
      </c>
      <c r="C4276" t="s">
        <v>1408</v>
      </c>
      <c r="D4276" t="str">
        <f>HYPERLINK("http://service.sap.com/sap/support/notes/1638875","1638875")</f>
        <v>1638875</v>
      </c>
      <c r="E4276">
        <v>2</v>
      </c>
      <c r="F4276" t="s">
        <v>5744</v>
      </c>
    </row>
    <row r="4277" spans="1:6" x14ac:dyDescent="0.25">
      <c r="A4277" t="s">
        <v>1522</v>
      </c>
      <c r="B4277" t="s">
        <v>1407</v>
      </c>
      <c r="C4277" t="s">
        <v>1408</v>
      </c>
      <c r="D4277" t="str">
        <f>HYPERLINK("http://service.sap.com/sap/support/notes/1639377","1639377")</f>
        <v>1639377</v>
      </c>
      <c r="E4277">
        <v>1</v>
      </c>
      <c r="F4277" t="s">
        <v>5745</v>
      </c>
    </row>
    <row r="4278" spans="1:6" x14ac:dyDescent="0.25">
      <c r="A4278" t="s">
        <v>1522</v>
      </c>
      <c r="B4278" t="s">
        <v>1407</v>
      </c>
      <c r="C4278" t="s">
        <v>1408</v>
      </c>
      <c r="D4278" t="str">
        <f>HYPERLINK("http://service.sap.com/sap/support/notes/1642832","1642832")</f>
        <v>1642832</v>
      </c>
      <c r="E4278">
        <v>8</v>
      </c>
      <c r="F4278" t="s">
        <v>5746</v>
      </c>
    </row>
    <row r="4279" spans="1:6" x14ac:dyDescent="0.25">
      <c r="A4279" t="s">
        <v>1522</v>
      </c>
      <c r="B4279" t="s">
        <v>1407</v>
      </c>
      <c r="C4279" t="s">
        <v>1408</v>
      </c>
      <c r="D4279" t="str">
        <f>HYPERLINK("http://service.sap.com/sap/support/notes/1644498","1644498")</f>
        <v>1644498</v>
      </c>
      <c r="E4279">
        <v>2</v>
      </c>
      <c r="F4279" t="s">
        <v>5747</v>
      </c>
    </row>
    <row r="4280" spans="1:6" x14ac:dyDescent="0.25">
      <c r="A4280" t="s">
        <v>1522</v>
      </c>
      <c r="B4280" t="s">
        <v>1407</v>
      </c>
      <c r="C4280" t="s">
        <v>1408</v>
      </c>
      <c r="D4280" t="str">
        <f>HYPERLINK("http://service.sap.com/sap/support/notes/1644500","1644500")</f>
        <v>1644500</v>
      </c>
      <c r="E4280">
        <v>1</v>
      </c>
      <c r="F4280" t="s">
        <v>5748</v>
      </c>
    </row>
    <row r="4281" spans="1:6" x14ac:dyDescent="0.25">
      <c r="A4281" t="s">
        <v>1522</v>
      </c>
      <c r="B4281" t="s">
        <v>1407</v>
      </c>
      <c r="C4281" t="s">
        <v>1408</v>
      </c>
      <c r="D4281" t="str">
        <f>HYPERLINK("http://service.sap.com/sap/support/notes/1645282","1645282")</f>
        <v>1645282</v>
      </c>
      <c r="E4281">
        <v>2</v>
      </c>
      <c r="F4281" t="s">
        <v>5749</v>
      </c>
    </row>
    <row r="4282" spans="1:6" x14ac:dyDescent="0.25">
      <c r="A4282" t="s">
        <v>1522</v>
      </c>
      <c r="B4282" t="s">
        <v>1407</v>
      </c>
      <c r="C4282" t="s">
        <v>1408</v>
      </c>
      <c r="D4282" t="str">
        <f>HYPERLINK("http://service.sap.com/sap/support/notes/1646311","1646311")</f>
        <v>1646311</v>
      </c>
      <c r="E4282">
        <v>2</v>
      </c>
      <c r="F4282" t="s">
        <v>5750</v>
      </c>
    </row>
    <row r="4283" spans="1:6" x14ac:dyDescent="0.25">
      <c r="A4283" t="s">
        <v>1522</v>
      </c>
      <c r="B4283" t="s">
        <v>1407</v>
      </c>
      <c r="C4283" t="s">
        <v>1408</v>
      </c>
      <c r="D4283" t="str">
        <f>HYPERLINK("http://service.sap.com/sap/support/notes/1646440","1646440")</f>
        <v>1646440</v>
      </c>
      <c r="E4283">
        <v>3</v>
      </c>
      <c r="F4283" t="s">
        <v>5751</v>
      </c>
    </row>
    <row r="4284" spans="1:6" x14ac:dyDescent="0.25">
      <c r="A4284" t="s">
        <v>1522</v>
      </c>
      <c r="B4284" t="s">
        <v>1407</v>
      </c>
      <c r="C4284" t="s">
        <v>1408</v>
      </c>
      <c r="D4284" t="str">
        <f>HYPERLINK("http://service.sap.com/sap/support/notes/1647023","1647023")</f>
        <v>1647023</v>
      </c>
      <c r="E4284">
        <v>1</v>
      </c>
      <c r="F4284" t="s">
        <v>5752</v>
      </c>
    </row>
    <row r="4285" spans="1:6" x14ac:dyDescent="0.25">
      <c r="A4285" t="s">
        <v>1522</v>
      </c>
      <c r="B4285" t="s">
        <v>1407</v>
      </c>
      <c r="C4285" t="s">
        <v>1408</v>
      </c>
      <c r="D4285" t="str">
        <f>HYPERLINK("http://service.sap.com/sap/support/notes/1647024","1647024")</f>
        <v>1647024</v>
      </c>
      <c r="E4285">
        <v>1</v>
      </c>
      <c r="F4285" t="s">
        <v>5753</v>
      </c>
    </row>
    <row r="4286" spans="1:6" x14ac:dyDescent="0.25">
      <c r="A4286" t="s">
        <v>1522</v>
      </c>
      <c r="B4286" t="s">
        <v>1407</v>
      </c>
      <c r="C4286" t="s">
        <v>1408</v>
      </c>
      <c r="D4286" t="str">
        <f>HYPERLINK("http://service.sap.com/sap/support/notes/1649079","1649079")</f>
        <v>1649079</v>
      </c>
      <c r="E4286">
        <v>4</v>
      </c>
      <c r="F4286" t="s">
        <v>5754</v>
      </c>
    </row>
    <row r="4287" spans="1:6" x14ac:dyDescent="0.25">
      <c r="A4287" t="s">
        <v>1522</v>
      </c>
      <c r="B4287" t="s">
        <v>1407</v>
      </c>
      <c r="C4287" t="s">
        <v>1408</v>
      </c>
      <c r="D4287" t="str">
        <f>HYPERLINK("http://service.sap.com/sap/support/notes/1657408","1657408")</f>
        <v>1657408</v>
      </c>
      <c r="E4287">
        <v>2</v>
      </c>
      <c r="F4287" t="s">
        <v>5755</v>
      </c>
    </row>
    <row r="4288" spans="1:6" x14ac:dyDescent="0.25">
      <c r="A4288" t="s">
        <v>1522</v>
      </c>
      <c r="B4288" t="s">
        <v>1407</v>
      </c>
      <c r="C4288" t="s">
        <v>1408</v>
      </c>
      <c r="D4288" t="str">
        <f>HYPERLINK("http://service.sap.com/sap/support/notes/1658407","1658407")</f>
        <v>1658407</v>
      </c>
      <c r="E4288">
        <v>4</v>
      </c>
      <c r="F4288" t="s">
        <v>5756</v>
      </c>
    </row>
    <row r="4289" spans="1:6" x14ac:dyDescent="0.25">
      <c r="A4289" t="s">
        <v>1522</v>
      </c>
      <c r="B4289" t="s">
        <v>1407</v>
      </c>
      <c r="C4289" t="s">
        <v>1408</v>
      </c>
      <c r="D4289" t="str">
        <f>HYPERLINK("http://service.sap.com/sap/support/notes/1658581","1658581")</f>
        <v>1658581</v>
      </c>
      <c r="E4289">
        <v>2</v>
      </c>
      <c r="F4289" t="s">
        <v>5757</v>
      </c>
    </row>
    <row r="4290" spans="1:6" x14ac:dyDescent="0.25">
      <c r="A4290" t="s">
        <v>1522</v>
      </c>
      <c r="B4290" t="s">
        <v>1407</v>
      </c>
      <c r="C4290" t="s">
        <v>1408</v>
      </c>
      <c r="D4290" t="str">
        <f>HYPERLINK("http://service.sap.com/sap/support/notes/1659663","1659663")</f>
        <v>1659663</v>
      </c>
      <c r="E4290">
        <v>4</v>
      </c>
      <c r="F4290" t="s">
        <v>5758</v>
      </c>
    </row>
    <row r="4291" spans="1:6" x14ac:dyDescent="0.25">
      <c r="A4291" t="s">
        <v>1522</v>
      </c>
      <c r="B4291" t="s">
        <v>1407</v>
      </c>
      <c r="C4291" t="s">
        <v>1408</v>
      </c>
      <c r="D4291" t="str">
        <f>HYPERLINK("http://service.sap.com/sap/support/notes/1660493","1660493")</f>
        <v>1660493</v>
      </c>
      <c r="E4291">
        <v>2</v>
      </c>
      <c r="F4291" t="s">
        <v>5759</v>
      </c>
    </row>
    <row r="4292" spans="1:6" x14ac:dyDescent="0.25">
      <c r="A4292" t="s">
        <v>1522</v>
      </c>
      <c r="B4292" t="s">
        <v>1407</v>
      </c>
      <c r="C4292" t="s">
        <v>1408</v>
      </c>
      <c r="D4292" t="str">
        <f>HYPERLINK("http://service.sap.com/sap/support/notes/1661186","1661186")</f>
        <v>1661186</v>
      </c>
      <c r="E4292">
        <v>3</v>
      </c>
      <c r="F4292" t="s">
        <v>5760</v>
      </c>
    </row>
    <row r="4293" spans="1:6" x14ac:dyDescent="0.25">
      <c r="A4293" t="s">
        <v>1522</v>
      </c>
      <c r="B4293" t="s">
        <v>1407</v>
      </c>
      <c r="C4293" t="s">
        <v>1408</v>
      </c>
      <c r="D4293" t="str">
        <f>HYPERLINK("http://service.sap.com/sap/support/notes/1663309","1663309")</f>
        <v>1663309</v>
      </c>
      <c r="E4293">
        <v>1</v>
      </c>
      <c r="F4293" t="s">
        <v>5761</v>
      </c>
    </row>
    <row r="4294" spans="1:6" x14ac:dyDescent="0.25">
      <c r="A4294" t="s">
        <v>1522</v>
      </c>
      <c r="B4294" t="s">
        <v>1407</v>
      </c>
      <c r="C4294" t="s">
        <v>1408</v>
      </c>
      <c r="D4294" t="str">
        <f>HYPERLINK("http://service.sap.com/sap/support/notes/1663874","1663874")</f>
        <v>1663874</v>
      </c>
      <c r="E4294">
        <v>1</v>
      </c>
      <c r="F4294" t="s">
        <v>5762</v>
      </c>
    </row>
    <row r="4295" spans="1:6" x14ac:dyDescent="0.25">
      <c r="A4295" t="s">
        <v>1522</v>
      </c>
      <c r="B4295" t="s">
        <v>1407</v>
      </c>
      <c r="C4295" t="s">
        <v>1408</v>
      </c>
      <c r="D4295" t="str">
        <f>HYPERLINK("http://service.sap.com/sap/support/notes/1664453","1664453")</f>
        <v>1664453</v>
      </c>
      <c r="E4295">
        <v>7</v>
      </c>
      <c r="F4295" t="s">
        <v>5763</v>
      </c>
    </row>
    <row r="4296" spans="1:6" x14ac:dyDescent="0.25">
      <c r="A4296" t="s">
        <v>1522</v>
      </c>
      <c r="B4296" t="s">
        <v>1407</v>
      </c>
      <c r="C4296" t="s">
        <v>1408</v>
      </c>
      <c r="D4296" t="str">
        <f>HYPERLINK("http://service.sap.com/sap/support/notes/1665963","1665963")</f>
        <v>1665963</v>
      </c>
      <c r="E4296">
        <v>1</v>
      </c>
      <c r="F4296" t="s">
        <v>5764</v>
      </c>
    </row>
    <row r="4297" spans="1:6" x14ac:dyDescent="0.25">
      <c r="A4297" t="s">
        <v>1522</v>
      </c>
      <c r="B4297" t="s">
        <v>5765</v>
      </c>
      <c r="C4297" t="s">
        <v>3170</v>
      </c>
      <c r="D4297" t="str">
        <f>HYPERLINK("http://service.sap.com/sap/support/notes/1620140","1620140")</f>
        <v>1620140</v>
      </c>
      <c r="E4297">
        <v>4</v>
      </c>
      <c r="F4297" t="s">
        <v>5766</v>
      </c>
    </row>
    <row r="4298" spans="1:6" x14ac:dyDescent="0.25">
      <c r="A4298" t="s">
        <v>1522</v>
      </c>
      <c r="B4298" t="s">
        <v>5765</v>
      </c>
      <c r="C4298" t="s">
        <v>3170</v>
      </c>
      <c r="D4298" t="str">
        <f>HYPERLINK("http://service.sap.com/sap/support/notes/1645907","1645907")</f>
        <v>1645907</v>
      </c>
      <c r="E4298">
        <v>2</v>
      </c>
      <c r="F4298" t="s">
        <v>5767</v>
      </c>
    </row>
    <row r="4299" spans="1:6" x14ac:dyDescent="0.25">
      <c r="A4299" t="s">
        <v>1522</v>
      </c>
      <c r="B4299" t="s">
        <v>5765</v>
      </c>
      <c r="C4299" t="s">
        <v>3170</v>
      </c>
      <c r="D4299" t="str">
        <f>HYPERLINK("http://service.sap.com/sap/support/notes/1651021","1651021")</f>
        <v>1651021</v>
      </c>
      <c r="E4299">
        <v>3</v>
      </c>
      <c r="F4299" t="s">
        <v>5768</v>
      </c>
    </row>
    <row r="4300" spans="1:6" x14ac:dyDescent="0.25">
      <c r="A4300" t="s">
        <v>1522</v>
      </c>
      <c r="B4300" t="s">
        <v>1416</v>
      </c>
      <c r="C4300" t="s">
        <v>1417</v>
      </c>
      <c r="D4300" t="str">
        <f>HYPERLINK("http://service.sap.com/sap/support/notes/1623604","1623604")</f>
        <v>1623604</v>
      </c>
      <c r="E4300">
        <v>1</v>
      </c>
      <c r="F4300" t="s">
        <v>5769</v>
      </c>
    </row>
    <row r="4301" spans="1:6" x14ac:dyDescent="0.25">
      <c r="A4301" t="s">
        <v>1522</v>
      </c>
      <c r="B4301" t="s">
        <v>1416</v>
      </c>
      <c r="C4301" t="s">
        <v>1417</v>
      </c>
      <c r="D4301" t="str">
        <f>HYPERLINK("http://service.sap.com/sap/support/notes/1636513","1636513")</f>
        <v>1636513</v>
      </c>
      <c r="E4301">
        <v>1</v>
      </c>
      <c r="F4301" t="s">
        <v>5770</v>
      </c>
    </row>
    <row r="4302" spans="1:6" x14ac:dyDescent="0.25">
      <c r="A4302" t="s">
        <v>1522</v>
      </c>
      <c r="B4302" t="s">
        <v>1416</v>
      </c>
      <c r="C4302" t="s">
        <v>1417</v>
      </c>
      <c r="D4302" t="str">
        <f>HYPERLINK("http://service.sap.com/sap/support/notes/1643794","1643794")</f>
        <v>1643794</v>
      </c>
      <c r="E4302">
        <v>1</v>
      </c>
      <c r="F4302" t="s">
        <v>5771</v>
      </c>
    </row>
    <row r="4303" spans="1:6" x14ac:dyDescent="0.25">
      <c r="A4303" t="s">
        <v>1522</v>
      </c>
      <c r="B4303" t="s">
        <v>1416</v>
      </c>
      <c r="C4303" t="s">
        <v>1417</v>
      </c>
      <c r="D4303" t="str">
        <f>HYPERLINK("http://service.sap.com/sap/support/notes/1666238","1666238")</f>
        <v>1666238</v>
      </c>
      <c r="E4303">
        <v>1</v>
      </c>
      <c r="F4303" t="s">
        <v>5772</v>
      </c>
    </row>
    <row r="4304" spans="1:6" x14ac:dyDescent="0.25">
      <c r="A4304" t="s">
        <v>1522</v>
      </c>
      <c r="B4304" t="s">
        <v>1419</v>
      </c>
      <c r="C4304" t="s">
        <v>1420</v>
      </c>
      <c r="D4304" t="str">
        <f>HYPERLINK("http://service.sap.com/sap/support/notes/1628182","1628182")</f>
        <v>1628182</v>
      </c>
      <c r="E4304">
        <v>7</v>
      </c>
      <c r="F4304" t="s">
        <v>5773</v>
      </c>
    </row>
    <row r="4305" spans="1:6" x14ac:dyDescent="0.25">
      <c r="A4305" t="s">
        <v>1522</v>
      </c>
      <c r="B4305" t="s">
        <v>1419</v>
      </c>
      <c r="C4305" t="s">
        <v>1420</v>
      </c>
      <c r="D4305" t="str">
        <f>HYPERLINK("http://service.sap.com/sap/support/notes/1641060","1641060")</f>
        <v>1641060</v>
      </c>
      <c r="E4305">
        <v>1</v>
      </c>
      <c r="F4305" t="s">
        <v>5774</v>
      </c>
    </row>
    <row r="4306" spans="1:6" x14ac:dyDescent="0.25">
      <c r="A4306" t="s">
        <v>1522</v>
      </c>
      <c r="B4306" t="s">
        <v>1419</v>
      </c>
      <c r="C4306" t="s">
        <v>1420</v>
      </c>
      <c r="D4306" t="str">
        <f>HYPERLINK("http://service.sap.com/sap/support/notes/1641277","1641277")</f>
        <v>1641277</v>
      </c>
      <c r="E4306">
        <v>6</v>
      </c>
      <c r="F4306" t="s">
        <v>5775</v>
      </c>
    </row>
    <row r="4307" spans="1:6" x14ac:dyDescent="0.25">
      <c r="A4307" t="s">
        <v>1522</v>
      </c>
      <c r="B4307" t="s">
        <v>1419</v>
      </c>
      <c r="C4307" t="s">
        <v>1420</v>
      </c>
      <c r="D4307" t="str">
        <f>HYPERLINK("http://service.sap.com/sap/support/notes/1644375","1644375")</f>
        <v>1644375</v>
      </c>
      <c r="E4307">
        <v>2</v>
      </c>
      <c r="F4307" t="s">
        <v>5776</v>
      </c>
    </row>
    <row r="4308" spans="1:6" x14ac:dyDescent="0.25">
      <c r="A4308" t="s">
        <v>1522</v>
      </c>
      <c r="B4308" t="s">
        <v>1419</v>
      </c>
      <c r="C4308" t="s">
        <v>1420</v>
      </c>
      <c r="D4308" t="str">
        <f>HYPERLINK("http://service.sap.com/sap/support/notes/1661149","1661149")</f>
        <v>1661149</v>
      </c>
      <c r="E4308">
        <v>2</v>
      </c>
      <c r="F4308" t="s">
        <v>5777</v>
      </c>
    </row>
    <row r="4309" spans="1:6" x14ac:dyDescent="0.25">
      <c r="A4309" t="s">
        <v>1522</v>
      </c>
      <c r="B4309" t="s">
        <v>1419</v>
      </c>
      <c r="C4309" t="s">
        <v>1420</v>
      </c>
      <c r="D4309" t="str">
        <f>HYPERLINK("http://service.sap.com/sap/support/notes/1662925","1662925")</f>
        <v>1662925</v>
      </c>
      <c r="E4309">
        <v>1</v>
      </c>
      <c r="F4309" t="s">
        <v>5778</v>
      </c>
    </row>
    <row r="4310" spans="1:6" x14ac:dyDescent="0.25">
      <c r="A4310" t="s">
        <v>1522</v>
      </c>
      <c r="B4310" t="s">
        <v>1419</v>
      </c>
      <c r="C4310" t="s">
        <v>1420</v>
      </c>
      <c r="D4310" t="str">
        <f>HYPERLINK("http://service.sap.com/sap/support/notes/1671784","1671784")</f>
        <v>1671784</v>
      </c>
      <c r="E4310">
        <v>1</v>
      </c>
      <c r="F4310" t="s">
        <v>5779</v>
      </c>
    </row>
    <row r="4311" spans="1:6" x14ac:dyDescent="0.25">
      <c r="A4311" t="s">
        <v>1522</v>
      </c>
      <c r="B4311" t="s">
        <v>5780</v>
      </c>
      <c r="C4311" t="s">
        <v>132</v>
      </c>
      <c r="D4311" t="str">
        <f>HYPERLINK("http://service.sap.com/sap/support/notes/1629908","1629908")</f>
        <v>1629908</v>
      </c>
      <c r="E4311">
        <v>1</v>
      </c>
      <c r="F4311" t="s">
        <v>5781</v>
      </c>
    </row>
    <row r="4312" spans="1:6" x14ac:dyDescent="0.25">
      <c r="A4312" t="s">
        <v>1522</v>
      </c>
      <c r="B4312" t="s">
        <v>5780</v>
      </c>
      <c r="C4312" t="s">
        <v>132</v>
      </c>
      <c r="D4312" t="str">
        <f>HYPERLINK("http://service.sap.com/sap/support/notes/1640984","1640984")</f>
        <v>1640984</v>
      </c>
      <c r="E4312">
        <v>1</v>
      </c>
      <c r="F4312" t="s">
        <v>5782</v>
      </c>
    </row>
    <row r="4313" spans="1:6" x14ac:dyDescent="0.25">
      <c r="A4313" t="s">
        <v>1522</v>
      </c>
      <c r="B4313" t="s">
        <v>5780</v>
      </c>
      <c r="C4313" t="s">
        <v>132</v>
      </c>
      <c r="D4313" t="str">
        <f>HYPERLINK("http://service.sap.com/sap/support/notes/1645901","1645901")</f>
        <v>1645901</v>
      </c>
      <c r="E4313">
        <v>5</v>
      </c>
      <c r="F4313" t="s">
        <v>5783</v>
      </c>
    </row>
    <row r="4314" spans="1:6" x14ac:dyDescent="0.25">
      <c r="A4314" t="s">
        <v>1522</v>
      </c>
      <c r="B4314" t="s">
        <v>5780</v>
      </c>
      <c r="C4314" t="s">
        <v>132</v>
      </c>
      <c r="D4314" t="str">
        <f>HYPERLINK("http://service.sap.com/sap/support/notes/1672445","1672445")</f>
        <v>1672445</v>
      </c>
      <c r="E4314">
        <v>1</v>
      </c>
      <c r="F4314" t="s">
        <v>5784</v>
      </c>
    </row>
    <row r="4315" spans="1:6" x14ac:dyDescent="0.25">
      <c r="A4315" t="s">
        <v>1522</v>
      </c>
      <c r="B4315" t="s">
        <v>1421</v>
      </c>
      <c r="C4315" t="s">
        <v>1422</v>
      </c>
      <c r="D4315" t="str">
        <f>HYPERLINK("http://service.sap.com/sap/support/notes/1631880","1631880")</f>
        <v>1631880</v>
      </c>
      <c r="E4315">
        <v>1</v>
      </c>
      <c r="F4315" t="s">
        <v>5785</v>
      </c>
    </row>
    <row r="4316" spans="1:6" x14ac:dyDescent="0.25">
      <c r="A4316" t="s">
        <v>1522</v>
      </c>
      <c r="B4316" t="s">
        <v>1421</v>
      </c>
      <c r="C4316" t="s">
        <v>1422</v>
      </c>
      <c r="D4316" t="str">
        <f>HYPERLINK("http://service.sap.com/sap/support/notes/1632505","1632505")</f>
        <v>1632505</v>
      </c>
      <c r="E4316">
        <v>2</v>
      </c>
      <c r="F4316" t="s">
        <v>5786</v>
      </c>
    </row>
    <row r="4317" spans="1:6" x14ac:dyDescent="0.25">
      <c r="A4317" t="s">
        <v>1522</v>
      </c>
      <c r="B4317" t="s">
        <v>1421</v>
      </c>
      <c r="C4317" t="s">
        <v>1422</v>
      </c>
      <c r="D4317" t="str">
        <f>HYPERLINK("http://service.sap.com/sap/support/notes/1633893","1633893")</f>
        <v>1633893</v>
      </c>
      <c r="E4317">
        <v>7</v>
      </c>
      <c r="F4317" t="s">
        <v>5787</v>
      </c>
    </row>
    <row r="4318" spans="1:6" x14ac:dyDescent="0.25">
      <c r="A4318" t="s">
        <v>1522</v>
      </c>
      <c r="B4318" t="s">
        <v>1421</v>
      </c>
      <c r="C4318" t="s">
        <v>1422</v>
      </c>
      <c r="D4318" t="str">
        <f>HYPERLINK("http://service.sap.com/sap/support/notes/1636586","1636586")</f>
        <v>1636586</v>
      </c>
      <c r="E4318">
        <v>2</v>
      </c>
      <c r="F4318" t="s">
        <v>5788</v>
      </c>
    </row>
    <row r="4319" spans="1:6" x14ac:dyDescent="0.25">
      <c r="A4319" t="s">
        <v>1522</v>
      </c>
      <c r="B4319" t="s">
        <v>1421</v>
      </c>
      <c r="C4319" t="s">
        <v>1422</v>
      </c>
      <c r="D4319" t="str">
        <f>HYPERLINK("http://service.sap.com/sap/support/notes/1644481","1644481")</f>
        <v>1644481</v>
      </c>
      <c r="E4319">
        <v>2</v>
      </c>
      <c r="F4319" t="s">
        <v>5789</v>
      </c>
    </row>
    <row r="4320" spans="1:6" x14ac:dyDescent="0.25">
      <c r="A4320" t="s">
        <v>1522</v>
      </c>
      <c r="B4320" t="s">
        <v>1421</v>
      </c>
      <c r="C4320" t="s">
        <v>1422</v>
      </c>
      <c r="D4320" t="str">
        <f>HYPERLINK("http://service.sap.com/sap/support/notes/1645715","1645715")</f>
        <v>1645715</v>
      </c>
      <c r="E4320">
        <v>4</v>
      </c>
      <c r="F4320" t="s">
        <v>5790</v>
      </c>
    </row>
    <row r="4321" spans="1:6" x14ac:dyDescent="0.25">
      <c r="A4321" t="s">
        <v>1522</v>
      </c>
      <c r="B4321" t="s">
        <v>1421</v>
      </c>
      <c r="C4321" t="s">
        <v>1422</v>
      </c>
      <c r="D4321" t="str">
        <f>HYPERLINK("http://service.sap.com/sap/support/notes/1658692","1658692")</f>
        <v>1658692</v>
      </c>
      <c r="E4321">
        <v>4</v>
      </c>
      <c r="F4321" t="s">
        <v>5791</v>
      </c>
    </row>
    <row r="4322" spans="1:6" x14ac:dyDescent="0.25">
      <c r="A4322" t="s">
        <v>1522</v>
      </c>
      <c r="B4322" t="s">
        <v>5792</v>
      </c>
      <c r="C4322" t="s">
        <v>5793</v>
      </c>
    </row>
    <row r="4323" spans="1:6" x14ac:dyDescent="0.25">
      <c r="A4323" t="s">
        <v>1522</v>
      </c>
      <c r="B4323" t="s">
        <v>5794</v>
      </c>
      <c r="C4323" t="s">
        <v>132</v>
      </c>
      <c r="D4323" t="str">
        <f>HYPERLINK("http://service.sap.com/sap/support/notes/1598181","1598181")</f>
        <v>1598181</v>
      </c>
      <c r="E4323">
        <v>2</v>
      </c>
      <c r="F4323" t="s">
        <v>5795</v>
      </c>
    </row>
    <row r="4324" spans="1:6" x14ac:dyDescent="0.25">
      <c r="A4324" t="s">
        <v>1522</v>
      </c>
      <c r="B4324" t="s">
        <v>5796</v>
      </c>
      <c r="C4324" t="s">
        <v>5797</v>
      </c>
      <c r="D4324" t="str">
        <f>HYPERLINK("http://service.sap.com/sap/support/notes/1619088","1619088")</f>
        <v>1619088</v>
      </c>
      <c r="E4324">
        <v>1</v>
      </c>
      <c r="F4324" t="s">
        <v>5798</v>
      </c>
    </row>
    <row r="4325" spans="1:6" x14ac:dyDescent="0.25">
      <c r="A4325" t="s">
        <v>1522</v>
      </c>
      <c r="B4325" t="s">
        <v>5796</v>
      </c>
      <c r="C4325" t="s">
        <v>5797</v>
      </c>
      <c r="D4325" t="str">
        <f>HYPERLINK("http://service.sap.com/sap/support/notes/1628126","1628126")</f>
        <v>1628126</v>
      </c>
      <c r="E4325">
        <v>1</v>
      </c>
      <c r="F4325" t="s">
        <v>5799</v>
      </c>
    </row>
    <row r="4326" spans="1:6" x14ac:dyDescent="0.25">
      <c r="A4326" t="s">
        <v>1522</v>
      </c>
      <c r="B4326" t="s">
        <v>5796</v>
      </c>
      <c r="C4326" t="s">
        <v>5797</v>
      </c>
      <c r="D4326" t="str">
        <f>HYPERLINK("http://service.sap.com/sap/support/notes/1628667","1628667")</f>
        <v>1628667</v>
      </c>
      <c r="E4326">
        <v>1</v>
      </c>
      <c r="F4326" t="s">
        <v>5800</v>
      </c>
    </row>
    <row r="4327" spans="1:6" x14ac:dyDescent="0.25">
      <c r="A4327" t="s">
        <v>1522</v>
      </c>
      <c r="B4327" t="s">
        <v>5796</v>
      </c>
      <c r="C4327" t="s">
        <v>5797</v>
      </c>
      <c r="D4327" t="str">
        <f>HYPERLINK("http://service.sap.com/sap/support/notes/1639455","1639455")</f>
        <v>1639455</v>
      </c>
      <c r="E4327">
        <v>2</v>
      </c>
      <c r="F4327" t="s">
        <v>5801</v>
      </c>
    </row>
    <row r="4328" spans="1:6" x14ac:dyDescent="0.25">
      <c r="A4328" t="s">
        <v>1522</v>
      </c>
      <c r="B4328" t="s">
        <v>5796</v>
      </c>
      <c r="C4328" t="s">
        <v>5797</v>
      </c>
      <c r="D4328" t="str">
        <f>HYPERLINK("http://service.sap.com/sap/support/notes/1642636","1642636")</f>
        <v>1642636</v>
      </c>
      <c r="E4328">
        <v>2</v>
      </c>
      <c r="F4328" t="s">
        <v>5802</v>
      </c>
    </row>
    <row r="4329" spans="1:6" x14ac:dyDescent="0.25">
      <c r="A4329" t="s">
        <v>1522</v>
      </c>
      <c r="B4329" t="s">
        <v>5796</v>
      </c>
      <c r="C4329" t="s">
        <v>5797</v>
      </c>
      <c r="D4329" t="str">
        <f>HYPERLINK("http://service.sap.com/sap/support/notes/1645909","1645909")</f>
        <v>1645909</v>
      </c>
      <c r="E4329">
        <v>2</v>
      </c>
      <c r="F4329" t="s">
        <v>5803</v>
      </c>
    </row>
    <row r="4330" spans="1:6" x14ac:dyDescent="0.25">
      <c r="A4330" t="s">
        <v>1522</v>
      </c>
      <c r="B4330" t="s">
        <v>5796</v>
      </c>
      <c r="C4330" t="s">
        <v>5797</v>
      </c>
      <c r="D4330" t="str">
        <f>HYPERLINK("http://service.sap.com/sap/support/notes/1660239","1660239")</f>
        <v>1660239</v>
      </c>
      <c r="E4330">
        <v>1</v>
      </c>
      <c r="F4330" t="s">
        <v>5804</v>
      </c>
    </row>
    <row r="4331" spans="1:6" x14ac:dyDescent="0.25">
      <c r="A4331" t="s">
        <v>1522</v>
      </c>
      <c r="B4331" t="s">
        <v>5796</v>
      </c>
      <c r="C4331" t="s">
        <v>5797</v>
      </c>
      <c r="D4331" t="str">
        <f>HYPERLINK("http://service.sap.com/sap/support/notes/1660959","1660959")</f>
        <v>1660959</v>
      </c>
      <c r="E4331">
        <v>1</v>
      </c>
      <c r="F4331" t="s">
        <v>5805</v>
      </c>
    </row>
    <row r="4332" spans="1:6" x14ac:dyDescent="0.25">
      <c r="A4332" t="s">
        <v>1522</v>
      </c>
      <c r="B4332" t="s">
        <v>5796</v>
      </c>
      <c r="C4332" t="s">
        <v>5797</v>
      </c>
      <c r="D4332" t="str">
        <f>HYPERLINK("http://service.sap.com/sap/support/notes/1670595","1670595")</f>
        <v>1670595</v>
      </c>
      <c r="E4332">
        <v>1</v>
      </c>
      <c r="F4332" t="s">
        <v>5806</v>
      </c>
    </row>
    <row r="4333" spans="1:6" x14ac:dyDescent="0.25">
      <c r="A4333" t="s">
        <v>1522</v>
      </c>
      <c r="B4333" t="s">
        <v>5807</v>
      </c>
      <c r="C4333" t="s">
        <v>5808</v>
      </c>
    </row>
    <row r="4334" spans="1:6" x14ac:dyDescent="0.25">
      <c r="A4334" t="s">
        <v>1522</v>
      </c>
      <c r="B4334" t="s">
        <v>5809</v>
      </c>
      <c r="C4334" t="s">
        <v>132</v>
      </c>
      <c r="D4334" t="str">
        <f>HYPERLINK("http://service.sap.com/sap/support/notes/1644345","1644345")</f>
        <v>1644345</v>
      </c>
      <c r="E4334">
        <v>1</v>
      </c>
      <c r="F4334" t="s">
        <v>5810</v>
      </c>
    </row>
    <row r="4335" spans="1:6" x14ac:dyDescent="0.25">
      <c r="A4335" t="s">
        <v>1522</v>
      </c>
      <c r="B4335" t="s">
        <v>5811</v>
      </c>
      <c r="C4335" t="s">
        <v>5812</v>
      </c>
    </row>
    <row r="4336" spans="1:6" x14ac:dyDescent="0.25">
      <c r="A4336" t="s">
        <v>1522</v>
      </c>
      <c r="B4336" t="s">
        <v>5813</v>
      </c>
      <c r="C4336" t="s">
        <v>5814</v>
      </c>
      <c r="D4336" t="str">
        <f>HYPERLINK("http://service.sap.com/sap/support/notes/1613318","1613318")</f>
        <v>1613318</v>
      </c>
      <c r="E4336">
        <v>2</v>
      </c>
      <c r="F4336" t="s">
        <v>5815</v>
      </c>
    </row>
    <row r="4337" spans="1:6" x14ac:dyDescent="0.25">
      <c r="A4337" t="s">
        <v>1522</v>
      </c>
      <c r="B4337" t="s">
        <v>5813</v>
      </c>
      <c r="C4337" t="s">
        <v>5814</v>
      </c>
      <c r="D4337" t="str">
        <f>HYPERLINK("http://service.sap.com/sap/support/notes/1616244","1616244")</f>
        <v>1616244</v>
      </c>
      <c r="E4337">
        <v>2</v>
      </c>
      <c r="F4337" t="s">
        <v>5816</v>
      </c>
    </row>
    <row r="4338" spans="1:6" x14ac:dyDescent="0.25">
      <c r="A4338" t="s">
        <v>1522</v>
      </c>
      <c r="B4338" t="s">
        <v>1432</v>
      </c>
      <c r="C4338" t="s">
        <v>1433</v>
      </c>
      <c r="D4338" t="str">
        <f>HYPERLINK("http://service.sap.com/sap/support/notes/1590840","1590840")</f>
        <v>1590840</v>
      </c>
      <c r="E4338">
        <v>14</v>
      </c>
      <c r="F4338" t="s">
        <v>5817</v>
      </c>
    </row>
    <row r="4339" spans="1:6" x14ac:dyDescent="0.25">
      <c r="A4339" t="s">
        <v>1522</v>
      </c>
      <c r="B4339" t="s">
        <v>1432</v>
      </c>
      <c r="C4339" t="s">
        <v>1433</v>
      </c>
      <c r="D4339" t="str">
        <f>HYPERLINK("http://service.sap.com/sap/support/notes/1603856","1603856")</f>
        <v>1603856</v>
      </c>
      <c r="E4339">
        <v>3</v>
      </c>
      <c r="F4339" t="s">
        <v>5818</v>
      </c>
    </row>
    <row r="4340" spans="1:6" x14ac:dyDescent="0.25">
      <c r="A4340" t="s">
        <v>1522</v>
      </c>
      <c r="B4340" t="s">
        <v>1432</v>
      </c>
      <c r="C4340" t="s">
        <v>1433</v>
      </c>
      <c r="D4340" t="str">
        <f>HYPERLINK("http://service.sap.com/sap/support/notes/1608229","1608229")</f>
        <v>1608229</v>
      </c>
      <c r="E4340">
        <v>4</v>
      </c>
      <c r="F4340" t="s">
        <v>5819</v>
      </c>
    </row>
    <row r="4341" spans="1:6" x14ac:dyDescent="0.25">
      <c r="A4341" t="s">
        <v>1522</v>
      </c>
      <c r="B4341" t="s">
        <v>1432</v>
      </c>
      <c r="C4341" t="s">
        <v>1433</v>
      </c>
      <c r="D4341" t="str">
        <f>HYPERLINK("http://service.sap.com/sap/support/notes/1612943","1612943")</f>
        <v>1612943</v>
      </c>
      <c r="E4341">
        <v>3</v>
      </c>
      <c r="F4341" t="s">
        <v>5820</v>
      </c>
    </row>
    <row r="4342" spans="1:6" x14ac:dyDescent="0.25">
      <c r="A4342" t="s">
        <v>1522</v>
      </c>
      <c r="B4342" t="s">
        <v>1432</v>
      </c>
      <c r="C4342" t="s">
        <v>1433</v>
      </c>
      <c r="D4342" t="str">
        <f>HYPERLINK("http://service.sap.com/sap/support/notes/1614121","1614121")</f>
        <v>1614121</v>
      </c>
      <c r="E4342">
        <v>2</v>
      </c>
      <c r="F4342" t="s">
        <v>5821</v>
      </c>
    </row>
    <row r="4343" spans="1:6" x14ac:dyDescent="0.25">
      <c r="A4343" t="s">
        <v>1522</v>
      </c>
      <c r="B4343" t="s">
        <v>1432</v>
      </c>
      <c r="C4343" t="s">
        <v>1433</v>
      </c>
      <c r="D4343" t="str">
        <f>HYPERLINK("http://service.sap.com/sap/support/notes/1621883","1621883")</f>
        <v>1621883</v>
      </c>
      <c r="E4343">
        <v>2</v>
      </c>
      <c r="F4343" t="s">
        <v>5822</v>
      </c>
    </row>
    <row r="4344" spans="1:6" x14ac:dyDescent="0.25">
      <c r="A4344" t="s">
        <v>1522</v>
      </c>
      <c r="B4344" t="s">
        <v>1432</v>
      </c>
      <c r="C4344" t="s">
        <v>1433</v>
      </c>
      <c r="D4344" t="str">
        <f>HYPERLINK("http://service.sap.com/sap/support/notes/1632908","1632908")</f>
        <v>1632908</v>
      </c>
      <c r="E4344">
        <v>4</v>
      </c>
      <c r="F4344" t="s">
        <v>5823</v>
      </c>
    </row>
    <row r="4345" spans="1:6" x14ac:dyDescent="0.25">
      <c r="A4345" t="s">
        <v>1522</v>
      </c>
      <c r="B4345" t="s">
        <v>1432</v>
      </c>
      <c r="C4345" t="s">
        <v>1433</v>
      </c>
      <c r="D4345" t="str">
        <f>HYPERLINK("http://service.sap.com/sap/support/notes/1632991","1632991")</f>
        <v>1632991</v>
      </c>
      <c r="E4345">
        <v>2</v>
      </c>
      <c r="F4345" t="s">
        <v>5824</v>
      </c>
    </row>
    <row r="4346" spans="1:6" x14ac:dyDescent="0.25">
      <c r="A4346" t="s">
        <v>1522</v>
      </c>
      <c r="B4346" t="s">
        <v>1432</v>
      </c>
      <c r="C4346" t="s">
        <v>1433</v>
      </c>
      <c r="D4346" t="str">
        <f>HYPERLINK("http://service.sap.com/sap/support/notes/1636676","1636676")</f>
        <v>1636676</v>
      </c>
      <c r="E4346">
        <v>5</v>
      </c>
      <c r="F4346" t="s">
        <v>5825</v>
      </c>
    </row>
    <row r="4347" spans="1:6" x14ac:dyDescent="0.25">
      <c r="A4347" t="s">
        <v>1522</v>
      </c>
      <c r="B4347" t="s">
        <v>1432</v>
      </c>
      <c r="C4347" t="s">
        <v>1433</v>
      </c>
      <c r="D4347" t="str">
        <f>HYPERLINK("http://service.sap.com/sap/support/notes/1641735","1641735")</f>
        <v>1641735</v>
      </c>
      <c r="E4347">
        <v>5</v>
      </c>
      <c r="F4347" t="s">
        <v>5826</v>
      </c>
    </row>
    <row r="4348" spans="1:6" x14ac:dyDescent="0.25">
      <c r="A4348" t="s">
        <v>1522</v>
      </c>
      <c r="B4348" t="s">
        <v>1432</v>
      </c>
      <c r="C4348" t="s">
        <v>1433</v>
      </c>
      <c r="D4348" t="str">
        <f>HYPERLINK("http://service.sap.com/sap/support/notes/1668570","1668570")</f>
        <v>1668570</v>
      </c>
      <c r="E4348">
        <v>3</v>
      </c>
      <c r="F4348" t="s">
        <v>5827</v>
      </c>
    </row>
    <row r="4349" spans="1:6" x14ac:dyDescent="0.25">
      <c r="A4349" t="s">
        <v>1522</v>
      </c>
      <c r="B4349" t="s">
        <v>1434</v>
      </c>
      <c r="C4349" t="s">
        <v>1435</v>
      </c>
      <c r="D4349" t="str">
        <f>HYPERLINK("http://service.sap.com/sap/support/notes/1603665","1603665")</f>
        <v>1603665</v>
      </c>
      <c r="E4349">
        <v>2</v>
      </c>
      <c r="F4349" t="s">
        <v>5828</v>
      </c>
    </row>
    <row r="4350" spans="1:6" x14ac:dyDescent="0.25">
      <c r="A4350" t="s">
        <v>1522</v>
      </c>
      <c r="B4350" t="s">
        <v>1434</v>
      </c>
      <c r="C4350" t="s">
        <v>1435</v>
      </c>
      <c r="D4350" t="str">
        <f>HYPERLINK("http://service.sap.com/sap/support/notes/1619017","1619017")</f>
        <v>1619017</v>
      </c>
      <c r="E4350">
        <v>1</v>
      </c>
      <c r="F4350" t="s">
        <v>5829</v>
      </c>
    </row>
    <row r="4351" spans="1:6" x14ac:dyDescent="0.25">
      <c r="A4351" t="s">
        <v>1522</v>
      </c>
      <c r="B4351" t="s">
        <v>1434</v>
      </c>
      <c r="C4351" t="s">
        <v>1435</v>
      </c>
      <c r="D4351" t="str">
        <f>HYPERLINK("http://service.sap.com/sap/support/notes/1620442","1620442")</f>
        <v>1620442</v>
      </c>
      <c r="E4351">
        <v>1</v>
      </c>
      <c r="F4351" t="s">
        <v>5830</v>
      </c>
    </row>
    <row r="4352" spans="1:6" x14ac:dyDescent="0.25">
      <c r="A4352" t="s">
        <v>1522</v>
      </c>
      <c r="B4352" t="s">
        <v>1434</v>
      </c>
      <c r="C4352" t="s">
        <v>1435</v>
      </c>
      <c r="D4352" t="str">
        <f>HYPERLINK("http://service.sap.com/sap/support/notes/1625838","1625838")</f>
        <v>1625838</v>
      </c>
      <c r="E4352">
        <v>1</v>
      </c>
      <c r="F4352" t="s">
        <v>5831</v>
      </c>
    </row>
    <row r="4353" spans="1:6" x14ac:dyDescent="0.25">
      <c r="A4353" t="s">
        <v>1522</v>
      </c>
      <c r="B4353" t="s">
        <v>1434</v>
      </c>
      <c r="C4353" t="s">
        <v>1435</v>
      </c>
      <c r="D4353" t="str">
        <f>HYPERLINK("http://service.sap.com/sap/support/notes/1634559","1634559")</f>
        <v>1634559</v>
      </c>
      <c r="E4353">
        <v>1</v>
      </c>
      <c r="F4353" t="s">
        <v>5832</v>
      </c>
    </row>
    <row r="4354" spans="1:6" x14ac:dyDescent="0.25">
      <c r="A4354" t="s">
        <v>1522</v>
      </c>
      <c r="B4354" t="s">
        <v>1434</v>
      </c>
      <c r="C4354" t="s">
        <v>1435</v>
      </c>
      <c r="D4354" t="str">
        <f>HYPERLINK("http://service.sap.com/sap/support/notes/1641457","1641457")</f>
        <v>1641457</v>
      </c>
      <c r="E4354">
        <v>1</v>
      </c>
      <c r="F4354" t="s">
        <v>5833</v>
      </c>
    </row>
    <row r="4355" spans="1:6" x14ac:dyDescent="0.25">
      <c r="A4355" t="s">
        <v>1522</v>
      </c>
      <c r="B4355" t="s">
        <v>1434</v>
      </c>
      <c r="C4355" t="s">
        <v>1435</v>
      </c>
      <c r="D4355" t="str">
        <f>HYPERLINK("http://service.sap.com/sap/support/notes/1643703","1643703")</f>
        <v>1643703</v>
      </c>
      <c r="E4355">
        <v>1</v>
      </c>
      <c r="F4355" t="s">
        <v>5834</v>
      </c>
    </row>
    <row r="4356" spans="1:6" x14ac:dyDescent="0.25">
      <c r="A4356" t="s">
        <v>1522</v>
      </c>
      <c r="B4356" t="s">
        <v>5835</v>
      </c>
    </row>
    <row r="4357" spans="1:6" x14ac:dyDescent="0.25">
      <c r="A4357" t="s">
        <v>1522</v>
      </c>
      <c r="B4357" t="s">
        <v>5836</v>
      </c>
      <c r="C4357" t="s">
        <v>5837</v>
      </c>
      <c r="D4357" t="str">
        <f>HYPERLINK("http://service.sap.com/sap/support/notes/1662437","1662437")</f>
        <v>1662437</v>
      </c>
      <c r="E4357">
        <v>1</v>
      </c>
      <c r="F4357" t="s">
        <v>5838</v>
      </c>
    </row>
    <row r="4358" spans="1:6" x14ac:dyDescent="0.25">
      <c r="A4358" t="s">
        <v>1522</v>
      </c>
      <c r="B4358" t="s">
        <v>1441</v>
      </c>
      <c r="C4358" t="s">
        <v>1442</v>
      </c>
      <c r="D4358" t="str">
        <f>HYPERLINK("http://service.sap.com/sap/support/notes/1567321","1567321")</f>
        <v>1567321</v>
      </c>
      <c r="E4358">
        <v>6</v>
      </c>
      <c r="F4358" t="s">
        <v>5839</v>
      </c>
    </row>
    <row r="4359" spans="1:6" x14ac:dyDescent="0.25">
      <c r="A4359" t="s">
        <v>1522</v>
      </c>
      <c r="B4359" t="s">
        <v>1441</v>
      </c>
      <c r="C4359" t="s">
        <v>1442</v>
      </c>
      <c r="D4359" t="str">
        <f>HYPERLINK("http://service.sap.com/sap/support/notes/1581902","1581902")</f>
        <v>1581902</v>
      </c>
      <c r="E4359">
        <v>7</v>
      </c>
      <c r="F4359" t="s">
        <v>5840</v>
      </c>
    </row>
    <row r="4360" spans="1:6" x14ac:dyDescent="0.25">
      <c r="A4360" t="s">
        <v>1522</v>
      </c>
      <c r="B4360" t="s">
        <v>1441</v>
      </c>
      <c r="C4360" t="s">
        <v>1442</v>
      </c>
      <c r="D4360" t="str">
        <f>HYPERLINK("http://service.sap.com/sap/support/notes/1590068","1590068")</f>
        <v>1590068</v>
      </c>
      <c r="E4360">
        <v>3</v>
      </c>
      <c r="F4360" t="s">
        <v>5841</v>
      </c>
    </row>
    <row r="4361" spans="1:6" x14ac:dyDescent="0.25">
      <c r="A4361" t="s">
        <v>1522</v>
      </c>
      <c r="B4361" t="s">
        <v>1441</v>
      </c>
      <c r="C4361" t="s">
        <v>1442</v>
      </c>
      <c r="D4361" t="str">
        <f>HYPERLINK("http://service.sap.com/sap/support/notes/1608608","1608608")</f>
        <v>1608608</v>
      </c>
      <c r="E4361">
        <v>3</v>
      </c>
      <c r="F4361" t="s">
        <v>5842</v>
      </c>
    </row>
    <row r="4362" spans="1:6" x14ac:dyDescent="0.25">
      <c r="A4362" t="s">
        <v>1522</v>
      </c>
      <c r="B4362" t="s">
        <v>1441</v>
      </c>
      <c r="C4362" t="s">
        <v>1442</v>
      </c>
      <c r="D4362" t="str">
        <f>HYPERLINK("http://service.sap.com/sap/support/notes/1609084","1609084")</f>
        <v>1609084</v>
      </c>
      <c r="E4362">
        <v>3</v>
      </c>
      <c r="F4362" t="s">
        <v>5843</v>
      </c>
    </row>
    <row r="4363" spans="1:6" x14ac:dyDescent="0.25">
      <c r="A4363" t="s">
        <v>1522</v>
      </c>
      <c r="B4363" t="s">
        <v>1441</v>
      </c>
      <c r="C4363" t="s">
        <v>1442</v>
      </c>
      <c r="D4363" t="str">
        <f>HYPERLINK("http://service.sap.com/sap/support/notes/1614125","1614125")</f>
        <v>1614125</v>
      </c>
      <c r="E4363">
        <v>5</v>
      </c>
      <c r="F4363" t="s">
        <v>5844</v>
      </c>
    </row>
    <row r="4364" spans="1:6" x14ac:dyDescent="0.25">
      <c r="A4364" t="s">
        <v>1522</v>
      </c>
      <c r="B4364" t="s">
        <v>1441</v>
      </c>
      <c r="C4364" t="s">
        <v>1442</v>
      </c>
      <c r="D4364" t="str">
        <f>HYPERLINK("http://service.sap.com/sap/support/notes/1619492","1619492")</f>
        <v>1619492</v>
      </c>
      <c r="E4364">
        <v>4</v>
      </c>
      <c r="F4364" t="s">
        <v>5845</v>
      </c>
    </row>
    <row r="4365" spans="1:6" x14ac:dyDescent="0.25">
      <c r="A4365" t="s">
        <v>1522</v>
      </c>
      <c r="B4365" t="s">
        <v>1441</v>
      </c>
      <c r="C4365" t="s">
        <v>1442</v>
      </c>
      <c r="D4365" t="str">
        <f>HYPERLINK("http://service.sap.com/sap/support/notes/1621231","1621231")</f>
        <v>1621231</v>
      </c>
      <c r="E4365">
        <v>3</v>
      </c>
      <c r="F4365" t="s">
        <v>5846</v>
      </c>
    </row>
    <row r="4366" spans="1:6" x14ac:dyDescent="0.25">
      <c r="A4366" t="s">
        <v>1522</v>
      </c>
      <c r="B4366" t="s">
        <v>1441</v>
      </c>
      <c r="C4366" t="s">
        <v>1442</v>
      </c>
      <c r="D4366" t="str">
        <f>HYPERLINK("http://service.sap.com/sap/support/notes/1622994","1622994")</f>
        <v>1622994</v>
      </c>
      <c r="E4366">
        <v>2</v>
      </c>
      <c r="F4366" t="s">
        <v>5847</v>
      </c>
    </row>
    <row r="4367" spans="1:6" x14ac:dyDescent="0.25">
      <c r="A4367" t="s">
        <v>1522</v>
      </c>
      <c r="B4367" t="s">
        <v>1441</v>
      </c>
      <c r="C4367" t="s">
        <v>1442</v>
      </c>
      <c r="D4367" t="str">
        <f>HYPERLINK("http://service.sap.com/sap/support/notes/1625555","1625555")</f>
        <v>1625555</v>
      </c>
      <c r="E4367">
        <v>2</v>
      </c>
      <c r="F4367" t="s">
        <v>5848</v>
      </c>
    </row>
    <row r="4368" spans="1:6" x14ac:dyDescent="0.25">
      <c r="A4368" t="s">
        <v>1522</v>
      </c>
      <c r="B4368" t="s">
        <v>1441</v>
      </c>
      <c r="C4368" t="s">
        <v>1442</v>
      </c>
      <c r="D4368" t="str">
        <f>HYPERLINK("http://service.sap.com/sap/support/notes/1628092","1628092")</f>
        <v>1628092</v>
      </c>
      <c r="E4368">
        <v>3</v>
      </c>
      <c r="F4368" t="s">
        <v>5849</v>
      </c>
    </row>
    <row r="4369" spans="1:6" x14ac:dyDescent="0.25">
      <c r="A4369" t="s">
        <v>1522</v>
      </c>
      <c r="B4369" t="s">
        <v>1441</v>
      </c>
      <c r="C4369" t="s">
        <v>1442</v>
      </c>
      <c r="D4369" t="str">
        <f>HYPERLINK("http://service.sap.com/sap/support/notes/1630774","1630774")</f>
        <v>1630774</v>
      </c>
      <c r="E4369">
        <v>3</v>
      </c>
      <c r="F4369" t="s">
        <v>5850</v>
      </c>
    </row>
    <row r="4370" spans="1:6" x14ac:dyDescent="0.25">
      <c r="A4370" t="s">
        <v>1522</v>
      </c>
      <c r="B4370" t="s">
        <v>1441</v>
      </c>
      <c r="C4370" t="s">
        <v>1442</v>
      </c>
      <c r="D4370" t="str">
        <f>HYPERLINK("http://service.sap.com/sap/support/notes/1631045","1631045")</f>
        <v>1631045</v>
      </c>
      <c r="E4370">
        <v>3</v>
      </c>
      <c r="F4370" t="s">
        <v>5851</v>
      </c>
    </row>
    <row r="4371" spans="1:6" x14ac:dyDescent="0.25">
      <c r="A4371" t="s">
        <v>1522</v>
      </c>
      <c r="B4371" t="s">
        <v>1441</v>
      </c>
      <c r="C4371" t="s">
        <v>1442</v>
      </c>
      <c r="D4371" t="str">
        <f>HYPERLINK("http://service.sap.com/sap/support/notes/1631992","1631992")</f>
        <v>1631992</v>
      </c>
      <c r="E4371">
        <v>7</v>
      </c>
      <c r="F4371" t="s">
        <v>5852</v>
      </c>
    </row>
    <row r="4372" spans="1:6" x14ac:dyDescent="0.25">
      <c r="A4372" t="s">
        <v>1522</v>
      </c>
      <c r="B4372" t="s">
        <v>1441</v>
      </c>
      <c r="C4372" t="s">
        <v>1442</v>
      </c>
      <c r="D4372" t="str">
        <f>HYPERLINK("http://service.sap.com/sap/support/notes/1638391","1638391")</f>
        <v>1638391</v>
      </c>
      <c r="E4372">
        <v>2</v>
      </c>
      <c r="F4372" t="s">
        <v>5853</v>
      </c>
    </row>
    <row r="4373" spans="1:6" x14ac:dyDescent="0.25">
      <c r="A4373" t="s">
        <v>1522</v>
      </c>
      <c r="B4373" t="s">
        <v>1441</v>
      </c>
      <c r="C4373" t="s">
        <v>1442</v>
      </c>
      <c r="D4373" t="str">
        <f>HYPERLINK("http://service.sap.com/sap/support/notes/1639917","1639917")</f>
        <v>1639917</v>
      </c>
      <c r="E4373">
        <v>2</v>
      </c>
      <c r="F4373" t="s">
        <v>5854</v>
      </c>
    </row>
    <row r="4374" spans="1:6" x14ac:dyDescent="0.25">
      <c r="A4374" t="s">
        <v>1522</v>
      </c>
      <c r="B4374" t="s">
        <v>1441</v>
      </c>
      <c r="C4374" t="s">
        <v>1442</v>
      </c>
      <c r="D4374" t="str">
        <f>HYPERLINK("http://service.sap.com/sap/support/notes/1642025","1642025")</f>
        <v>1642025</v>
      </c>
      <c r="E4374">
        <v>2</v>
      </c>
      <c r="F4374" t="s">
        <v>5855</v>
      </c>
    </row>
    <row r="4375" spans="1:6" x14ac:dyDescent="0.25">
      <c r="A4375" t="s">
        <v>1522</v>
      </c>
      <c r="B4375" t="s">
        <v>1441</v>
      </c>
      <c r="C4375" t="s">
        <v>1442</v>
      </c>
      <c r="D4375" t="str">
        <f>HYPERLINK("http://service.sap.com/sap/support/notes/1642631","1642631")</f>
        <v>1642631</v>
      </c>
      <c r="E4375">
        <v>3</v>
      </c>
      <c r="F4375" t="s">
        <v>5856</v>
      </c>
    </row>
    <row r="4376" spans="1:6" x14ac:dyDescent="0.25">
      <c r="A4376" t="s">
        <v>1522</v>
      </c>
      <c r="B4376" t="s">
        <v>1441</v>
      </c>
      <c r="C4376" t="s">
        <v>1442</v>
      </c>
      <c r="D4376" t="str">
        <f>HYPERLINK("http://service.sap.com/sap/support/notes/1649246","1649246")</f>
        <v>1649246</v>
      </c>
      <c r="E4376">
        <v>4</v>
      </c>
      <c r="F4376" t="s">
        <v>5857</v>
      </c>
    </row>
    <row r="4377" spans="1:6" x14ac:dyDescent="0.25">
      <c r="A4377" t="s">
        <v>1522</v>
      </c>
      <c r="B4377" t="s">
        <v>1441</v>
      </c>
      <c r="C4377" t="s">
        <v>1442</v>
      </c>
      <c r="D4377" t="str">
        <f>HYPERLINK("http://service.sap.com/sap/support/notes/1655949","1655949")</f>
        <v>1655949</v>
      </c>
      <c r="E4377">
        <v>2</v>
      </c>
      <c r="F4377" t="s">
        <v>5858</v>
      </c>
    </row>
    <row r="4378" spans="1:6" x14ac:dyDescent="0.25">
      <c r="A4378" t="s">
        <v>1522</v>
      </c>
      <c r="B4378" t="s">
        <v>1441</v>
      </c>
      <c r="C4378" t="s">
        <v>1442</v>
      </c>
      <c r="D4378" t="str">
        <f>HYPERLINK("http://service.sap.com/sap/support/notes/1656547","1656547")</f>
        <v>1656547</v>
      </c>
      <c r="E4378">
        <v>3</v>
      </c>
      <c r="F4378" t="s">
        <v>5859</v>
      </c>
    </row>
    <row r="4379" spans="1:6" x14ac:dyDescent="0.25">
      <c r="A4379" t="s">
        <v>1522</v>
      </c>
      <c r="B4379" t="s">
        <v>1441</v>
      </c>
      <c r="C4379" t="s">
        <v>1442</v>
      </c>
      <c r="D4379" t="str">
        <f>HYPERLINK("http://service.sap.com/sap/support/notes/1661495","1661495")</f>
        <v>1661495</v>
      </c>
      <c r="E4379">
        <v>3</v>
      </c>
      <c r="F4379" t="s">
        <v>5860</v>
      </c>
    </row>
    <row r="4380" spans="1:6" x14ac:dyDescent="0.25">
      <c r="A4380" t="s">
        <v>1522</v>
      </c>
      <c r="B4380" t="s">
        <v>1450</v>
      </c>
      <c r="C4380" t="s">
        <v>1451</v>
      </c>
      <c r="D4380" t="str">
        <f>HYPERLINK("http://service.sap.com/sap/support/notes/1610062","1610062")</f>
        <v>1610062</v>
      </c>
      <c r="E4380">
        <v>3</v>
      </c>
      <c r="F4380" t="s">
        <v>5861</v>
      </c>
    </row>
    <row r="4381" spans="1:6" x14ac:dyDescent="0.25">
      <c r="A4381" t="s">
        <v>1522</v>
      </c>
      <c r="B4381" t="s">
        <v>1450</v>
      </c>
      <c r="C4381" t="s">
        <v>1451</v>
      </c>
      <c r="D4381" t="str">
        <f>HYPERLINK("http://service.sap.com/sap/support/notes/1616197","1616197")</f>
        <v>1616197</v>
      </c>
      <c r="E4381">
        <v>3</v>
      </c>
      <c r="F4381" t="s">
        <v>5862</v>
      </c>
    </row>
    <row r="4382" spans="1:6" x14ac:dyDescent="0.25">
      <c r="A4382" t="s">
        <v>1522</v>
      </c>
      <c r="B4382" t="s">
        <v>1450</v>
      </c>
      <c r="C4382" t="s">
        <v>1451</v>
      </c>
      <c r="D4382" t="str">
        <f>HYPERLINK("http://service.sap.com/sap/support/notes/1616324","1616324")</f>
        <v>1616324</v>
      </c>
      <c r="E4382">
        <v>5</v>
      </c>
      <c r="F4382" t="s">
        <v>5863</v>
      </c>
    </row>
    <row r="4383" spans="1:6" x14ac:dyDescent="0.25">
      <c r="A4383" t="s">
        <v>1522</v>
      </c>
      <c r="B4383" t="s">
        <v>1450</v>
      </c>
      <c r="C4383" t="s">
        <v>1451</v>
      </c>
      <c r="D4383" t="str">
        <f>HYPERLINK("http://service.sap.com/sap/support/notes/1618184","1618184")</f>
        <v>1618184</v>
      </c>
      <c r="E4383">
        <v>3</v>
      </c>
      <c r="F4383" t="s">
        <v>5864</v>
      </c>
    </row>
    <row r="4384" spans="1:6" x14ac:dyDescent="0.25">
      <c r="A4384" t="s">
        <v>1522</v>
      </c>
      <c r="B4384" t="s">
        <v>1450</v>
      </c>
      <c r="C4384" t="s">
        <v>1451</v>
      </c>
      <c r="D4384" t="str">
        <f>HYPERLINK("http://service.sap.com/sap/support/notes/1620533","1620533")</f>
        <v>1620533</v>
      </c>
      <c r="E4384">
        <v>3</v>
      </c>
      <c r="F4384" t="s">
        <v>5865</v>
      </c>
    </row>
    <row r="4385" spans="1:6" x14ac:dyDescent="0.25">
      <c r="A4385" t="s">
        <v>1522</v>
      </c>
      <c r="B4385" t="s">
        <v>1450</v>
      </c>
      <c r="C4385" t="s">
        <v>1451</v>
      </c>
      <c r="D4385" t="str">
        <f>HYPERLINK("http://service.sap.com/sap/support/notes/1622719","1622719")</f>
        <v>1622719</v>
      </c>
      <c r="E4385">
        <v>2</v>
      </c>
      <c r="F4385" t="s">
        <v>5866</v>
      </c>
    </row>
    <row r="4386" spans="1:6" x14ac:dyDescent="0.25">
      <c r="A4386" t="s">
        <v>1522</v>
      </c>
      <c r="B4386" t="s">
        <v>1450</v>
      </c>
      <c r="C4386" t="s">
        <v>1451</v>
      </c>
      <c r="D4386" t="str">
        <f>HYPERLINK("http://service.sap.com/sap/support/notes/1624686","1624686")</f>
        <v>1624686</v>
      </c>
      <c r="E4386">
        <v>2</v>
      </c>
      <c r="F4386" t="s">
        <v>5867</v>
      </c>
    </row>
    <row r="4387" spans="1:6" x14ac:dyDescent="0.25">
      <c r="A4387" t="s">
        <v>1522</v>
      </c>
      <c r="B4387" t="s">
        <v>1450</v>
      </c>
      <c r="C4387" t="s">
        <v>1451</v>
      </c>
      <c r="D4387" t="str">
        <f>HYPERLINK("http://service.sap.com/sap/support/notes/1628004","1628004")</f>
        <v>1628004</v>
      </c>
      <c r="E4387">
        <v>2</v>
      </c>
      <c r="F4387" t="s">
        <v>5868</v>
      </c>
    </row>
    <row r="4388" spans="1:6" x14ac:dyDescent="0.25">
      <c r="A4388" t="s">
        <v>1522</v>
      </c>
      <c r="B4388" t="s">
        <v>1450</v>
      </c>
      <c r="C4388" t="s">
        <v>1451</v>
      </c>
      <c r="D4388" t="str">
        <f>HYPERLINK("http://service.sap.com/sap/support/notes/1628831","1628831")</f>
        <v>1628831</v>
      </c>
      <c r="E4388">
        <v>8</v>
      </c>
      <c r="F4388" t="s">
        <v>5869</v>
      </c>
    </row>
    <row r="4389" spans="1:6" x14ac:dyDescent="0.25">
      <c r="A4389" t="s">
        <v>1522</v>
      </c>
      <c r="B4389" t="s">
        <v>1450</v>
      </c>
      <c r="C4389" t="s">
        <v>1451</v>
      </c>
      <c r="D4389" t="str">
        <f>HYPERLINK("http://service.sap.com/sap/support/notes/1636018","1636018")</f>
        <v>1636018</v>
      </c>
      <c r="E4389">
        <v>3</v>
      </c>
      <c r="F4389" t="s">
        <v>5870</v>
      </c>
    </row>
    <row r="4390" spans="1:6" x14ac:dyDescent="0.25">
      <c r="A4390" t="s">
        <v>1522</v>
      </c>
      <c r="B4390" t="s">
        <v>1450</v>
      </c>
      <c r="C4390" t="s">
        <v>1451</v>
      </c>
      <c r="D4390" t="str">
        <f>HYPERLINK("http://service.sap.com/sap/support/notes/1638974","1638974")</f>
        <v>1638974</v>
      </c>
      <c r="E4390">
        <v>4</v>
      </c>
      <c r="F4390" t="s">
        <v>5871</v>
      </c>
    </row>
    <row r="4391" spans="1:6" x14ac:dyDescent="0.25">
      <c r="A4391" t="s">
        <v>1522</v>
      </c>
      <c r="B4391" t="s">
        <v>1450</v>
      </c>
      <c r="C4391" t="s">
        <v>1451</v>
      </c>
      <c r="D4391" t="str">
        <f>HYPERLINK("http://service.sap.com/sap/support/notes/1640457","1640457")</f>
        <v>1640457</v>
      </c>
      <c r="E4391">
        <v>3</v>
      </c>
      <c r="F4391" t="s">
        <v>5872</v>
      </c>
    </row>
    <row r="4392" spans="1:6" x14ac:dyDescent="0.25">
      <c r="A4392" t="s">
        <v>1522</v>
      </c>
      <c r="B4392" t="s">
        <v>1450</v>
      </c>
      <c r="C4392" t="s">
        <v>1451</v>
      </c>
      <c r="D4392" t="str">
        <f>HYPERLINK("http://service.sap.com/sap/support/notes/1648285","1648285")</f>
        <v>1648285</v>
      </c>
      <c r="E4392">
        <v>4</v>
      </c>
      <c r="F4392" t="s">
        <v>5873</v>
      </c>
    </row>
    <row r="4393" spans="1:6" x14ac:dyDescent="0.25">
      <c r="A4393" t="s">
        <v>1522</v>
      </c>
      <c r="B4393" t="s">
        <v>1450</v>
      </c>
      <c r="C4393" t="s">
        <v>1451</v>
      </c>
      <c r="D4393" t="str">
        <f>HYPERLINK("http://service.sap.com/sap/support/notes/1648662","1648662")</f>
        <v>1648662</v>
      </c>
      <c r="E4393">
        <v>2</v>
      </c>
      <c r="F4393" t="s">
        <v>5874</v>
      </c>
    </row>
    <row r="4394" spans="1:6" x14ac:dyDescent="0.25">
      <c r="A4394" t="s">
        <v>1522</v>
      </c>
      <c r="B4394" t="s">
        <v>1450</v>
      </c>
      <c r="C4394" t="s">
        <v>1451</v>
      </c>
      <c r="D4394" t="str">
        <f>HYPERLINK("http://service.sap.com/sap/support/notes/1656519","1656519")</f>
        <v>1656519</v>
      </c>
      <c r="E4394">
        <v>2</v>
      </c>
      <c r="F4394" t="s">
        <v>5875</v>
      </c>
    </row>
    <row r="4395" spans="1:6" x14ac:dyDescent="0.25">
      <c r="A4395" t="s">
        <v>1522</v>
      </c>
      <c r="B4395" t="s">
        <v>1450</v>
      </c>
      <c r="C4395" t="s">
        <v>1451</v>
      </c>
      <c r="D4395" t="str">
        <f>HYPERLINK("http://service.sap.com/sap/support/notes/1659229","1659229")</f>
        <v>1659229</v>
      </c>
      <c r="E4395">
        <v>2</v>
      </c>
      <c r="F4395" t="s">
        <v>5876</v>
      </c>
    </row>
    <row r="4396" spans="1:6" x14ac:dyDescent="0.25">
      <c r="A4396" t="s">
        <v>1522</v>
      </c>
      <c r="B4396" t="s">
        <v>1450</v>
      </c>
      <c r="C4396" t="s">
        <v>1451</v>
      </c>
      <c r="D4396" t="str">
        <f>HYPERLINK("http://service.sap.com/sap/support/notes/1664992","1664992")</f>
        <v>1664992</v>
      </c>
      <c r="E4396">
        <v>3</v>
      </c>
      <c r="F4396" t="s">
        <v>5877</v>
      </c>
    </row>
    <row r="4397" spans="1:6" x14ac:dyDescent="0.25">
      <c r="A4397" t="s">
        <v>1522</v>
      </c>
      <c r="B4397" t="s">
        <v>5878</v>
      </c>
      <c r="C4397" t="s">
        <v>5879</v>
      </c>
      <c r="D4397" t="str">
        <f>HYPERLINK("http://service.sap.com/sap/support/notes/1635122","1635122")</f>
        <v>1635122</v>
      </c>
      <c r="E4397">
        <v>6</v>
      </c>
      <c r="F4397" t="s">
        <v>5880</v>
      </c>
    </row>
    <row r="4398" spans="1:6" x14ac:dyDescent="0.25">
      <c r="A4398" t="s">
        <v>1522</v>
      </c>
      <c r="B4398" t="s">
        <v>5878</v>
      </c>
      <c r="C4398" t="s">
        <v>5879</v>
      </c>
      <c r="D4398" t="str">
        <f>HYPERLINK("http://service.sap.com/sap/support/notes/1635442","1635442")</f>
        <v>1635442</v>
      </c>
      <c r="E4398">
        <v>1</v>
      </c>
      <c r="F4398" t="s">
        <v>5881</v>
      </c>
    </row>
    <row r="4399" spans="1:6" x14ac:dyDescent="0.25">
      <c r="A4399" t="s">
        <v>1522</v>
      </c>
      <c r="B4399" t="s">
        <v>1458</v>
      </c>
      <c r="C4399" t="s">
        <v>1459</v>
      </c>
    </row>
    <row r="4400" spans="1:6" x14ac:dyDescent="0.25">
      <c r="A4400" t="s">
        <v>1522</v>
      </c>
      <c r="B4400" t="s">
        <v>5882</v>
      </c>
      <c r="C4400" t="s">
        <v>141</v>
      </c>
      <c r="D4400" t="str">
        <f>HYPERLINK("http://service.sap.com/sap/support/notes/1089773","1089773")</f>
        <v>1089773</v>
      </c>
      <c r="E4400">
        <v>1</v>
      </c>
      <c r="F4400" t="s">
        <v>5883</v>
      </c>
    </row>
    <row r="4401" spans="1:6" x14ac:dyDescent="0.25">
      <c r="A4401" t="s">
        <v>1522</v>
      </c>
      <c r="B4401" t="s">
        <v>5882</v>
      </c>
      <c r="C4401" t="s">
        <v>141</v>
      </c>
      <c r="D4401" t="str">
        <f>HYPERLINK("http://service.sap.com/sap/support/notes/1382307","1382307")</f>
        <v>1382307</v>
      </c>
      <c r="E4401">
        <v>1</v>
      </c>
      <c r="F4401" t="s">
        <v>5884</v>
      </c>
    </row>
    <row r="4402" spans="1:6" x14ac:dyDescent="0.25">
      <c r="A4402" t="s">
        <v>1522</v>
      </c>
      <c r="B4402" t="s">
        <v>5885</v>
      </c>
      <c r="C4402" t="s">
        <v>5886</v>
      </c>
      <c r="D4402" t="str">
        <f>HYPERLINK("http://service.sap.com/sap/support/notes/1619469","1619469")</f>
        <v>1619469</v>
      </c>
      <c r="E4402">
        <v>2</v>
      </c>
      <c r="F4402" t="s">
        <v>5887</v>
      </c>
    </row>
    <row r="4403" spans="1:6" x14ac:dyDescent="0.25">
      <c r="A4403" t="s">
        <v>1522</v>
      </c>
      <c r="B4403" t="s">
        <v>5885</v>
      </c>
      <c r="C4403" t="s">
        <v>5886</v>
      </c>
      <c r="D4403" t="str">
        <f>HYPERLINK("http://service.sap.com/sap/support/notes/1632396","1632396")</f>
        <v>1632396</v>
      </c>
      <c r="E4403">
        <v>4</v>
      </c>
      <c r="F4403" t="s">
        <v>5888</v>
      </c>
    </row>
    <row r="4404" spans="1:6" x14ac:dyDescent="0.25">
      <c r="A4404" t="s">
        <v>1522</v>
      </c>
      <c r="B4404" t="s">
        <v>5885</v>
      </c>
      <c r="C4404" t="s">
        <v>5886</v>
      </c>
      <c r="D4404" t="str">
        <f>HYPERLINK("http://service.sap.com/sap/support/notes/1632542","1632542")</f>
        <v>1632542</v>
      </c>
      <c r="E4404">
        <v>3</v>
      </c>
      <c r="F4404" t="s">
        <v>5889</v>
      </c>
    </row>
    <row r="4405" spans="1:6" x14ac:dyDescent="0.25">
      <c r="A4405" t="s">
        <v>1522</v>
      </c>
      <c r="B4405" t="s">
        <v>1463</v>
      </c>
      <c r="C4405" t="s">
        <v>1464</v>
      </c>
      <c r="D4405" t="str">
        <f>HYPERLINK("http://service.sap.com/sap/support/notes/1627030","1627030")</f>
        <v>1627030</v>
      </c>
      <c r="E4405">
        <v>1</v>
      </c>
      <c r="F4405" t="s">
        <v>5890</v>
      </c>
    </row>
    <row r="4406" spans="1:6" x14ac:dyDescent="0.25">
      <c r="A4406" t="s">
        <v>1522</v>
      </c>
      <c r="B4406" t="s">
        <v>1463</v>
      </c>
      <c r="C4406" t="s">
        <v>1464</v>
      </c>
      <c r="D4406" t="str">
        <f>HYPERLINK("http://service.sap.com/sap/support/notes/1639134","1639134")</f>
        <v>1639134</v>
      </c>
      <c r="E4406">
        <v>1</v>
      </c>
      <c r="F4406" t="s">
        <v>5891</v>
      </c>
    </row>
    <row r="4407" spans="1:6" x14ac:dyDescent="0.25">
      <c r="A4407" t="s">
        <v>1522</v>
      </c>
      <c r="B4407" t="s">
        <v>1463</v>
      </c>
      <c r="C4407" t="s">
        <v>1464</v>
      </c>
      <c r="D4407" t="str">
        <f>HYPERLINK("http://service.sap.com/sap/support/notes/1640645","1640645")</f>
        <v>1640645</v>
      </c>
      <c r="E4407">
        <v>1</v>
      </c>
      <c r="F4407" t="s">
        <v>5892</v>
      </c>
    </row>
    <row r="4408" spans="1:6" x14ac:dyDescent="0.25">
      <c r="A4408" t="s">
        <v>1522</v>
      </c>
      <c r="B4408" t="s">
        <v>1463</v>
      </c>
      <c r="C4408" t="s">
        <v>1464</v>
      </c>
      <c r="D4408" t="str">
        <f>HYPERLINK("http://service.sap.com/sap/support/notes/1641262","1641262")</f>
        <v>1641262</v>
      </c>
      <c r="E4408">
        <v>2</v>
      </c>
      <c r="F4408" t="s">
        <v>5893</v>
      </c>
    </row>
    <row r="4409" spans="1:6" x14ac:dyDescent="0.25">
      <c r="A4409" t="s">
        <v>1522</v>
      </c>
      <c r="B4409" t="s">
        <v>1463</v>
      </c>
      <c r="C4409" t="s">
        <v>1464</v>
      </c>
      <c r="D4409" t="str">
        <f>HYPERLINK("http://service.sap.com/sap/support/notes/1645118","1645118")</f>
        <v>1645118</v>
      </c>
      <c r="E4409">
        <v>1</v>
      </c>
      <c r="F4409" t="s">
        <v>5894</v>
      </c>
    </row>
    <row r="4410" spans="1:6" x14ac:dyDescent="0.25">
      <c r="A4410" t="s">
        <v>1522</v>
      </c>
      <c r="B4410" t="s">
        <v>1463</v>
      </c>
      <c r="C4410" t="s">
        <v>1464</v>
      </c>
      <c r="D4410" t="str">
        <f>HYPERLINK("http://service.sap.com/sap/support/notes/1649876","1649876")</f>
        <v>1649876</v>
      </c>
      <c r="E4410">
        <v>1</v>
      </c>
      <c r="F4410" t="s">
        <v>5895</v>
      </c>
    </row>
    <row r="4411" spans="1:6" x14ac:dyDescent="0.25">
      <c r="A4411" t="s">
        <v>1522</v>
      </c>
      <c r="B4411" t="s">
        <v>1463</v>
      </c>
      <c r="C4411" t="s">
        <v>1464</v>
      </c>
      <c r="D4411" t="str">
        <f>HYPERLINK("http://service.sap.com/sap/support/notes/1666486","1666486")</f>
        <v>1666486</v>
      </c>
      <c r="E4411">
        <v>1</v>
      </c>
      <c r="F4411" t="s">
        <v>5896</v>
      </c>
    </row>
    <row r="4412" spans="1:6" x14ac:dyDescent="0.25">
      <c r="A4412" t="s">
        <v>1522</v>
      </c>
      <c r="B4412" t="s">
        <v>5897</v>
      </c>
      <c r="C4412" t="s">
        <v>5898</v>
      </c>
    </row>
    <row r="4413" spans="1:6" x14ac:dyDescent="0.25">
      <c r="A4413" t="s">
        <v>1522</v>
      </c>
      <c r="B4413" t="s">
        <v>5899</v>
      </c>
      <c r="C4413" t="s">
        <v>132</v>
      </c>
      <c r="D4413" t="str">
        <f>HYPERLINK("http://service.sap.com/sap/support/notes/1671500","1671500")</f>
        <v>1671500</v>
      </c>
      <c r="E4413">
        <v>2</v>
      </c>
      <c r="F4413" t="s">
        <v>5900</v>
      </c>
    </row>
    <row r="4414" spans="1:6" x14ac:dyDescent="0.25">
      <c r="A4414" t="s">
        <v>1522</v>
      </c>
      <c r="B4414" t="s">
        <v>1467</v>
      </c>
      <c r="C4414" t="s">
        <v>1468</v>
      </c>
      <c r="D4414" t="str">
        <f>HYPERLINK("http://service.sap.com/sap/support/notes/1564545","1564545")</f>
        <v>1564545</v>
      </c>
      <c r="E4414">
        <v>4</v>
      </c>
      <c r="F4414" t="s">
        <v>1469</v>
      </c>
    </row>
    <row r="4415" spans="1:6" x14ac:dyDescent="0.25">
      <c r="A4415" t="s">
        <v>1522</v>
      </c>
      <c r="B4415" t="s">
        <v>1467</v>
      </c>
      <c r="C4415" t="s">
        <v>1468</v>
      </c>
      <c r="D4415" t="str">
        <f>HYPERLINK("http://service.sap.com/sap/support/notes/1592686","1592686")</f>
        <v>1592686</v>
      </c>
      <c r="E4415">
        <v>2</v>
      </c>
      <c r="F4415" t="s">
        <v>5901</v>
      </c>
    </row>
    <row r="4416" spans="1:6" x14ac:dyDescent="0.25">
      <c r="A4416" t="s">
        <v>1522</v>
      </c>
      <c r="B4416" t="s">
        <v>1467</v>
      </c>
      <c r="C4416" t="s">
        <v>1468</v>
      </c>
      <c r="D4416" t="str">
        <f>HYPERLINK("http://service.sap.com/sap/support/notes/1609085","1609085")</f>
        <v>1609085</v>
      </c>
      <c r="E4416">
        <v>1</v>
      </c>
      <c r="F4416" t="s">
        <v>5902</v>
      </c>
    </row>
    <row r="4417" spans="1:6" x14ac:dyDescent="0.25">
      <c r="A4417" t="s">
        <v>1522</v>
      </c>
      <c r="B4417" t="s">
        <v>1467</v>
      </c>
      <c r="C4417" t="s">
        <v>1468</v>
      </c>
      <c r="D4417" t="str">
        <f>HYPERLINK("http://service.sap.com/sap/support/notes/1630247","1630247")</f>
        <v>1630247</v>
      </c>
      <c r="E4417">
        <v>1</v>
      </c>
      <c r="F4417" t="s">
        <v>5903</v>
      </c>
    </row>
    <row r="4418" spans="1:6" x14ac:dyDescent="0.25">
      <c r="A4418" t="s">
        <v>1522</v>
      </c>
      <c r="B4418" t="s">
        <v>1467</v>
      </c>
      <c r="C4418" t="s">
        <v>1468</v>
      </c>
      <c r="D4418" t="str">
        <f>HYPERLINK("http://service.sap.com/sap/support/notes/1658128","1658128")</f>
        <v>1658128</v>
      </c>
      <c r="E4418">
        <v>2</v>
      </c>
      <c r="F4418" t="s">
        <v>5904</v>
      </c>
    </row>
    <row r="4419" spans="1:6" x14ac:dyDescent="0.25">
      <c r="A4419" t="s">
        <v>1522</v>
      </c>
      <c r="B4419" t="s">
        <v>5905</v>
      </c>
      <c r="C4419" t="s">
        <v>5906</v>
      </c>
      <c r="D4419" t="str">
        <f>HYPERLINK("http://service.sap.com/sap/support/notes/1636179","1636179")</f>
        <v>1636179</v>
      </c>
      <c r="E4419">
        <v>1</v>
      </c>
      <c r="F4419" t="s">
        <v>5770</v>
      </c>
    </row>
    <row r="4420" spans="1:6" x14ac:dyDescent="0.25">
      <c r="A4420" t="s">
        <v>1522</v>
      </c>
      <c r="B4420" t="s">
        <v>5905</v>
      </c>
      <c r="C4420" t="s">
        <v>5906</v>
      </c>
      <c r="D4420" t="str">
        <f>HYPERLINK("http://service.sap.com/sap/support/notes/1640402","1640402")</f>
        <v>1640402</v>
      </c>
      <c r="E4420">
        <v>2</v>
      </c>
      <c r="F4420" t="s">
        <v>5907</v>
      </c>
    </row>
    <row r="4421" spans="1:6" x14ac:dyDescent="0.25">
      <c r="A4421" t="s">
        <v>1522</v>
      </c>
      <c r="B4421" t="s">
        <v>5905</v>
      </c>
      <c r="C4421" t="s">
        <v>5906</v>
      </c>
      <c r="D4421" t="str">
        <f>HYPERLINK("http://service.sap.com/sap/support/notes/1653651","1653651")</f>
        <v>1653651</v>
      </c>
      <c r="E4421">
        <v>1</v>
      </c>
      <c r="F4421" t="s">
        <v>5908</v>
      </c>
    </row>
    <row r="4422" spans="1:6" x14ac:dyDescent="0.25">
      <c r="A4422" t="s">
        <v>1522</v>
      </c>
      <c r="B4422" t="s">
        <v>5905</v>
      </c>
      <c r="C4422" t="s">
        <v>5906</v>
      </c>
      <c r="D4422" t="str">
        <f>HYPERLINK("http://service.sap.com/sap/support/notes/1654175","1654175")</f>
        <v>1654175</v>
      </c>
      <c r="E4422">
        <v>2</v>
      </c>
      <c r="F4422" t="s">
        <v>5909</v>
      </c>
    </row>
    <row r="4423" spans="1:6" x14ac:dyDescent="0.25">
      <c r="A4423" t="s">
        <v>1522</v>
      </c>
      <c r="B4423" t="s">
        <v>5905</v>
      </c>
      <c r="C4423" t="s">
        <v>5906</v>
      </c>
      <c r="D4423" t="str">
        <f>HYPERLINK("http://service.sap.com/sap/support/notes/1656087","1656087")</f>
        <v>1656087</v>
      </c>
      <c r="E4423">
        <v>1</v>
      </c>
      <c r="F4423" t="s">
        <v>5910</v>
      </c>
    </row>
    <row r="4424" spans="1:6" x14ac:dyDescent="0.25">
      <c r="A4424" t="s">
        <v>1522</v>
      </c>
      <c r="B4424" t="s">
        <v>5905</v>
      </c>
      <c r="C4424" t="s">
        <v>5906</v>
      </c>
      <c r="D4424" t="str">
        <f>HYPERLINK("http://service.sap.com/sap/support/notes/1660914","1660914")</f>
        <v>1660914</v>
      </c>
      <c r="E4424">
        <v>3</v>
      </c>
      <c r="F4424" t="s">
        <v>5911</v>
      </c>
    </row>
    <row r="4425" spans="1:6" x14ac:dyDescent="0.25">
      <c r="A4425" t="s">
        <v>1522</v>
      </c>
      <c r="B4425" t="s">
        <v>5905</v>
      </c>
      <c r="C4425" t="s">
        <v>5906</v>
      </c>
      <c r="D4425" t="str">
        <f>HYPERLINK("http://service.sap.com/sap/support/notes/1666619","1666619")</f>
        <v>1666619</v>
      </c>
      <c r="E4425">
        <v>1</v>
      </c>
      <c r="F4425" t="s">
        <v>5912</v>
      </c>
    </row>
    <row r="4426" spans="1:6" x14ac:dyDescent="0.25">
      <c r="A4426" t="s">
        <v>1522</v>
      </c>
      <c r="B4426" t="s">
        <v>5913</v>
      </c>
      <c r="C4426" t="s">
        <v>5914</v>
      </c>
      <c r="D4426" t="str">
        <f>HYPERLINK("http://service.sap.com/sap/support/notes/1575306","1575306")</f>
        <v>1575306</v>
      </c>
      <c r="E4426">
        <v>2</v>
      </c>
      <c r="F4426" t="s">
        <v>5915</v>
      </c>
    </row>
    <row r="4427" spans="1:6" x14ac:dyDescent="0.25">
      <c r="A4427" t="s">
        <v>1522</v>
      </c>
      <c r="B4427" t="s">
        <v>5913</v>
      </c>
      <c r="C4427" t="s">
        <v>5914</v>
      </c>
      <c r="D4427" t="str">
        <f>HYPERLINK("http://service.sap.com/sap/support/notes/1659189","1659189")</f>
        <v>1659189</v>
      </c>
      <c r="E4427">
        <v>2</v>
      </c>
      <c r="F4427" t="s">
        <v>5916</v>
      </c>
    </row>
    <row r="4428" spans="1:6" x14ac:dyDescent="0.25">
      <c r="A4428" t="s">
        <v>1522</v>
      </c>
      <c r="B4428" t="s">
        <v>1471</v>
      </c>
      <c r="C4428" t="s">
        <v>1472</v>
      </c>
    </row>
    <row r="4429" spans="1:6" x14ac:dyDescent="0.25">
      <c r="A4429" t="s">
        <v>1522</v>
      </c>
      <c r="B4429" t="s">
        <v>5917</v>
      </c>
      <c r="C4429" t="s">
        <v>132</v>
      </c>
      <c r="D4429" t="str">
        <f>HYPERLINK("http://service.sap.com/sap/support/notes/1467330","1467330")</f>
        <v>1467330</v>
      </c>
      <c r="E4429">
        <v>4</v>
      </c>
      <c r="F4429" t="s">
        <v>5918</v>
      </c>
    </row>
    <row r="4430" spans="1:6" x14ac:dyDescent="0.25">
      <c r="A4430" t="s">
        <v>1522</v>
      </c>
      <c r="B4430" t="s">
        <v>5917</v>
      </c>
      <c r="C4430" t="s">
        <v>132</v>
      </c>
      <c r="D4430" t="str">
        <f>HYPERLINK("http://service.sap.com/sap/support/notes/1648259","1648259")</f>
        <v>1648259</v>
      </c>
      <c r="E4430">
        <v>1</v>
      </c>
      <c r="F4430" t="s">
        <v>5919</v>
      </c>
    </row>
    <row r="4431" spans="1:6" x14ac:dyDescent="0.25">
      <c r="A4431" t="s">
        <v>1522</v>
      </c>
      <c r="B4431" t="s">
        <v>5917</v>
      </c>
      <c r="C4431" t="s">
        <v>132</v>
      </c>
      <c r="D4431" t="str">
        <f>HYPERLINK("http://service.sap.com/sap/support/notes/1658370","1658370")</f>
        <v>1658370</v>
      </c>
      <c r="E4431">
        <v>1</v>
      </c>
      <c r="F4431" t="s">
        <v>5920</v>
      </c>
    </row>
    <row r="4432" spans="1:6" x14ac:dyDescent="0.25">
      <c r="A4432" t="s">
        <v>1522</v>
      </c>
      <c r="B4432" t="s">
        <v>1473</v>
      </c>
      <c r="C4432" t="s">
        <v>1373</v>
      </c>
      <c r="D4432" t="str">
        <f>HYPERLINK("http://service.sap.com/sap/support/notes/1587818","1587818")</f>
        <v>1587818</v>
      </c>
      <c r="E4432">
        <v>1</v>
      </c>
      <c r="F4432" t="s">
        <v>5921</v>
      </c>
    </row>
    <row r="4433" spans="1:6" x14ac:dyDescent="0.25">
      <c r="A4433" t="s">
        <v>1522</v>
      </c>
      <c r="B4433" t="s">
        <v>1473</v>
      </c>
      <c r="C4433" t="s">
        <v>1373</v>
      </c>
      <c r="D4433" t="str">
        <f>HYPERLINK("http://service.sap.com/sap/support/notes/1611743","1611743")</f>
        <v>1611743</v>
      </c>
      <c r="E4433">
        <v>5</v>
      </c>
      <c r="F4433" t="s">
        <v>5922</v>
      </c>
    </row>
    <row r="4434" spans="1:6" x14ac:dyDescent="0.25">
      <c r="A4434" t="s">
        <v>1522</v>
      </c>
      <c r="B4434" t="s">
        <v>1473</v>
      </c>
      <c r="C4434" t="s">
        <v>1373</v>
      </c>
      <c r="D4434" t="str">
        <f>HYPERLINK("http://service.sap.com/sap/support/notes/1629758","1629758")</f>
        <v>1629758</v>
      </c>
      <c r="E4434">
        <v>1</v>
      </c>
      <c r="F4434" t="s">
        <v>5923</v>
      </c>
    </row>
    <row r="4435" spans="1:6" x14ac:dyDescent="0.25">
      <c r="A4435" t="s">
        <v>1522</v>
      </c>
      <c r="B4435" t="s">
        <v>1473</v>
      </c>
      <c r="C4435" t="s">
        <v>1373</v>
      </c>
      <c r="D4435" t="str">
        <f>HYPERLINK("http://service.sap.com/sap/support/notes/1638966","1638966")</f>
        <v>1638966</v>
      </c>
      <c r="E4435">
        <v>2</v>
      </c>
      <c r="F4435" t="s">
        <v>5924</v>
      </c>
    </row>
    <row r="4436" spans="1:6" x14ac:dyDescent="0.25">
      <c r="A4436" t="s">
        <v>1522</v>
      </c>
      <c r="B4436" t="s">
        <v>1473</v>
      </c>
      <c r="C4436" t="s">
        <v>1373</v>
      </c>
      <c r="D4436" t="str">
        <f>HYPERLINK("http://service.sap.com/sap/support/notes/1664208","1664208")</f>
        <v>1664208</v>
      </c>
      <c r="E4436">
        <v>1</v>
      </c>
      <c r="F4436" t="s">
        <v>5925</v>
      </c>
    </row>
    <row r="4437" spans="1:6" x14ac:dyDescent="0.25">
      <c r="A4437" t="s">
        <v>1522</v>
      </c>
      <c r="B4437" t="s">
        <v>1475</v>
      </c>
      <c r="C4437" t="s">
        <v>1476</v>
      </c>
      <c r="D4437" t="str">
        <f>HYPERLINK("http://service.sap.com/sap/support/notes/1586881","1586881")</f>
        <v>1586881</v>
      </c>
      <c r="E4437">
        <v>6</v>
      </c>
      <c r="F4437" t="s">
        <v>5926</v>
      </c>
    </row>
    <row r="4438" spans="1:6" x14ac:dyDescent="0.25">
      <c r="A4438" t="s">
        <v>1522</v>
      </c>
      <c r="B4438" t="s">
        <v>1475</v>
      </c>
      <c r="C4438" t="s">
        <v>1476</v>
      </c>
      <c r="D4438" t="str">
        <f>HYPERLINK("http://service.sap.com/sap/support/notes/1600931","1600931")</f>
        <v>1600931</v>
      </c>
      <c r="E4438">
        <v>2</v>
      </c>
      <c r="F4438" t="s">
        <v>5927</v>
      </c>
    </row>
    <row r="4439" spans="1:6" x14ac:dyDescent="0.25">
      <c r="A4439" t="s">
        <v>1522</v>
      </c>
      <c r="B4439" t="s">
        <v>1475</v>
      </c>
      <c r="C4439" t="s">
        <v>1476</v>
      </c>
      <c r="D4439" t="str">
        <f>HYPERLINK("http://service.sap.com/sap/support/notes/1607878","1607878")</f>
        <v>1607878</v>
      </c>
      <c r="E4439">
        <v>3</v>
      </c>
      <c r="F4439" t="s">
        <v>5928</v>
      </c>
    </row>
    <row r="4440" spans="1:6" x14ac:dyDescent="0.25">
      <c r="A4440" t="s">
        <v>1522</v>
      </c>
      <c r="B4440" t="s">
        <v>1475</v>
      </c>
      <c r="C4440" t="s">
        <v>1476</v>
      </c>
      <c r="D4440" t="str">
        <f>HYPERLINK("http://service.sap.com/sap/support/notes/1623174","1623174")</f>
        <v>1623174</v>
      </c>
      <c r="E4440">
        <v>5</v>
      </c>
      <c r="F4440" t="s">
        <v>5929</v>
      </c>
    </row>
    <row r="4441" spans="1:6" x14ac:dyDescent="0.25">
      <c r="A4441" t="s">
        <v>1522</v>
      </c>
      <c r="B4441" t="s">
        <v>1475</v>
      </c>
      <c r="C4441" t="s">
        <v>1476</v>
      </c>
      <c r="D4441" t="str">
        <f>HYPERLINK("http://service.sap.com/sap/support/notes/1631775","1631775")</f>
        <v>1631775</v>
      </c>
      <c r="E4441">
        <v>5</v>
      </c>
      <c r="F4441" t="s">
        <v>5930</v>
      </c>
    </row>
    <row r="4442" spans="1:6" x14ac:dyDescent="0.25">
      <c r="A4442" t="s">
        <v>1522</v>
      </c>
      <c r="B4442" t="s">
        <v>1475</v>
      </c>
      <c r="C4442" t="s">
        <v>1476</v>
      </c>
      <c r="D4442" t="str">
        <f>HYPERLINK("http://service.sap.com/sap/support/notes/1662042","1662042")</f>
        <v>1662042</v>
      </c>
      <c r="E4442">
        <v>3</v>
      </c>
      <c r="F4442" t="s">
        <v>5931</v>
      </c>
    </row>
    <row r="4443" spans="1:6" x14ac:dyDescent="0.25">
      <c r="A4443" t="s">
        <v>1522</v>
      </c>
      <c r="B4443" t="s">
        <v>1478</v>
      </c>
      <c r="C4443" t="s">
        <v>134</v>
      </c>
      <c r="D4443" t="str">
        <f>HYPERLINK("http://service.sap.com/sap/support/notes/1619121","1619121")</f>
        <v>1619121</v>
      </c>
      <c r="E4443">
        <v>2</v>
      </c>
      <c r="F4443" t="s">
        <v>5932</v>
      </c>
    </row>
    <row r="4444" spans="1:6" x14ac:dyDescent="0.25">
      <c r="A4444" t="s">
        <v>1522</v>
      </c>
      <c r="B4444" t="s">
        <v>1478</v>
      </c>
      <c r="C4444" t="s">
        <v>134</v>
      </c>
      <c r="D4444" t="str">
        <f>HYPERLINK("http://service.sap.com/sap/support/notes/1619839","1619839")</f>
        <v>1619839</v>
      </c>
      <c r="E4444">
        <v>4</v>
      </c>
      <c r="F4444" t="s">
        <v>5933</v>
      </c>
    </row>
    <row r="4445" spans="1:6" x14ac:dyDescent="0.25">
      <c r="A4445" t="s">
        <v>1522</v>
      </c>
      <c r="B4445" t="s">
        <v>1478</v>
      </c>
      <c r="C4445" t="s">
        <v>134</v>
      </c>
      <c r="D4445" t="str">
        <f>HYPERLINK("http://service.sap.com/sap/support/notes/1623499","1623499")</f>
        <v>1623499</v>
      </c>
      <c r="E4445">
        <v>2</v>
      </c>
      <c r="F4445" t="s">
        <v>5934</v>
      </c>
    </row>
    <row r="4446" spans="1:6" x14ac:dyDescent="0.25">
      <c r="A4446" t="s">
        <v>1522</v>
      </c>
      <c r="B4446" t="s">
        <v>1478</v>
      </c>
      <c r="C4446" t="s">
        <v>134</v>
      </c>
      <c r="D4446" t="str">
        <f>HYPERLINK("http://service.sap.com/sap/support/notes/1627531","1627531")</f>
        <v>1627531</v>
      </c>
      <c r="E4446">
        <v>3</v>
      </c>
      <c r="F4446" t="s">
        <v>5935</v>
      </c>
    </row>
    <row r="4447" spans="1:6" x14ac:dyDescent="0.25">
      <c r="A4447" t="s">
        <v>1522</v>
      </c>
      <c r="B4447" t="s">
        <v>1478</v>
      </c>
      <c r="C4447" t="s">
        <v>134</v>
      </c>
      <c r="D4447" t="str">
        <f>HYPERLINK("http://service.sap.com/sap/support/notes/1631012","1631012")</f>
        <v>1631012</v>
      </c>
      <c r="E4447">
        <v>11</v>
      </c>
      <c r="F4447" t="s">
        <v>5936</v>
      </c>
    </row>
    <row r="4448" spans="1:6" x14ac:dyDescent="0.25">
      <c r="A4448" t="s">
        <v>1522</v>
      </c>
      <c r="B4448" t="s">
        <v>1478</v>
      </c>
      <c r="C4448" t="s">
        <v>134</v>
      </c>
      <c r="D4448" t="str">
        <f>HYPERLINK("http://service.sap.com/sap/support/notes/1636657","1636657")</f>
        <v>1636657</v>
      </c>
      <c r="E4448">
        <v>1</v>
      </c>
      <c r="F4448" t="s">
        <v>5937</v>
      </c>
    </row>
    <row r="4449" spans="1:6" x14ac:dyDescent="0.25">
      <c r="A4449" t="s">
        <v>1522</v>
      </c>
      <c r="B4449" t="s">
        <v>1478</v>
      </c>
      <c r="C4449" t="s">
        <v>134</v>
      </c>
      <c r="D4449" t="str">
        <f>HYPERLINK("http://service.sap.com/sap/support/notes/1637739","1637739")</f>
        <v>1637739</v>
      </c>
      <c r="E4449">
        <v>1</v>
      </c>
      <c r="F4449" t="s">
        <v>5938</v>
      </c>
    </row>
    <row r="4450" spans="1:6" x14ac:dyDescent="0.25">
      <c r="A4450" t="s">
        <v>1522</v>
      </c>
      <c r="B4450" t="s">
        <v>1478</v>
      </c>
      <c r="C4450" t="s">
        <v>134</v>
      </c>
      <c r="D4450" t="str">
        <f>HYPERLINK("http://service.sap.com/sap/support/notes/1637943","1637943")</f>
        <v>1637943</v>
      </c>
      <c r="E4450">
        <v>1</v>
      </c>
      <c r="F4450" t="s">
        <v>5939</v>
      </c>
    </row>
    <row r="4451" spans="1:6" x14ac:dyDescent="0.25">
      <c r="A4451" t="s">
        <v>1522</v>
      </c>
      <c r="B4451" t="s">
        <v>1478</v>
      </c>
      <c r="C4451" t="s">
        <v>134</v>
      </c>
      <c r="D4451" t="str">
        <f>HYPERLINK("http://service.sap.com/sap/support/notes/1638235","1638235")</f>
        <v>1638235</v>
      </c>
      <c r="E4451">
        <v>2</v>
      </c>
      <c r="F4451" t="s">
        <v>5940</v>
      </c>
    </row>
    <row r="4452" spans="1:6" x14ac:dyDescent="0.25">
      <c r="A4452" t="s">
        <v>1522</v>
      </c>
      <c r="B4452" t="s">
        <v>1478</v>
      </c>
      <c r="C4452" t="s">
        <v>134</v>
      </c>
      <c r="D4452" t="str">
        <f>HYPERLINK("http://service.sap.com/sap/support/notes/1650717","1650717")</f>
        <v>1650717</v>
      </c>
      <c r="E4452">
        <v>5</v>
      </c>
      <c r="F4452" t="s">
        <v>5941</v>
      </c>
    </row>
    <row r="4453" spans="1:6" x14ac:dyDescent="0.25">
      <c r="A4453" t="s">
        <v>1522</v>
      </c>
      <c r="B4453" t="s">
        <v>1478</v>
      </c>
      <c r="C4453" t="s">
        <v>134</v>
      </c>
      <c r="D4453" t="str">
        <f>HYPERLINK("http://service.sap.com/sap/support/notes/1659722","1659722")</f>
        <v>1659722</v>
      </c>
      <c r="E4453">
        <v>3</v>
      </c>
      <c r="F4453" t="s">
        <v>5942</v>
      </c>
    </row>
    <row r="4454" spans="1:6" x14ac:dyDescent="0.25">
      <c r="A4454" t="s">
        <v>1522</v>
      </c>
      <c r="B4454" t="s">
        <v>1478</v>
      </c>
      <c r="C4454" t="s">
        <v>134</v>
      </c>
      <c r="D4454" t="str">
        <f>HYPERLINK("http://service.sap.com/sap/support/notes/1659727","1659727")</f>
        <v>1659727</v>
      </c>
      <c r="E4454">
        <v>4</v>
      </c>
      <c r="F4454" t="s">
        <v>5943</v>
      </c>
    </row>
    <row r="4455" spans="1:6" x14ac:dyDescent="0.25">
      <c r="A4455" t="s">
        <v>1522</v>
      </c>
      <c r="B4455" t="s">
        <v>1478</v>
      </c>
      <c r="C4455" t="s">
        <v>134</v>
      </c>
      <c r="D4455" t="str">
        <f>HYPERLINK("http://service.sap.com/sap/support/notes/1661304","1661304")</f>
        <v>1661304</v>
      </c>
      <c r="E4455">
        <v>1</v>
      </c>
      <c r="F4455" t="s">
        <v>5944</v>
      </c>
    </row>
    <row r="4456" spans="1:6" x14ac:dyDescent="0.25">
      <c r="A4456" t="s">
        <v>1522</v>
      </c>
      <c r="B4456" t="s">
        <v>1478</v>
      </c>
      <c r="C4456" t="s">
        <v>134</v>
      </c>
      <c r="D4456" t="str">
        <f>HYPERLINK("http://service.sap.com/sap/support/notes/1665638","1665638")</f>
        <v>1665638</v>
      </c>
      <c r="E4456">
        <v>2</v>
      </c>
      <c r="F4456" t="s">
        <v>5945</v>
      </c>
    </row>
    <row r="4457" spans="1:6" x14ac:dyDescent="0.25">
      <c r="A4457" t="s">
        <v>1522</v>
      </c>
      <c r="B4457" t="s">
        <v>1478</v>
      </c>
      <c r="C4457" t="s">
        <v>134</v>
      </c>
      <c r="D4457" t="str">
        <f>HYPERLINK("http://service.sap.com/sap/support/notes/1669566","1669566")</f>
        <v>1669566</v>
      </c>
      <c r="E4457">
        <v>4</v>
      </c>
      <c r="F4457" t="s">
        <v>5946</v>
      </c>
    </row>
    <row r="4458" spans="1:6" x14ac:dyDescent="0.25">
      <c r="A4458" t="s">
        <v>1522</v>
      </c>
      <c r="B4458" t="s">
        <v>1478</v>
      </c>
      <c r="C4458" t="s">
        <v>134</v>
      </c>
      <c r="D4458" t="str">
        <f>HYPERLINK("http://service.sap.com/sap/support/notes/1671508","1671508")</f>
        <v>1671508</v>
      </c>
      <c r="E4458">
        <v>1</v>
      </c>
      <c r="F4458" t="s">
        <v>5947</v>
      </c>
    </row>
    <row r="4459" spans="1:6" x14ac:dyDescent="0.25">
      <c r="A4459" t="s">
        <v>1522</v>
      </c>
      <c r="B4459" t="s">
        <v>1484</v>
      </c>
      <c r="C4459" t="s">
        <v>1485</v>
      </c>
      <c r="D4459" t="str">
        <f>HYPERLINK("http://service.sap.com/sap/support/notes/1630167","1630167")</f>
        <v>1630167</v>
      </c>
      <c r="E4459">
        <v>1</v>
      </c>
      <c r="F4459" t="s">
        <v>5948</v>
      </c>
    </row>
    <row r="4460" spans="1:6" x14ac:dyDescent="0.25">
      <c r="A4460" t="s">
        <v>1522</v>
      </c>
      <c r="B4460" t="s">
        <v>1484</v>
      </c>
      <c r="C4460" t="s">
        <v>1485</v>
      </c>
      <c r="D4460" t="str">
        <f>HYPERLINK("http://service.sap.com/sap/support/notes/1665610","1665610")</f>
        <v>1665610</v>
      </c>
      <c r="E4460">
        <v>1</v>
      </c>
      <c r="F4460" t="s">
        <v>5949</v>
      </c>
    </row>
    <row r="4461" spans="1:6" x14ac:dyDescent="0.25">
      <c r="A4461" t="s">
        <v>1522</v>
      </c>
      <c r="B4461" t="s">
        <v>1486</v>
      </c>
      <c r="C4461" t="s">
        <v>132</v>
      </c>
      <c r="D4461" t="str">
        <f>HYPERLINK("http://service.sap.com/sap/support/notes/1588153","1588153")</f>
        <v>1588153</v>
      </c>
      <c r="E4461">
        <v>4</v>
      </c>
      <c r="F4461" t="s">
        <v>5950</v>
      </c>
    </row>
    <row r="4462" spans="1:6" x14ac:dyDescent="0.25">
      <c r="A4462" t="s">
        <v>1522</v>
      </c>
      <c r="B4462" t="s">
        <v>1486</v>
      </c>
      <c r="C4462" t="s">
        <v>132</v>
      </c>
      <c r="D4462" t="str">
        <f>HYPERLINK("http://service.sap.com/sap/support/notes/1603347","1603347")</f>
        <v>1603347</v>
      </c>
      <c r="E4462">
        <v>2</v>
      </c>
      <c r="F4462" t="s">
        <v>5951</v>
      </c>
    </row>
    <row r="4463" spans="1:6" x14ac:dyDescent="0.25">
      <c r="A4463" t="s">
        <v>1522</v>
      </c>
      <c r="B4463" t="s">
        <v>1486</v>
      </c>
      <c r="C4463" t="s">
        <v>132</v>
      </c>
      <c r="D4463" t="str">
        <f>HYPERLINK("http://service.sap.com/sap/support/notes/1619975","1619975")</f>
        <v>1619975</v>
      </c>
      <c r="E4463">
        <v>1</v>
      </c>
      <c r="F4463" t="s">
        <v>5952</v>
      </c>
    </row>
    <row r="4464" spans="1:6" x14ac:dyDescent="0.25">
      <c r="A4464" t="s">
        <v>1522</v>
      </c>
      <c r="B4464" t="s">
        <v>1486</v>
      </c>
      <c r="C4464" t="s">
        <v>132</v>
      </c>
      <c r="D4464" t="str">
        <f>HYPERLINK("http://service.sap.com/sap/support/notes/1620296","1620296")</f>
        <v>1620296</v>
      </c>
      <c r="E4464">
        <v>1</v>
      </c>
      <c r="F4464" t="s">
        <v>5953</v>
      </c>
    </row>
    <row r="4465" spans="1:6" x14ac:dyDescent="0.25">
      <c r="A4465" t="s">
        <v>1522</v>
      </c>
      <c r="B4465" t="s">
        <v>1486</v>
      </c>
      <c r="C4465" t="s">
        <v>132</v>
      </c>
      <c r="D4465" t="str">
        <f>HYPERLINK("http://service.sap.com/sap/support/notes/1620860","1620860")</f>
        <v>1620860</v>
      </c>
      <c r="E4465">
        <v>3</v>
      </c>
      <c r="F4465" t="s">
        <v>5954</v>
      </c>
    </row>
    <row r="4466" spans="1:6" x14ac:dyDescent="0.25">
      <c r="A4466" t="s">
        <v>1522</v>
      </c>
      <c r="B4466" t="s">
        <v>1486</v>
      </c>
      <c r="C4466" t="s">
        <v>132</v>
      </c>
      <c r="D4466" t="str">
        <f>HYPERLINK("http://service.sap.com/sap/support/notes/1621063","1621063")</f>
        <v>1621063</v>
      </c>
      <c r="E4466">
        <v>3</v>
      </c>
      <c r="F4466" t="s">
        <v>5955</v>
      </c>
    </row>
    <row r="4467" spans="1:6" x14ac:dyDescent="0.25">
      <c r="A4467" t="s">
        <v>1522</v>
      </c>
      <c r="B4467" t="s">
        <v>1486</v>
      </c>
      <c r="C4467" t="s">
        <v>132</v>
      </c>
      <c r="D4467" t="str">
        <f>HYPERLINK("http://service.sap.com/sap/support/notes/1621208","1621208")</f>
        <v>1621208</v>
      </c>
      <c r="E4467">
        <v>3</v>
      </c>
      <c r="F4467" t="s">
        <v>5956</v>
      </c>
    </row>
    <row r="4468" spans="1:6" x14ac:dyDescent="0.25">
      <c r="A4468" t="s">
        <v>1522</v>
      </c>
      <c r="B4468" t="s">
        <v>1486</v>
      </c>
      <c r="C4468" t="s">
        <v>132</v>
      </c>
      <c r="D4468" t="str">
        <f>HYPERLINK("http://service.sap.com/sap/support/notes/1621418","1621418")</f>
        <v>1621418</v>
      </c>
      <c r="E4468">
        <v>2</v>
      </c>
      <c r="F4468" t="s">
        <v>5957</v>
      </c>
    </row>
    <row r="4469" spans="1:6" x14ac:dyDescent="0.25">
      <c r="A4469" t="s">
        <v>1522</v>
      </c>
      <c r="B4469" t="s">
        <v>1486</v>
      </c>
      <c r="C4469" t="s">
        <v>132</v>
      </c>
      <c r="D4469" t="str">
        <f>HYPERLINK("http://service.sap.com/sap/support/notes/1621686","1621686")</f>
        <v>1621686</v>
      </c>
      <c r="E4469">
        <v>4</v>
      </c>
      <c r="F4469" t="s">
        <v>5958</v>
      </c>
    </row>
    <row r="4470" spans="1:6" x14ac:dyDescent="0.25">
      <c r="A4470" t="s">
        <v>1522</v>
      </c>
      <c r="B4470" t="s">
        <v>1486</v>
      </c>
      <c r="C4470" t="s">
        <v>132</v>
      </c>
      <c r="D4470" t="str">
        <f>HYPERLINK("http://service.sap.com/sap/support/notes/1621916","1621916")</f>
        <v>1621916</v>
      </c>
      <c r="E4470">
        <v>1</v>
      </c>
      <c r="F4470" t="s">
        <v>5959</v>
      </c>
    </row>
    <row r="4471" spans="1:6" x14ac:dyDescent="0.25">
      <c r="A4471" t="s">
        <v>1522</v>
      </c>
      <c r="B4471" t="s">
        <v>1486</v>
      </c>
      <c r="C4471" t="s">
        <v>132</v>
      </c>
      <c r="D4471" t="str">
        <f>HYPERLINK("http://service.sap.com/sap/support/notes/1622087","1622087")</f>
        <v>1622087</v>
      </c>
      <c r="E4471">
        <v>2</v>
      </c>
      <c r="F4471" t="s">
        <v>5960</v>
      </c>
    </row>
    <row r="4472" spans="1:6" x14ac:dyDescent="0.25">
      <c r="A4472" t="s">
        <v>1522</v>
      </c>
      <c r="B4472" t="s">
        <v>1486</v>
      </c>
      <c r="C4472" t="s">
        <v>132</v>
      </c>
      <c r="D4472" t="str">
        <f>HYPERLINK("http://service.sap.com/sap/support/notes/1622325","1622325")</f>
        <v>1622325</v>
      </c>
      <c r="E4472">
        <v>3</v>
      </c>
      <c r="F4472" t="s">
        <v>5961</v>
      </c>
    </row>
    <row r="4473" spans="1:6" x14ac:dyDescent="0.25">
      <c r="A4473" t="s">
        <v>1522</v>
      </c>
      <c r="B4473" t="s">
        <v>1486</v>
      </c>
      <c r="C4473" t="s">
        <v>132</v>
      </c>
      <c r="D4473" t="str">
        <f>HYPERLINK("http://service.sap.com/sap/support/notes/1624322","1624322")</f>
        <v>1624322</v>
      </c>
      <c r="E4473">
        <v>1</v>
      </c>
      <c r="F4473" t="s">
        <v>5962</v>
      </c>
    </row>
    <row r="4474" spans="1:6" x14ac:dyDescent="0.25">
      <c r="A4474" t="s">
        <v>1522</v>
      </c>
      <c r="B4474" t="s">
        <v>1486</v>
      </c>
      <c r="C4474" t="s">
        <v>132</v>
      </c>
      <c r="D4474" t="str">
        <f>HYPERLINK("http://service.sap.com/sap/support/notes/1624742","1624742")</f>
        <v>1624742</v>
      </c>
      <c r="E4474">
        <v>2</v>
      </c>
      <c r="F4474" t="s">
        <v>5963</v>
      </c>
    </row>
    <row r="4475" spans="1:6" x14ac:dyDescent="0.25">
      <c r="A4475" t="s">
        <v>1522</v>
      </c>
      <c r="B4475" t="s">
        <v>1486</v>
      </c>
      <c r="C4475" t="s">
        <v>132</v>
      </c>
      <c r="D4475" t="str">
        <f>HYPERLINK("http://service.sap.com/sap/support/notes/1625151","1625151")</f>
        <v>1625151</v>
      </c>
      <c r="E4475">
        <v>2</v>
      </c>
      <c r="F4475" t="s">
        <v>5964</v>
      </c>
    </row>
    <row r="4476" spans="1:6" x14ac:dyDescent="0.25">
      <c r="A4476" t="s">
        <v>1522</v>
      </c>
      <c r="B4476" t="s">
        <v>1486</v>
      </c>
      <c r="C4476" t="s">
        <v>132</v>
      </c>
      <c r="D4476" t="str">
        <f>HYPERLINK("http://service.sap.com/sap/support/notes/1626029","1626029")</f>
        <v>1626029</v>
      </c>
      <c r="E4476">
        <v>1</v>
      </c>
      <c r="F4476" t="s">
        <v>5965</v>
      </c>
    </row>
    <row r="4477" spans="1:6" x14ac:dyDescent="0.25">
      <c r="A4477" t="s">
        <v>1522</v>
      </c>
      <c r="B4477" t="s">
        <v>1486</v>
      </c>
      <c r="C4477" t="s">
        <v>132</v>
      </c>
      <c r="D4477" t="str">
        <f>HYPERLINK("http://service.sap.com/sap/support/notes/1629347","1629347")</f>
        <v>1629347</v>
      </c>
      <c r="E4477">
        <v>3</v>
      </c>
      <c r="F4477" t="s">
        <v>5966</v>
      </c>
    </row>
    <row r="4478" spans="1:6" x14ac:dyDescent="0.25">
      <c r="A4478" t="s">
        <v>1522</v>
      </c>
      <c r="B4478" t="s">
        <v>1486</v>
      </c>
      <c r="C4478" t="s">
        <v>132</v>
      </c>
      <c r="D4478" t="str">
        <f>HYPERLINK("http://service.sap.com/sap/support/notes/1629490","1629490")</f>
        <v>1629490</v>
      </c>
      <c r="E4478">
        <v>2</v>
      </c>
      <c r="F4478" t="s">
        <v>5967</v>
      </c>
    </row>
    <row r="4479" spans="1:6" x14ac:dyDescent="0.25">
      <c r="A4479" t="s">
        <v>1522</v>
      </c>
      <c r="B4479" t="s">
        <v>1486</v>
      </c>
      <c r="C4479" t="s">
        <v>132</v>
      </c>
      <c r="D4479" t="str">
        <f>HYPERLINK("http://service.sap.com/sap/support/notes/1631055","1631055")</f>
        <v>1631055</v>
      </c>
      <c r="E4479">
        <v>1</v>
      </c>
      <c r="F4479" t="s">
        <v>5968</v>
      </c>
    </row>
    <row r="4480" spans="1:6" x14ac:dyDescent="0.25">
      <c r="A4480" t="s">
        <v>1522</v>
      </c>
      <c r="B4480" t="s">
        <v>1486</v>
      </c>
      <c r="C4480" t="s">
        <v>132</v>
      </c>
      <c r="D4480" t="str">
        <f>HYPERLINK("http://service.sap.com/sap/support/notes/1632122","1632122")</f>
        <v>1632122</v>
      </c>
      <c r="E4480">
        <v>1</v>
      </c>
      <c r="F4480" t="s">
        <v>5969</v>
      </c>
    </row>
    <row r="4481" spans="1:6" x14ac:dyDescent="0.25">
      <c r="A4481" t="s">
        <v>1522</v>
      </c>
      <c r="B4481" t="s">
        <v>1486</v>
      </c>
      <c r="C4481" t="s">
        <v>132</v>
      </c>
      <c r="D4481" t="str">
        <f>HYPERLINK("http://service.sap.com/sap/support/notes/1632273","1632273")</f>
        <v>1632273</v>
      </c>
      <c r="E4481">
        <v>1</v>
      </c>
      <c r="F4481" t="s">
        <v>5970</v>
      </c>
    </row>
    <row r="4482" spans="1:6" x14ac:dyDescent="0.25">
      <c r="A4482" t="s">
        <v>1522</v>
      </c>
      <c r="B4482" t="s">
        <v>1486</v>
      </c>
      <c r="C4482" t="s">
        <v>132</v>
      </c>
      <c r="D4482" t="str">
        <f>HYPERLINK("http://service.sap.com/sap/support/notes/1634610","1634610")</f>
        <v>1634610</v>
      </c>
      <c r="E4482">
        <v>1</v>
      </c>
      <c r="F4482" t="s">
        <v>5971</v>
      </c>
    </row>
    <row r="4483" spans="1:6" x14ac:dyDescent="0.25">
      <c r="A4483" t="s">
        <v>1522</v>
      </c>
      <c r="B4483" t="s">
        <v>1486</v>
      </c>
      <c r="C4483" t="s">
        <v>132</v>
      </c>
      <c r="D4483" t="str">
        <f>HYPERLINK("http://service.sap.com/sap/support/notes/1637014","1637014")</f>
        <v>1637014</v>
      </c>
      <c r="E4483">
        <v>2</v>
      </c>
      <c r="F4483" t="s">
        <v>5972</v>
      </c>
    </row>
    <row r="4484" spans="1:6" x14ac:dyDescent="0.25">
      <c r="A4484" t="s">
        <v>1522</v>
      </c>
      <c r="B4484" t="s">
        <v>1486</v>
      </c>
      <c r="C4484" t="s">
        <v>132</v>
      </c>
      <c r="D4484" t="str">
        <f>HYPERLINK("http://service.sap.com/sap/support/notes/1637162","1637162")</f>
        <v>1637162</v>
      </c>
      <c r="E4484">
        <v>1</v>
      </c>
      <c r="F4484" t="s">
        <v>5973</v>
      </c>
    </row>
    <row r="4485" spans="1:6" x14ac:dyDescent="0.25">
      <c r="A4485" t="s">
        <v>1522</v>
      </c>
      <c r="B4485" t="s">
        <v>1486</v>
      </c>
      <c r="C4485" t="s">
        <v>132</v>
      </c>
      <c r="D4485" t="str">
        <f>HYPERLINK("http://service.sap.com/sap/support/notes/1638389","1638389")</f>
        <v>1638389</v>
      </c>
      <c r="E4485">
        <v>2</v>
      </c>
      <c r="F4485" t="s">
        <v>5974</v>
      </c>
    </row>
    <row r="4486" spans="1:6" x14ac:dyDescent="0.25">
      <c r="A4486" t="s">
        <v>1522</v>
      </c>
      <c r="B4486" t="s">
        <v>1486</v>
      </c>
      <c r="C4486" t="s">
        <v>132</v>
      </c>
      <c r="D4486" t="str">
        <f>HYPERLINK("http://service.sap.com/sap/support/notes/1639109","1639109")</f>
        <v>1639109</v>
      </c>
      <c r="E4486">
        <v>5</v>
      </c>
      <c r="F4486" t="s">
        <v>5975</v>
      </c>
    </row>
    <row r="4487" spans="1:6" x14ac:dyDescent="0.25">
      <c r="A4487" t="s">
        <v>1522</v>
      </c>
      <c r="B4487" t="s">
        <v>1486</v>
      </c>
      <c r="C4487" t="s">
        <v>132</v>
      </c>
      <c r="D4487" t="str">
        <f>HYPERLINK("http://service.sap.com/sap/support/notes/1641236","1641236")</f>
        <v>1641236</v>
      </c>
      <c r="E4487">
        <v>1</v>
      </c>
      <c r="F4487" t="s">
        <v>5976</v>
      </c>
    </row>
    <row r="4488" spans="1:6" x14ac:dyDescent="0.25">
      <c r="A4488" t="s">
        <v>1522</v>
      </c>
      <c r="B4488" t="s">
        <v>1486</v>
      </c>
      <c r="C4488" t="s">
        <v>132</v>
      </c>
      <c r="D4488" t="str">
        <f>HYPERLINK("http://service.sap.com/sap/support/notes/1642333","1642333")</f>
        <v>1642333</v>
      </c>
      <c r="E4488">
        <v>2</v>
      </c>
      <c r="F4488" t="s">
        <v>5977</v>
      </c>
    </row>
    <row r="4489" spans="1:6" x14ac:dyDescent="0.25">
      <c r="A4489" t="s">
        <v>1522</v>
      </c>
      <c r="B4489" t="s">
        <v>1486</v>
      </c>
      <c r="C4489" t="s">
        <v>132</v>
      </c>
      <c r="D4489" t="str">
        <f>HYPERLINK("http://service.sap.com/sap/support/notes/1642553","1642553")</f>
        <v>1642553</v>
      </c>
      <c r="E4489">
        <v>2</v>
      </c>
      <c r="F4489" t="s">
        <v>5978</v>
      </c>
    </row>
    <row r="4490" spans="1:6" x14ac:dyDescent="0.25">
      <c r="A4490" t="s">
        <v>1522</v>
      </c>
      <c r="B4490" t="s">
        <v>1486</v>
      </c>
      <c r="C4490" t="s">
        <v>132</v>
      </c>
      <c r="D4490" t="str">
        <f>HYPERLINK("http://service.sap.com/sap/support/notes/1645652","1645652")</f>
        <v>1645652</v>
      </c>
      <c r="E4490">
        <v>1</v>
      </c>
      <c r="F4490" t="s">
        <v>5979</v>
      </c>
    </row>
    <row r="4491" spans="1:6" x14ac:dyDescent="0.25">
      <c r="A4491" t="s">
        <v>1522</v>
      </c>
      <c r="B4491" t="s">
        <v>1486</v>
      </c>
      <c r="C4491" t="s">
        <v>132</v>
      </c>
      <c r="D4491" t="str">
        <f>HYPERLINK("http://service.sap.com/sap/support/notes/1645731","1645731")</f>
        <v>1645731</v>
      </c>
      <c r="E4491">
        <v>1</v>
      </c>
      <c r="F4491" t="s">
        <v>5980</v>
      </c>
    </row>
    <row r="4492" spans="1:6" x14ac:dyDescent="0.25">
      <c r="A4492" t="s">
        <v>1522</v>
      </c>
      <c r="B4492" t="s">
        <v>1486</v>
      </c>
      <c r="C4492" t="s">
        <v>132</v>
      </c>
      <c r="D4492" t="str">
        <f>HYPERLINK("http://service.sap.com/sap/support/notes/1646221","1646221")</f>
        <v>1646221</v>
      </c>
      <c r="E4492">
        <v>3</v>
      </c>
      <c r="F4492" t="s">
        <v>5981</v>
      </c>
    </row>
    <row r="4493" spans="1:6" x14ac:dyDescent="0.25">
      <c r="A4493" t="s">
        <v>1522</v>
      </c>
      <c r="B4493" t="s">
        <v>1486</v>
      </c>
      <c r="C4493" t="s">
        <v>132</v>
      </c>
      <c r="D4493" t="str">
        <f>HYPERLINK("http://service.sap.com/sap/support/notes/1647511","1647511")</f>
        <v>1647511</v>
      </c>
      <c r="E4493">
        <v>2</v>
      </c>
      <c r="F4493" t="s">
        <v>5982</v>
      </c>
    </row>
    <row r="4494" spans="1:6" x14ac:dyDescent="0.25">
      <c r="A4494" t="s">
        <v>1522</v>
      </c>
      <c r="B4494" t="s">
        <v>1486</v>
      </c>
      <c r="C4494" t="s">
        <v>132</v>
      </c>
      <c r="D4494" t="str">
        <f>HYPERLINK("http://service.sap.com/sap/support/notes/1647793","1647793")</f>
        <v>1647793</v>
      </c>
      <c r="E4494">
        <v>1</v>
      </c>
      <c r="F4494" t="s">
        <v>5983</v>
      </c>
    </row>
    <row r="4495" spans="1:6" x14ac:dyDescent="0.25">
      <c r="A4495" t="s">
        <v>1522</v>
      </c>
      <c r="B4495" t="s">
        <v>1486</v>
      </c>
      <c r="C4495" t="s">
        <v>132</v>
      </c>
      <c r="D4495" t="str">
        <f>HYPERLINK("http://service.sap.com/sap/support/notes/1648176","1648176")</f>
        <v>1648176</v>
      </c>
      <c r="E4495">
        <v>1</v>
      </c>
      <c r="F4495" t="s">
        <v>5984</v>
      </c>
    </row>
    <row r="4496" spans="1:6" x14ac:dyDescent="0.25">
      <c r="A4496" t="s">
        <v>1522</v>
      </c>
      <c r="B4496" t="s">
        <v>1486</v>
      </c>
      <c r="C4496" t="s">
        <v>132</v>
      </c>
      <c r="D4496" t="str">
        <f>HYPERLINK("http://service.sap.com/sap/support/notes/1648404","1648404")</f>
        <v>1648404</v>
      </c>
      <c r="E4496">
        <v>1</v>
      </c>
      <c r="F4496" t="s">
        <v>5985</v>
      </c>
    </row>
    <row r="4497" spans="1:6" x14ac:dyDescent="0.25">
      <c r="A4497" t="s">
        <v>1522</v>
      </c>
      <c r="B4497" t="s">
        <v>1486</v>
      </c>
      <c r="C4497" t="s">
        <v>132</v>
      </c>
      <c r="D4497" t="str">
        <f>HYPERLINK("http://service.sap.com/sap/support/notes/1648742","1648742")</f>
        <v>1648742</v>
      </c>
      <c r="E4497">
        <v>3</v>
      </c>
      <c r="F4497" t="s">
        <v>5986</v>
      </c>
    </row>
    <row r="4498" spans="1:6" x14ac:dyDescent="0.25">
      <c r="A4498" t="s">
        <v>1522</v>
      </c>
      <c r="B4498" t="s">
        <v>1486</v>
      </c>
      <c r="C4498" t="s">
        <v>132</v>
      </c>
      <c r="D4498" t="str">
        <f>HYPERLINK("http://service.sap.com/sap/support/notes/1648745","1648745")</f>
        <v>1648745</v>
      </c>
      <c r="E4498">
        <v>1</v>
      </c>
      <c r="F4498" t="s">
        <v>5987</v>
      </c>
    </row>
    <row r="4499" spans="1:6" x14ac:dyDescent="0.25">
      <c r="A4499" t="s">
        <v>1522</v>
      </c>
      <c r="B4499" t="s">
        <v>1486</v>
      </c>
      <c r="C4499" t="s">
        <v>132</v>
      </c>
      <c r="D4499" t="str">
        <f>HYPERLINK("http://service.sap.com/sap/support/notes/1649709","1649709")</f>
        <v>1649709</v>
      </c>
      <c r="E4499">
        <v>1</v>
      </c>
      <c r="F4499" t="s">
        <v>5988</v>
      </c>
    </row>
    <row r="4500" spans="1:6" x14ac:dyDescent="0.25">
      <c r="A4500" t="s">
        <v>1522</v>
      </c>
      <c r="B4500" t="s">
        <v>1486</v>
      </c>
      <c r="C4500" t="s">
        <v>132</v>
      </c>
      <c r="D4500" t="str">
        <f>HYPERLINK("http://service.sap.com/sap/support/notes/1649729","1649729")</f>
        <v>1649729</v>
      </c>
      <c r="E4500">
        <v>3</v>
      </c>
      <c r="F4500" t="s">
        <v>5989</v>
      </c>
    </row>
    <row r="4501" spans="1:6" x14ac:dyDescent="0.25">
      <c r="A4501" t="s">
        <v>1522</v>
      </c>
      <c r="B4501" t="s">
        <v>1486</v>
      </c>
      <c r="C4501" t="s">
        <v>132</v>
      </c>
      <c r="D4501" t="str">
        <f>HYPERLINK("http://service.sap.com/sap/support/notes/1650968","1650968")</f>
        <v>1650968</v>
      </c>
      <c r="E4501">
        <v>2</v>
      </c>
      <c r="F4501" t="s">
        <v>5990</v>
      </c>
    </row>
    <row r="4502" spans="1:6" x14ac:dyDescent="0.25">
      <c r="A4502" t="s">
        <v>1522</v>
      </c>
      <c r="B4502" t="s">
        <v>1486</v>
      </c>
      <c r="C4502" t="s">
        <v>132</v>
      </c>
      <c r="D4502" t="str">
        <f>HYPERLINK("http://service.sap.com/sap/support/notes/1651726","1651726")</f>
        <v>1651726</v>
      </c>
      <c r="E4502">
        <v>2</v>
      </c>
      <c r="F4502" t="s">
        <v>5991</v>
      </c>
    </row>
    <row r="4503" spans="1:6" x14ac:dyDescent="0.25">
      <c r="A4503" t="s">
        <v>1522</v>
      </c>
      <c r="B4503" t="s">
        <v>1486</v>
      </c>
      <c r="C4503" t="s">
        <v>132</v>
      </c>
      <c r="D4503" t="str">
        <f>HYPERLINK("http://service.sap.com/sap/support/notes/1651973","1651973")</f>
        <v>1651973</v>
      </c>
      <c r="E4503">
        <v>1</v>
      </c>
      <c r="F4503" t="s">
        <v>5992</v>
      </c>
    </row>
    <row r="4504" spans="1:6" x14ac:dyDescent="0.25">
      <c r="A4504" t="s">
        <v>1522</v>
      </c>
      <c r="B4504" t="s">
        <v>1486</v>
      </c>
      <c r="C4504" t="s">
        <v>132</v>
      </c>
      <c r="D4504" t="str">
        <f>HYPERLINK("http://service.sap.com/sap/support/notes/1652575","1652575")</f>
        <v>1652575</v>
      </c>
      <c r="E4504">
        <v>4</v>
      </c>
      <c r="F4504" t="s">
        <v>5993</v>
      </c>
    </row>
    <row r="4505" spans="1:6" x14ac:dyDescent="0.25">
      <c r="A4505" t="s">
        <v>1522</v>
      </c>
      <c r="B4505" t="s">
        <v>1486</v>
      </c>
      <c r="C4505" t="s">
        <v>132</v>
      </c>
      <c r="D4505" t="str">
        <f>HYPERLINK("http://service.sap.com/sap/support/notes/1654146","1654146")</f>
        <v>1654146</v>
      </c>
      <c r="E4505">
        <v>2</v>
      </c>
      <c r="F4505" t="s">
        <v>5994</v>
      </c>
    </row>
    <row r="4506" spans="1:6" x14ac:dyDescent="0.25">
      <c r="A4506" t="s">
        <v>1522</v>
      </c>
      <c r="B4506" t="s">
        <v>1486</v>
      </c>
      <c r="C4506" t="s">
        <v>132</v>
      </c>
      <c r="D4506" t="str">
        <f>HYPERLINK("http://service.sap.com/sap/support/notes/1654233","1654233")</f>
        <v>1654233</v>
      </c>
      <c r="E4506">
        <v>2</v>
      </c>
      <c r="F4506" t="s">
        <v>5995</v>
      </c>
    </row>
    <row r="4507" spans="1:6" x14ac:dyDescent="0.25">
      <c r="A4507" t="s">
        <v>1522</v>
      </c>
      <c r="B4507" t="s">
        <v>1486</v>
      </c>
      <c r="C4507" t="s">
        <v>132</v>
      </c>
      <c r="D4507" t="str">
        <f>HYPERLINK("http://service.sap.com/sap/support/notes/1654401","1654401")</f>
        <v>1654401</v>
      </c>
      <c r="E4507">
        <v>2</v>
      </c>
      <c r="F4507" t="s">
        <v>5996</v>
      </c>
    </row>
    <row r="4508" spans="1:6" x14ac:dyDescent="0.25">
      <c r="A4508" t="s">
        <v>1522</v>
      </c>
      <c r="B4508" t="s">
        <v>1486</v>
      </c>
      <c r="C4508" t="s">
        <v>132</v>
      </c>
      <c r="D4508" t="str">
        <f>HYPERLINK("http://service.sap.com/sap/support/notes/1655033","1655033")</f>
        <v>1655033</v>
      </c>
      <c r="E4508">
        <v>1</v>
      </c>
      <c r="F4508" t="s">
        <v>5997</v>
      </c>
    </row>
    <row r="4509" spans="1:6" x14ac:dyDescent="0.25">
      <c r="A4509" t="s">
        <v>1522</v>
      </c>
      <c r="B4509" t="s">
        <v>1486</v>
      </c>
      <c r="C4509" t="s">
        <v>132</v>
      </c>
      <c r="D4509" t="str">
        <f>HYPERLINK("http://service.sap.com/sap/support/notes/1655386","1655386")</f>
        <v>1655386</v>
      </c>
      <c r="E4509">
        <v>3</v>
      </c>
      <c r="F4509" t="s">
        <v>5998</v>
      </c>
    </row>
    <row r="4510" spans="1:6" x14ac:dyDescent="0.25">
      <c r="A4510" t="s">
        <v>1522</v>
      </c>
      <c r="B4510" t="s">
        <v>1486</v>
      </c>
      <c r="C4510" t="s">
        <v>132</v>
      </c>
      <c r="D4510" t="str">
        <f>HYPERLINK("http://service.sap.com/sap/support/notes/1656231","1656231")</f>
        <v>1656231</v>
      </c>
      <c r="E4510">
        <v>2</v>
      </c>
      <c r="F4510" t="s">
        <v>5999</v>
      </c>
    </row>
    <row r="4511" spans="1:6" x14ac:dyDescent="0.25">
      <c r="A4511" t="s">
        <v>1522</v>
      </c>
      <c r="B4511" t="s">
        <v>1486</v>
      </c>
      <c r="C4511" t="s">
        <v>132</v>
      </c>
      <c r="D4511" t="str">
        <f>HYPERLINK("http://service.sap.com/sap/support/notes/1656378","1656378")</f>
        <v>1656378</v>
      </c>
      <c r="E4511">
        <v>1</v>
      </c>
      <c r="F4511" t="s">
        <v>6000</v>
      </c>
    </row>
    <row r="4512" spans="1:6" x14ac:dyDescent="0.25">
      <c r="A4512" t="s">
        <v>1522</v>
      </c>
      <c r="B4512" t="s">
        <v>1486</v>
      </c>
      <c r="C4512" t="s">
        <v>132</v>
      </c>
      <c r="D4512" t="str">
        <f>HYPERLINK("http://service.sap.com/sap/support/notes/1656544","1656544")</f>
        <v>1656544</v>
      </c>
      <c r="E4512">
        <v>3</v>
      </c>
      <c r="F4512" t="s">
        <v>6001</v>
      </c>
    </row>
    <row r="4513" spans="1:6" x14ac:dyDescent="0.25">
      <c r="A4513" t="s">
        <v>1522</v>
      </c>
      <c r="B4513" t="s">
        <v>1486</v>
      </c>
      <c r="C4513" t="s">
        <v>132</v>
      </c>
      <c r="D4513" t="str">
        <f>HYPERLINK("http://service.sap.com/sap/support/notes/1657268","1657268")</f>
        <v>1657268</v>
      </c>
      <c r="E4513">
        <v>2</v>
      </c>
      <c r="F4513" t="s">
        <v>6002</v>
      </c>
    </row>
    <row r="4514" spans="1:6" x14ac:dyDescent="0.25">
      <c r="A4514" t="s">
        <v>1522</v>
      </c>
      <c r="B4514" t="s">
        <v>1486</v>
      </c>
      <c r="C4514" t="s">
        <v>132</v>
      </c>
      <c r="D4514" t="str">
        <f>HYPERLINK("http://service.sap.com/sap/support/notes/1659902","1659902")</f>
        <v>1659902</v>
      </c>
      <c r="E4514">
        <v>1</v>
      </c>
      <c r="F4514" t="s">
        <v>6003</v>
      </c>
    </row>
    <row r="4515" spans="1:6" x14ac:dyDescent="0.25">
      <c r="A4515" t="s">
        <v>1522</v>
      </c>
      <c r="B4515" t="s">
        <v>1486</v>
      </c>
      <c r="C4515" t="s">
        <v>132</v>
      </c>
      <c r="D4515" t="str">
        <f>HYPERLINK("http://service.sap.com/sap/support/notes/1660455","1660455")</f>
        <v>1660455</v>
      </c>
      <c r="E4515">
        <v>2</v>
      </c>
      <c r="F4515" t="s">
        <v>6004</v>
      </c>
    </row>
    <row r="4516" spans="1:6" x14ac:dyDescent="0.25">
      <c r="A4516" t="s">
        <v>1522</v>
      </c>
      <c r="B4516" t="s">
        <v>1486</v>
      </c>
      <c r="C4516" t="s">
        <v>132</v>
      </c>
      <c r="D4516" t="str">
        <f>HYPERLINK("http://service.sap.com/sap/support/notes/1660726","1660726")</f>
        <v>1660726</v>
      </c>
      <c r="E4516">
        <v>1</v>
      </c>
      <c r="F4516" t="s">
        <v>6005</v>
      </c>
    </row>
    <row r="4517" spans="1:6" x14ac:dyDescent="0.25">
      <c r="A4517" t="s">
        <v>1522</v>
      </c>
      <c r="B4517" t="s">
        <v>1486</v>
      </c>
      <c r="C4517" t="s">
        <v>132</v>
      </c>
      <c r="D4517" t="str">
        <f>HYPERLINK("http://service.sap.com/sap/support/notes/1660804","1660804")</f>
        <v>1660804</v>
      </c>
      <c r="E4517">
        <v>2</v>
      </c>
      <c r="F4517" t="s">
        <v>6006</v>
      </c>
    </row>
    <row r="4518" spans="1:6" x14ac:dyDescent="0.25">
      <c r="A4518" t="s">
        <v>1522</v>
      </c>
      <c r="B4518" t="s">
        <v>1486</v>
      </c>
      <c r="C4518" t="s">
        <v>132</v>
      </c>
      <c r="D4518" t="str">
        <f>HYPERLINK("http://service.sap.com/sap/support/notes/1662065","1662065")</f>
        <v>1662065</v>
      </c>
      <c r="E4518">
        <v>1</v>
      </c>
      <c r="F4518" t="s">
        <v>6007</v>
      </c>
    </row>
    <row r="4519" spans="1:6" x14ac:dyDescent="0.25">
      <c r="A4519" t="s">
        <v>1522</v>
      </c>
      <c r="B4519" t="s">
        <v>1486</v>
      </c>
      <c r="C4519" t="s">
        <v>132</v>
      </c>
      <c r="D4519" t="str">
        <f>HYPERLINK("http://service.sap.com/sap/support/notes/1662616","1662616")</f>
        <v>1662616</v>
      </c>
      <c r="E4519">
        <v>1</v>
      </c>
      <c r="F4519" t="s">
        <v>6008</v>
      </c>
    </row>
    <row r="4520" spans="1:6" x14ac:dyDescent="0.25">
      <c r="A4520" t="s">
        <v>1522</v>
      </c>
      <c r="B4520" t="s">
        <v>1486</v>
      </c>
      <c r="C4520" t="s">
        <v>132</v>
      </c>
      <c r="D4520" t="str">
        <f>HYPERLINK("http://service.sap.com/sap/support/notes/1663683","1663683")</f>
        <v>1663683</v>
      </c>
      <c r="E4520">
        <v>2</v>
      </c>
      <c r="F4520" t="s">
        <v>6009</v>
      </c>
    </row>
    <row r="4521" spans="1:6" x14ac:dyDescent="0.25">
      <c r="A4521" t="s">
        <v>1522</v>
      </c>
      <c r="B4521" t="s">
        <v>1486</v>
      </c>
      <c r="C4521" t="s">
        <v>132</v>
      </c>
      <c r="D4521" t="str">
        <f>HYPERLINK("http://service.sap.com/sap/support/notes/1665444","1665444")</f>
        <v>1665444</v>
      </c>
      <c r="E4521">
        <v>1</v>
      </c>
      <c r="F4521" t="s">
        <v>6010</v>
      </c>
    </row>
    <row r="4522" spans="1:6" x14ac:dyDescent="0.25">
      <c r="A4522" t="s">
        <v>1522</v>
      </c>
      <c r="B4522" t="s">
        <v>1486</v>
      </c>
      <c r="C4522" t="s">
        <v>132</v>
      </c>
      <c r="D4522" t="str">
        <f>HYPERLINK("http://service.sap.com/sap/support/notes/1666350","1666350")</f>
        <v>1666350</v>
      </c>
      <c r="E4522">
        <v>1</v>
      </c>
      <c r="F4522" t="s">
        <v>6011</v>
      </c>
    </row>
    <row r="4523" spans="1:6" x14ac:dyDescent="0.25">
      <c r="A4523" t="s">
        <v>1522</v>
      </c>
      <c r="B4523" t="s">
        <v>1486</v>
      </c>
      <c r="C4523" t="s">
        <v>132</v>
      </c>
      <c r="D4523" t="str">
        <f>HYPERLINK("http://service.sap.com/sap/support/notes/1668588","1668588")</f>
        <v>1668588</v>
      </c>
      <c r="E4523">
        <v>1</v>
      </c>
      <c r="F4523" t="s">
        <v>6012</v>
      </c>
    </row>
    <row r="4524" spans="1:6" x14ac:dyDescent="0.25">
      <c r="A4524" t="s">
        <v>1522</v>
      </c>
      <c r="B4524" t="s">
        <v>1486</v>
      </c>
      <c r="C4524" t="s">
        <v>132</v>
      </c>
      <c r="D4524" t="str">
        <f>HYPERLINK("http://service.sap.com/sap/support/notes/1671979","1671979")</f>
        <v>1671979</v>
      </c>
      <c r="E4524">
        <v>5</v>
      </c>
      <c r="F4524" t="s">
        <v>6013</v>
      </c>
    </row>
    <row r="4525" spans="1:6" x14ac:dyDescent="0.25">
      <c r="A4525" t="s">
        <v>1522</v>
      </c>
      <c r="B4525" t="s">
        <v>1502</v>
      </c>
      <c r="C4525" t="s">
        <v>1373</v>
      </c>
      <c r="D4525" t="str">
        <f>HYPERLINK("http://service.sap.com/sap/support/notes/1604108","1604108")</f>
        <v>1604108</v>
      </c>
      <c r="E4525">
        <v>4</v>
      </c>
      <c r="F4525" t="s">
        <v>6014</v>
      </c>
    </row>
    <row r="4526" spans="1:6" x14ac:dyDescent="0.25">
      <c r="A4526" t="s">
        <v>1522</v>
      </c>
      <c r="B4526" t="s">
        <v>1502</v>
      </c>
      <c r="C4526" t="s">
        <v>1373</v>
      </c>
      <c r="D4526" t="str">
        <f>HYPERLINK("http://service.sap.com/sap/support/notes/1617343","1617343")</f>
        <v>1617343</v>
      </c>
      <c r="E4526">
        <v>6</v>
      </c>
      <c r="F4526" t="s">
        <v>6015</v>
      </c>
    </row>
    <row r="4527" spans="1:6" x14ac:dyDescent="0.25">
      <c r="A4527" t="s">
        <v>1522</v>
      </c>
      <c r="B4527" t="s">
        <v>1502</v>
      </c>
      <c r="C4527" t="s">
        <v>1373</v>
      </c>
      <c r="D4527" t="str">
        <f>HYPERLINK("http://service.sap.com/sap/support/notes/1620984","1620984")</f>
        <v>1620984</v>
      </c>
      <c r="E4527">
        <v>2</v>
      </c>
      <c r="F4527" t="s">
        <v>6016</v>
      </c>
    </row>
    <row r="4528" spans="1:6" x14ac:dyDescent="0.25">
      <c r="A4528" t="s">
        <v>1522</v>
      </c>
      <c r="B4528" t="s">
        <v>1502</v>
      </c>
      <c r="C4528" t="s">
        <v>1373</v>
      </c>
      <c r="D4528" t="str">
        <f>HYPERLINK("http://service.sap.com/sap/support/notes/1625375","1625375")</f>
        <v>1625375</v>
      </c>
      <c r="E4528">
        <v>3</v>
      </c>
      <c r="F4528" t="s">
        <v>6017</v>
      </c>
    </row>
    <row r="4529" spans="1:6" x14ac:dyDescent="0.25">
      <c r="A4529" t="s">
        <v>1522</v>
      </c>
      <c r="B4529" t="s">
        <v>1502</v>
      </c>
      <c r="C4529" t="s">
        <v>1373</v>
      </c>
      <c r="D4529" t="str">
        <f>HYPERLINK("http://service.sap.com/sap/support/notes/1627079","1627079")</f>
        <v>1627079</v>
      </c>
      <c r="E4529">
        <v>2</v>
      </c>
      <c r="F4529" t="s">
        <v>6018</v>
      </c>
    </row>
    <row r="4530" spans="1:6" x14ac:dyDescent="0.25">
      <c r="A4530" t="s">
        <v>1522</v>
      </c>
      <c r="B4530" t="s">
        <v>1502</v>
      </c>
      <c r="C4530" t="s">
        <v>1373</v>
      </c>
      <c r="D4530" t="str">
        <f>HYPERLINK("http://service.sap.com/sap/support/notes/1630454","1630454")</f>
        <v>1630454</v>
      </c>
      <c r="E4530">
        <v>1</v>
      </c>
      <c r="F4530" t="s">
        <v>6019</v>
      </c>
    </row>
    <row r="4531" spans="1:6" x14ac:dyDescent="0.25">
      <c r="A4531" t="s">
        <v>1522</v>
      </c>
      <c r="B4531" t="s">
        <v>1502</v>
      </c>
      <c r="C4531" t="s">
        <v>1373</v>
      </c>
      <c r="D4531" t="str">
        <f>HYPERLINK("http://service.sap.com/sap/support/notes/1630481","1630481")</f>
        <v>1630481</v>
      </c>
      <c r="E4531">
        <v>1</v>
      </c>
      <c r="F4531" t="s">
        <v>6020</v>
      </c>
    </row>
    <row r="4532" spans="1:6" x14ac:dyDescent="0.25">
      <c r="A4532" t="s">
        <v>1522</v>
      </c>
      <c r="B4532" t="s">
        <v>1502</v>
      </c>
      <c r="C4532" t="s">
        <v>1373</v>
      </c>
      <c r="D4532" t="str">
        <f>HYPERLINK("http://service.sap.com/sap/support/notes/1639539","1639539")</f>
        <v>1639539</v>
      </c>
      <c r="E4532">
        <v>1</v>
      </c>
      <c r="F4532" t="s">
        <v>6021</v>
      </c>
    </row>
    <row r="4533" spans="1:6" x14ac:dyDescent="0.25">
      <c r="A4533" t="s">
        <v>1522</v>
      </c>
      <c r="B4533" t="s">
        <v>1502</v>
      </c>
      <c r="C4533" t="s">
        <v>1373</v>
      </c>
      <c r="D4533" t="str">
        <f>HYPERLINK("http://service.sap.com/sap/support/notes/1646639","1646639")</f>
        <v>1646639</v>
      </c>
      <c r="E4533">
        <v>1</v>
      </c>
      <c r="F4533" t="s">
        <v>6022</v>
      </c>
    </row>
    <row r="4534" spans="1:6" x14ac:dyDescent="0.25">
      <c r="A4534" t="s">
        <v>1522</v>
      </c>
      <c r="B4534" t="s">
        <v>1502</v>
      </c>
      <c r="C4534" t="s">
        <v>1373</v>
      </c>
      <c r="D4534" t="str">
        <f>HYPERLINK("http://service.sap.com/sap/support/notes/1647228","1647228")</f>
        <v>1647228</v>
      </c>
      <c r="E4534">
        <v>1</v>
      </c>
      <c r="F4534" t="s">
        <v>6023</v>
      </c>
    </row>
    <row r="4535" spans="1:6" x14ac:dyDescent="0.25">
      <c r="A4535" t="s">
        <v>1522</v>
      </c>
      <c r="B4535" t="s">
        <v>1502</v>
      </c>
      <c r="C4535" t="s">
        <v>1373</v>
      </c>
      <c r="D4535" t="str">
        <f>HYPERLINK("http://service.sap.com/sap/support/notes/1650775","1650775")</f>
        <v>1650775</v>
      </c>
      <c r="E4535">
        <v>4</v>
      </c>
      <c r="F4535" t="s">
        <v>6024</v>
      </c>
    </row>
    <row r="4536" spans="1:6" x14ac:dyDescent="0.25">
      <c r="A4536" t="s">
        <v>1522</v>
      </c>
      <c r="B4536" t="s">
        <v>1502</v>
      </c>
      <c r="C4536" t="s">
        <v>1373</v>
      </c>
      <c r="D4536" t="str">
        <f>HYPERLINK("http://service.sap.com/sap/support/notes/1654913","1654913")</f>
        <v>1654913</v>
      </c>
      <c r="E4536">
        <v>6</v>
      </c>
      <c r="F4536" t="s">
        <v>6025</v>
      </c>
    </row>
    <row r="4537" spans="1:6" x14ac:dyDescent="0.25">
      <c r="A4537" t="s">
        <v>1522</v>
      </c>
      <c r="B4537" t="s">
        <v>1502</v>
      </c>
      <c r="C4537" t="s">
        <v>1373</v>
      </c>
      <c r="D4537" t="str">
        <f>HYPERLINK("http://service.sap.com/sap/support/notes/1659608","1659608")</f>
        <v>1659608</v>
      </c>
      <c r="E4537">
        <v>1</v>
      </c>
      <c r="F4537" t="s">
        <v>6026</v>
      </c>
    </row>
    <row r="4538" spans="1:6" x14ac:dyDescent="0.25">
      <c r="A4538" t="s">
        <v>1522</v>
      </c>
      <c r="B4538" t="s">
        <v>1502</v>
      </c>
      <c r="C4538" t="s">
        <v>1373</v>
      </c>
      <c r="D4538" t="str">
        <f>HYPERLINK("http://service.sap.com/sap/support/notes/1662486","1662486")</f>
        <v>1662486</v>
      </c>
      <c r="E4538">
        <v>1</v>
      </c>
      <c r="F4538" t="s">
        <v>6027</v>
      </c>
    </row>
    <row r="4539" spans="1:6" x14ac:dyDescent="0.25">
      <c r="A4539" t="s">
        <v>1522</v>
      </c>
      <c r="B4539" t="s">
        <v>1502</v>
      </c>
      <c r="C4539" t="s">
        <v>1373</v>
      </c>
      <c r="D4539" t="str">
        <f>HYPERLINK("http://service.sap.com/sap/support/notes/1665666","1665666")</f>
        <v>1665666</v>
      </c>
      <c r="E4539">
        <v>3</v>
      </c>
      <c r="F4539" t="s">
        <v>6028</v>
      </c>
    </row>
    <row r="4540" spans="1:6" x14ac:dyDescent="0.25">
      <c r="A4540" t="s">
        <v>1522</v>
      </c>
      <c r="B4540" t="s">
        <v>1502</v>
      </c>
      <c r="C4540" t="s">
        <v>1373</v>
      </c>
      <c r="D4540" t="str">
        <f>HYPERLINK("http://service.sap.com/sap/support/notes/1666710","1666710")</f>
        <v>1666710</v>
      </c>
      <c r="E4540">
        <v>2</v>
      </c>
      <c r="F4540" t="s">
        <v>6029</v>
      </c>
    </row>
    <row r="4541" spans="1:6" x14ac:dyDescent="0.25">
      <c r="A4541" t="s">
        <v>1522</v>
      </c>
      <c r="B4541" t="s">
        <v>1502</v>
      </c>
      <c r="C4541" t="s">
        <v>1373</v>
      </c>
      <c r="D4541" t="str">
        <f>HYPERLINK("http://service.sap.com/sap/support/notes/1671011","1671011")</f>
        <v>1671011</v>
      </c>
      <c r="E4541">
        <v>1</v>
      </c>
      <c r="F4541" t="s">
        <v>6030</v>
      </c>
    </row>
    <row r="4542" spans="1:6" x14ac:dyDescent="0.25">
      <c r="A4542" t="s">
        <v>1522</v>
      </c>
      <c r="B4542" t="s">
        <v>1504</v>
      </c>
      <c r="C4542" t="s">
        <v>1505</v>
      </c>
      <c r="D4542" t="str">
        <f>HYPERLINK("http://service.sap.com/sap/support/notes/1606718","1606718")</f>
        <v>1606718</v>
      </c>
      <c r="E4542">
        <v>2</v>
      </c>
      <c r="F4542" t="s">
        <v>6031</v>
      </c>
    </row>
    <row r="4543" spans="1:6" x14ac:dyDescent="0.25">
      <c r="A4543" t="s">
        <v>1522</v>
      </c>
      <c r="B4543" t="s">
        <v>6032</v>
      </c>
      <c r="C4543" t="s">
        <v>6033</v>
      </c>
      <c r="D4543" t="str">
        <f>HYPERLINK("http://service.sap.com/sap/support/notes/1585676","1585676")</f>
        <v>1585676</v>
      </c>
      <c r="E4543">
        <v>3</v>
      </c>
      <c r="F4543" t="s">
        <v>6034</v>
      </c>
    </row>
    <row r="4544" spans="1:6" x14ac:dyDescent="0.25">
      <c r="A4544" t="s">
        <v>1522</v>
      </c>
      <c r="B4544" t="s">
        <v>6032</v>
      </c>
      <c r="C4544" t="s">
        <v>6033</v>
      </c>
      <c r="D4544" t="str">
        <f>HYPERLINK("http://service.sap.com/sap/support/notes/1616556","1616556")</f>
        <v>1616556</v>
      </c>
      <c r="E4544">
        <v>2</v>
      </c>
      <c r="F4544" t="s">
        <v>6035</v>
      </c>
    </row>
    <row r="4545" spans="1:6" x14ac:dyDescent="0.25">
      <c r="A4545" t="s">
        <v>1522</v>
      </c>
      <c r="B4545" t="s">
        <v>6032</v>
      </c>
      <c r="C4545" t="s">
        <v>6033</v>
      </c>
      <c r="D4545" t="str">
        <f>HYPERLINK("http://service.sap.com/sap/support/notes/1632888","1632888")</f>
        <v>1632888</v>
      </c>
      <c r="E4545">
        <v>3</v>
      </c>
      <c r="F4545" t="s">
        <v>6036</v>
      </c>
    </row>
    <row r="4546" spans="1:6" x14ac:dyDescent="0.25">
      <c r="A4546" t="s">
        <v>1522</v>
      </c>
      <c r="B4546" t="s">
        <v>6037</v>
      </c>
      <c r="C4546" t="s">
        <v>6038</v>
      </c>
      <c r="D4546" t="str">
        <f>HYPERLINK("http://service.sap.com/sap/support/notes/1667767","1667767")</f>
        <v>1667767</v>
      </c>
      <c r="E4546">
        <v>1</v>
      </c>
      <c r="F4546" t="s">
        <v>6039</v>
      </c>
    </row>
    <row r="4547" spans="1:6" x14ac:dyDescent="0.25">
      <c r="A4547" t="s">
        <v>1522</v>
      </c>
      <c r="B4547" t="s">
        <v>6040</v>
      </c>
      <c r="C4547" t="s">
        <v>6041</v>
      </c>
    </row>
    <row r="4548" spans="1:6" x14ac:dyDescent="0.25">
      <c r="A4548" t="s">
        <v>1522</v>
      </c>
      <c r="B4548" t="s">
        <v>6042</v>
      </c>
      <c r="C4548" t="s">
        <v>132</v>
      </c>
      <c r="D4548" t="str">
        <f>HYPERLINK("http://service.sap.com/sap/support/notes/1606034","1606034")</f>
        <v>1606034</v>
      </c>
      <c r="E4548">
        <v>2</v>
      </c>
      <c r="F4548" t="s">
        <v>6043</v>
      </c>
    </row>
    <row r="4549" spans="1:6" x14ac:dyDescent="0.25">
      <c r="A4549" t="s">
        <v>1522</v>
      </c>
      <c r="B4549" t="s">
        <v>6042</v>
      </c>
      <c r="C4549" t="s">
        <v>132</v>
      </c>
      <c r="D4549" t="str">
        <f>HYPERLINK("http://service.sap.com/sap/support/notes/1618243","1618243")</f>
        <v>1618243</v>
      </c>
      <c r="E4549">
        <v>8</v>
      </c>
      <c r="F4549" t="s">
        <v>6044</v>
      </c>
    </row>
    <row r="4550" spans="1:6" x14ac:dyDescent="0.25">
      <c r="A4550" t="s">
        <v>1522</v>
      </c>
      <c r="B4550" t="s">
        <v>1507</v>
      </c>
      <c r="C4550" t="s">
        <v>1508</v>
      </c>
      <c r="D4550" t="str">
        <f>HYPERLINK("http://service.sap.com/sap/support/notes/1253128","1253128")</f>
        <v>1253128</v>
      </c>
      <c r="E4550">
        <v>1</v>
      </c>
      <c r="F4550" t="s">
        <v>1509</v>
      </c>
    </row>
    <row r="4551" spans="1:6" x14ac:dyDescent="0.25">
      <c r="A4551" t="s">
        <v>1522</v>
      </c>
      <c r="B4551" t="s">
        <v>1507</v>
      </c>
      <c r="C4551" t="s">
        <v>1508</v>
      </c>
      <c r="D4551" t="str">
        <f>HYPERLINK("http://service.sap.com/sap/support/notes/1619154","1619154")</f>
        <v>1619154</v>
      </c>
      <c r="E4551">
        <v>6</v>
      </c>
      <c r="F4551" t="s">
        <v>6045</v>
      </c>
    </row>
    <row r="4552" spans="1:6" x14ac:dyDescent="0.25">
      <c r="A4552" t="s">
        <v>1522</v>
      </c>
      <c r="B4552" t="s">
        <v>1507</v>
      </c>
      <c r="C4552" t="s">
        <v>1508</v>
      </c>
      <c r="D4552" t="str">
        <f>HYPERLINK("http://service.sap.com/sap/support/notes/1624950","1624950")</f>
        <v>1624950</v>
      </c>
      <c r="E4552">
        <v>1</v>
      </c>
      <c r="F4552" t="s">
        <v>6046</v>
      </c>
    </row>
    <row r="4553" spans="1:6" x14ac:dyDescent="0.25">
      <c r="A4553" t="s">
        <v>1522</v>
      </c>
      <c r="B4553" t="s">
        <v>1507</v>
      </c>
      <c r="C4553" t="s">
        <v>1508</v>
      </c>
      <c r="D4553" t="str">
        <f>HYPERLINK("http://service.sap.com/sap/support/notes/1632459","1632459")</f>
        <v>1632459</v>
      </c>
      <c r="E4553">
        <v>2</v>
      </c>
      <c r="F4553" t="s">
        <v>6047</v>
      </c>
    </row>
    <row r="4554" spans="1:6" x14ac:dyDescent="0.25">
      <c r="A4554" t="s">
        <v>1522</v>
      </c>
      <c r="B4554" t="s">
        <v>1507</v>
      </c>
      <c r="C4554" t="s">
        <v>1508</v>
      </c>
      <c r="D4554" t="str">
        <f>HYPERLINK("http://service.sap.com/sap/support/notes/1645520","1645520")</f>
        <v>1645520</v>
      </c>
      <c r="E4554">
        <v>1</v>
      </c>
      <c r="F4554" t="s">
        <v>6048</v>
      </c>
    </row>
    <row r="4555" spans="1:6" x14ac:dyDescent="0.25">
      <c r="A4555" t="s">
        <v>1522</v>
      </c>
      <c r="B4555" t="s">
        <v>1507</v>
      </c>
      <c r="C4555" t="s">
        <v>1508</v>
      </c>
      <c r="D4555" t="str">
        <f>HYPERLINK("http://service.sap.com/sap/support/notes/1652185","1652185")</f>
        <v>1652185</v>
      </c>
      <c r="E4555">
        <v>1</v>
      </c>
      <c r="F4555" t="s">
        <v>6049</v>
      </c>
    </row>
    <row r="4556" spans="1:6" x14ac:dyDescent="0.25">
      <c r="A4556" t="s">
        <v>1522</v>
      </c>
      <c r="B4556" t="s">
        <v>6050</v>
      </c>
      <c r="C4556" t="s">
        <v>6051</v>
      </c>
    </row>
    <row r="4557" spans="1:6" x14ac:dyDescent="0.25">
      <c r="A4557" t="s">
        <v>1522</v>
      </c>
      <c r="B4557" t="s">
        <v>6052</v>
      </c>
      <c r="C4557" t="s">
        <v>6053</v>
      </c>
      <c r="D4557" t="str">
        <f>HYPERLINK("http://service.sap.com/sap/support/notes/1618135","1618135")</f>
        <v>1618135</v>
      </c>
      <c r="E4557">
        <v>3</v>
      </c>
      <c r="F4557" t="s">
        <v>6054</v>
      </c>
    </row>
    <row r="4558" spans="1:6" x14ac:dyDescent="0.25">
      <c r="A4558" t="s">
        <v>1522</v>
      </c>
      <c r="B4558" t="s">
        <v>6052</v>
      </c>
      <c r="C4558" t="s">
        <v>6053</v>
      </c>
      <c r="D4558" t="str">
        <f>HYPERLINK("http://service.sap.com/sap/support/notes/1640597","1640597")</f>
        <v>1640597</v>
      </c>
      <c r="E4558">
        <v>4</v>
      </c>
      <c r="F4558" t="s">
        <v>6055</v>
      </c>
    </row>
    <row r="4559" spans="1:6" x14ac:dyDescent="0.25">
      <c r="A4559" t="s">
        <v>1522</v>
      </c>
      <c r="B4559" t="s">
        <v>6052</v>
      </c>
      <c r="C4559" t="s">
        <v>6053</v>
      </c>
      <c r="D4559" t="str">
        <f>HYPERLINK("http://service.sap.com/sap/support/notes/1649777","1649777")</f>
        <v>1649777</v>
      </c>
      <c r="E4559">
        <v>2</v>
      </c>
      <c r="F4559" t="s">
        <v>6056</v>
      </c>
    </row>
    <row r="4560" spans="1:6" x14ac:dyDescent="0.25">
      <c r="A4560" t="s">
        <v>1522</v>
      </c>
      <c r="B4560" t="s">
        <v>45</v>
      </c>
      <c r="C4560" t="s">
        <v>46</v>
      </c>
    </row>
    <row r="4561" spans="1:6" x14ac:dyDescent="0.25">
      <c r="A4561" t="s">
        <v>1522</v>
      </c>
      <c r="B4561" t="s">
        <v>1510</v>
      </c>
      <c r="C4561" t="s">
        <v>1511</v>
      </c>
    </row>
    <row r="4562" spans="1:6" x14ac:dyDescent="0.25">
      <c r="A4562" t="s">
        <v>1522</v>
      </c>
      <c r="B4562" t="s">
        <v>1512</v>
      </c>
      <c r="C4562" t="s">
        <v>1513</v>
      </c>
      <c r="D4562" t="str">
        <f>HYPERLINK("http://service.sap.com/sap/support/notes/1646579","1646579")</f>
        <v>1646579</v>
      </c>
      <c r="E4562">
        <v>1</v>
      </c>
      <c r="F4562" t="s">
        <v>6057</v>
      </c>
    </row>
    <row r="4563" spans="1:6" x14ac:dyDescent="0.25">
      <c r="A4563" t="s">
        <v>1522</v>
      </c>
      <c r="B4563" t="s">
        <v>1512</v>
      </c>
      <c r="C4563" t="s">
        <v>1513</v>
      </c>
      <c r="D4563" t="str">
        <f>HYPERLINK("http://service.sap.com/sap/support/notes/1661478","1661478")</f>
        <v>1661478</v>
      </c>
      <c r="E4563">
        <v>2</v>
      </c>
      <c r="F4563" t="s">
        <v>6058</v>
      </c>
    </row>
    <row r="4564" spans="1:6" x14ac:dyDescent="0.25">
      <c r="A4564" t="s">
        <v>1522</v>
      </c>
      <c r="B4564" t="s">
        <v>6059</v>
      </c>
      <c r="C4564" t="s">
        <v>6060</v>
      </c>
    </row>
    <row r="4565" spans="1:6" x14ac:dyDescent="0.25">
      <c r="A4565" t="s">
        <v>1522</v>
      </c>
      <c r="B4565" t="s">
        <v>6061</v>
      </c>
      <c r="C4565" t="s">
        <v>6062</v>
      </c>
      <c r="D4565" t="str">
        <f>HYPERLINK("http://service.sap.com/sap/support/notes/1639224","1639224")</f>
        <v>1639224</v>
      </c>
      <c r="E4565">
        <v>2</v>
      </c>
      <c r="F4565" t="s">
        <v>6063</v>
      </c>
    </row>
    <row r="4566" spans="1:6" x14ac:dyDescent="0.25">
      <c r="A4566" t="s">
        <v>1522</v>
      </c>
      <c r="B4566" t="s">
        <v>1518</v>
      </c>
      <c r="C4566" t="s">
        <v>1519</v>
      </c>
      <c r="D4566" t="str">
        <f>HYPERLINK("http://service.sap.com/sap/support/notes/1565413","1565413")</f>
        <v>1565413</v>
      </c>
      <c r="E4566">
        <v>2</v>
      </c>
      <c r="F4566" t="s">
        <v>6064</v>
      </c>
    </row>
    <row r="4567" spans="1:6" x14ac:dyDescent="0.25">
      <c r="A4567" t="s">
        <v>1522</v>
      </c>
      <c r="B4567" t="s">
        <v>1518</v>
      </c>
      <c r="C4567" t="s">
        <v>1519</v>
      </c>
      <c r="D4567" t="str">
        <f>HYPERLINK("http://service.sap.com/sap/support/notes/1636180","1636180")</f>
        <v>1636180</v>
      </c>
      <c r="E4567">
        <v>1</v>
      </c>
      <c r="F4567" t="s">
        <v>6065</v>
      </c>
    </row>
    <row r="4568" spans="1:6" x14ac:dyDescent="0.25">
      <c r="A4568" t="s">
        <v>1522</v>
      </c>
      <c r="B4568" t="s">
        <v>6066</v>
      </c>
      <c r="C4568" t="s">
        <v>6067</v>
      </c>
    </row>
    <row r="4569" spans="1:6" x14ac:dyDescent="0.25">
      <c r="A4569" t="s">
        <v>1522</v>
      </c>
      <c r="B4569" t="s">
        <v>6068</v>
      </c>
      <c r="C4569" t="s">
        <v>6069</v>
      </c>
      <c r="D4569" t="str">
        <f>HYPERLINK("http://service.sap.com/sap/support/notes/1629885","1629885")</f>
        <v>1629885</v>
      </c>
      <c r="E4569">
        <v>1</v>
      </c>
      <c r="F4569" t="s">
        <v>6070</v>
      </c>
    </row>
    <row r="4570" spans="1:6" x14ac:dyDescent="0.25">
      <c r="A4570" t="s">
        <v>1522</v>
      </c>
      <c r="B4570" t="s">
        <v>6071</v>
      </c>
      <c r="C4570" t="s">
        <v>6072</v>
      </c>
      <c r="D4570" t="str">
        <f>HYPERLINK("http://service.sap.com/sap/support/notes/1618130","1618130")</f>
        <v>1618130</v>
      </c>
      <c r="E4570">
        <v>1</v>
      </c>
      <c r="F4570" t="s">
        <v>6073</v>
      </c>
    </row>
    <row r="4571" spans="1:6" x14ac:dyDescent="0.25">
      <c r="A4571" t="s">
        <v>1522</v>
      </c>
      <c r="B4571" t="s">
        <v>6074</v>
      </c>
      <c r="C4571" t="s">
        <v>6075</v>
      </c>
      <c r="D4571" t="str">
        <f>HYPERLINK("http://service.sap.com/sap/support/notes/1622939","1622939")</f>
        <v>1622939</v>
      </c>
      <c r="E4571">
        <v>7</v>
      </c>
      <c r="F4571" t="s">
        <v>6076</v>
      </c>
    </row>
    <row r="4572" spans="1:6" x14ac:dyDescent="0.25">
      <c r="A4572" t="s">
        <v>1522</v>
      </c>
      <c r="B4572" t="s">
        <v>6074</v>
      </c>
      <c r="C4572" t="s">
        <v>6075</v>
      </c>
      <c r="D4572" t="str">
        <f>HYPERLINK("http://service.sap.com/sap/support/notes/1622940","1622940")</f>
        <v>1622940</v>
      </c>
      <c r="E4572">
        <v>5</v>
      </c>
      <c r="F4572" t="s">
        <v>6076</v>
      </c>
    </row>
    <row r="4573" spans="1:6" x14ac:dyDescent="0.25">
      <c r="A4573" t="s">
        <v>6077</v>
      </c>
      <c r="B4573" t="s">
        <v>90</v>
      </c>
      <c r="C4573" t="s">
        <v>91</v>
      </c>
    </row>
    <row r="4574" spans="1:6" x14ac:dyDescent="0.25">
      <c r="A4574" t="s">
        <v>6077</v>
      </c>
      <c r="B4574" t="s">
        <v>1523</v>
      </c>
      <c r="C4574" t="s">
        <v>1524</v>
      </c>
      <c r="D4574" t="str">
        <f>HYPERLINK("http://service.sap.com/sap/support/notes/1119082","1119082")</f>
        <v>1119082</v>
      </c>
      <c r="E4574">
        <v>3</v>
      </c>
      <c r="F4574" t="s">
        <v>6078</v>
      </c>
    </row>
    <row r="4575" spans="1:6" x14ac:dyDescent="0.25">
      <c r="A4575" t="s">
        <v>6077</v>
      </c>
      <c r="B4575" t="s">
        <v>92</v>
      </c>
      <c r="C4575" t="s">
        <v>93</v>
      </c>
      <c r="D4575" t="str">
        <f>HYPERLINK("http://service.sap.com/sap/support/notes/1503626","1503626")</f>
        <v>1503626</v>
      </c>
      <c r="E4575">
        <v>2</v>
      </c>
      <c r="F4575" t="s">
        <v>6079</v>
      </c>
    </row>
    <row r="4576" spans="1:6" x14ac:dyDescent="0.25">
      <c r="A4576" t="s">
        <v>6077</v>
      </c>
      <c r="B4576" t="s">
        <v>92</v>
      </c>
      <c r="C4576" t="s">
        <v>93</v>
      </c>
      <c r="D4576" t="str">
        <f>HYPERLINK("http://service.sap.com/sap/support/notes/1673764","1673764")</f>
        <v>1673764</v>
      </c>
      <c r="E4576">
        <v>2</v>
      </c>
      <c r="F4576" t="s">
        <v>6080</v>
      </c>
    </row>
    <row r="4577" spans="1:6" x14ac:dyDescent="0.25">
      <c r="A4577" t="s">
        <v>6077</v>
      </c>
      <c r="B4577" t="s">
        <v>92</v>
      </c>
      <c r="C4577" t="s">
        <v>93</v>
      </c>
      <c r="D4577" t="str">
        <f>HYPERLINK("http://service.sap.com/sap/support/notes/1673816","1673816")</f>
        <v>1673816</v>
      </c>
      <c r="E4577">
        <v>2</v>
      </c>
      <c r="F4577" t="s">
        <v>6081</v>
      </c>
    </row>
    <row r="4578" spans="1:6" x14ac:dyDescent="0.25">
      <c r="A4578" t="s">
        <v>6077</v>
      </c>
      <c r="B4578" t="s">
        <v>92</v>
      </c>
      <c r="C4578" t="s">
        <v>93</v>
      </c>
      <c r="D4578" t="str">
        <f>HYPERLINK("http://service.sap.com/sap/support/notes/1678978","1678978")</f>
        <v>1678978</v>
      </c>
      <c r="E4578">
        <v>3</v>
      </c>
      <c r="F4578" t="s">
        <v>6082</v>
      </c>
    </row>
    <row r="4579" spans="1:6" x14ac:dyDescent="0.25">
      <c r="A4579" t="s">
        <v>6077</v>
      </c>
      <c r="B4579" t="s">
        <v>92</v>
      </c>
      <c r="C4579" t="s">
        <v>93</v>
      </c>
      <c r="D4579" t="str">
        <f>HYPERLINK("http://service.sap.com/sap/support/notes/1681831","1681831")</f>
        <v>1681831</v>
      </c>
      <c r="E4579">
        <v>3</v>
      </c>
      <c r="F4579" t="s">
        <v>6083</v>
      </c>
    </row>
    <row r="4580" spans="1:6" x14ac:dyDescent="0.25">
      <c r="A4580" t="s">
        <v>6077</v>
      </c>
      <c r="B4580" t="s">
        <v>92</v>
      </c>
      <c r="C4580" t="s">
        <v>93</v>
      </c>
      <c r="D4580" t="str">
        <f>HYPERLINK("http://service.sap.com/sap/support/notes/1685076","1685076")</f>
        <v>1685076</v>
      </c>
      <c r="E4580">
        <v>1</v>
      </c>
      <c r="F4580" t="s">
        <v>6084</v>
      </c>
    </row>
    <row r="4581" spans="1:6" x14ac:dyDescent="0.25">
      <c r="A4581" t="s">
        <v>6077</v>
      </c>
      <c r="B4581" t="s">
        <v>92</v>
      </c>
      <c r="C4581" t="s">
        <v>93</v>
      </c>
      <c r="D4581" t="str">
        <f>HYPERLINK("http://service.sap.com/sap/support/notes/1686299","1686299")</f>
        <v>1686299</v>
      </c>
      <c r="E4581">
        <v>1</v>
      </c>
      <c r="F4581" t="s">
        <v>6085</v>
      </c>
    </row>
    <row r="4582" spans="1:6" x14ac:dyDescent="0.25">
      <c r="A4582" t="s">
        <v>6077</v>
      </c>
      <c r="B4582" t="s">
        <v>1531</v>
      </c>
      <c r="C4582" t="s">
        <v>1532</v>
      </c>
      <c r="D4582" t="str">
        <f>HYPERLINK("http://service.sap.com/sap/support/notes/1664339","1664339")</f>
        <v>1664339</v>
      </c>
      <c r="E4582">
        <v>2</v>
      </c>
      <c r="F4582" t="s">
        <v>6086</v>
      </c>
    </row>
    <row r="4583" spans="1:6" x14ac:dyDescent="0.25">
      <c r="A4583" t="s">
        <v>6077</v>
      </c>
      <c r="B4583" t="s">
        <v>1531</v>
      </c>
      <c r="C4583" t="s">
        <v>1532</v>
      </c>
      <c r="D4583" t="str">
        <f>HYPERLINK("http://service.sap.com/sap/support/notes/1679869","1679869")</f>
        <v>1679869</v>
      </c>
      <c r="E4583">
        <v>1</v>
      </c>
      <c r="F4583" t="s">
        <v>6087</v>
      </c>
    </row>
    <row r="4584" spans="1:6" x14ac:dyDescent="0.25">
      <c r="A4584" t="s">
        <v>6077</v>
      </c>
      <c r="B4584" t="s">
        <v>1531</v>
      </c>
      <c r="C4584" t="s">
        <v>1532</v>
      </c>
      <c r="D4584" t="str">
        <f>HYPERLINK("http://service.sap.com/sap/support/notes/1691803","1691803")</f>
        <v>1691803</v>
      </c>
      <c r="E4584">
        <v>1</v>
      </c>
      <c r="F4584" t="s">
        <v>6088</v>
      </c>
    </row>
    <row r="4585" spans="1:6" x14ac:dyDescent="0.25">
      <c r="A4585" t="s">
        <v>6077</v>
      </c>
      <c r="B4585" t="s">
        <v>1531</v>
      </c>
      <c r="C4585" t="s">
        <v>1532</v>
      </c>
      <c r="D4585" t="str">
        <f>HYPERLINK("http://service.sap.com/sap/support/notes/1693239","1693239")</f>
        <v>1693239</v>
      </c>
      <c r="E4585">
        <v>1</v>
      </c>
      <c r="F4585" t="s">
        <v>6089</v>
      </c>
    </row>
    <row r="4586" spans="1:6" x14ac:dyDescent="0.25">
      <c r="A4586" t="s">
        <v>6077</v>
      </c>
      <c r="B4586" t="s">
        <v>1531</v>
      </c>
      <c r="C4586" t="s">
        <v>1532</v>
      </c>
      <c r="D4586" t="str">
        <f>HYPERLINK("http://service.sap.com/sap/support/notes/1694216","1694216")</f>
        <v>1694216</v>
      </c>
      <c r="E4586">
        <v>2</v>
      </c>
      <c r="F4586" t="s">
        <v>6090</v>
      </c>
    </row>
    <row r="4587" spans="1:6" x14ac:dyDescent="0.25">
      <c r="A4587" t="s">
        <v>6077</v>
      </c>
      <c r="B4587" t="s">
        <v>5</v>
      </c>
      <c r="C4587" t="s">
        <v>6</v>
      </c>
    </row>
    <row r="4588" spans="1:6" x14ac:dyDescent="0.25">
      <c r="A4588" t="s">
        <v>6077</v>
      </c>
      <c r="B4588" t="s">
        <v>13</v>
      </c>
      <c r="C4588" t="s">
        <v>14</v>
      </c>
    </row>
    <row r="4589" spans="1:6" x14ac:dyDescent="0.25">
      <c r="A4589" t="s">
        <v>6077</v>
      </c>
      <c r="B4589" t="s">
        <v>1541</v>
      </c>
      <c r="C4589" t="s">
        <v>337</v>
      </c>
    </row>
    <row r="4590" spans="1:6" x14ac:dyDescent="0.25">
      <c r="A4590" t="s">
        <v>6077</v>
      </c>
      <c r="B4590" t="s">
        <v>1542</v>
      </c>
      <c r="C4590" t="s">
        <v>1543</v>
      </c>
      <c r="D4590" t="str">
        <f>HYPERLINK("http://service.sap.com/sap/support/notes/1675086","1675086")</f>
        <v>1675086</v>
      </c>
      <c r="E4590">
        <v>1</v>
      </c>
      <c r="F4590" t="s">
        <v>6091</v>
      </c>
    </row>
    <row r="4591" spans="1:6" x14ac:dyDescent="0.25">
      <c r="A4591" t="s">
        <v>6077</v>
      </c>
      <c r="B4591" t="s">
        <v>1542</v>
      </c>
      <c r="C4591" t="s">
        <v>1543</v>
      </c>
      <c r="D4591" t="str">
        <f>HYPERLINK("http://service.sap.com/sap/support/notes/1682345","1682345")</f>
        <v>1682345</v>
      </c>
      <c r="E4591">
        <v>1</v>
      </c>
      <c r="F4591" t="s">
        <v>6092</v>
      </c>
    </row>
    <row r="4592" spans="1:6" x14ac:dyDescent="0.25">
      <c r="A4592" t="s">
        <v>6077</v>
      </c>
      <c r="B4592" t="s">
        <v>1542</v>
      </c>
      <c r="C4592" t="s">
        <v>1543</v>
      </c>
      <c r="D4592" t="str">
        <f>HYPERLINK("http://service.sap.com/sap/support/notes/1684816","1684816")</f>
        <v>1684816</v>
      </c>
      <c r="E4592">
        <v>2</v>
      </c>
      <c r="F4592" t="s">
        <v>6093</v>
      </c>
    </row>
    <row r="4593" spans="1:6" x14ac:dyDescent="0.25">
      <c r="A4593" t="s">
        <v>6077</v>
      </c>
      <c r="B4593" t="s">
        <v>1542</v>
      </c>
      <c r="C4593" t="s">
        <v>1543</v>
      </c>
      <c r="D4593" t="str">
        <f>HYPERLINK("http://service.sap.com/sap/support/notes/1691776","1691776")</f>
        <v>1691776</v>
      </c>
      <c r="E4593">
        <v>1</v>
      </c>
      <c r="F4593" t="s">
        <v>6094</v>
      </c>
    </row>
    <row r="4594" spans="1:6" x14ac:dyDescent="0.25">
      <c r="A4594" t="s">
        <v>6077</v>
      </c>
      <c r="B4594" t="s">
        <v>1542</v>
      </c>
      <c r="C4594" t="s">
        <v>1543</v>
      </c>
      <c r="D4594" t="str">
        <f>HYPERLINK("http://service.sap.com/sap/support/notes/1696000","1696000")</f>
        <v>1696000</v>
      </c>
      <c r="E4594">
        <v>1</v>
      </c>
      <c r="F4594" t="s">
        <v>6095</v>
      </c>
    </row>
    <row r="4595" spans="1:6" x14ac:dyDescent="0.25">
      <c r="A4595" t="s">
        <v>6077</v>
      </c>
      <c r="B4595" t="s">
        <v>1542</v>
      </c>
      <c r="C4595" t="s">
        <v>1543</v>
      </c>
      <c r="D4595" t="str">
        <f>HYPERLINK("http://service.sap.com/sap/support/notes/1696192","1696192")</f>
        <v>1696192</v>
      </c>
      <c r="E4595">
        <v>1</v>
      </c>
      <c r="F4595" t="s">
        <v>6096</v>
      </c>
    </row>
    <row r="4596" spans="1:6" x14ac:dyDescent="0.25">
      <c r="A4596" t="s">
        <v>6077</v>
      </c>
      <c r="B4596" t="s">
        <v>1542</v>
      </c>
      <c r="C4596" t="s">
        <v>1543</v>
      </c>
      <c r="D4596" t="str">
        <f>HYPERLINK("http://service.sap.com/sap/support/notes/1697084","1697084")</f>
        <v>1697084</v>
      </c>
      <c r="E4596">
        <v>2</v>
      </c>
      <c r="F4596" t="s">
        <v>6097</v>
      </c>
    </row>
    <row r="4597" spans="1:6" x14ac:dyDescent="0.25">
      <c r="A4597" t="s">
        <v>6077</v>
      </c>
      <c r="B4597" t="s">
        <v>99</v>
      </c>
      <c r="C4597" t="s">
        <v>100</v>
      </c>
      <c r="D4597" t="str">
        <f>HYPERLINK("http://service.sap.com/sap/support/notes/1676428","1676428")</f>
        <v>1676428</v>
      </c>
      <c r="E4597">
        <v>2</v>
      </c>
      <c r="F4597" t="s">
        <v>6098</v>
      </c>
    </row>
    <row r="4598" spans="1:6" x14ac:dyDescent="0.25">
      <c r="A4598" t="s">
        <v>6077</v>
      </c>
      <c r="B4598" t="s">
        <v>99</v>
      </c>
      <c r="C4598" t="s">
        <v>100</v>
      </c>
      <c r="D4598" t="str">
        <f>HYPERLINK("http://service.sap.com/sap/support/notes/1688615","1688615")</f>
        <v>1688615</v>
      </c>
      <c r="E4598">
        <v>3</v>
      </c>
      <c r="F4598" t="s">
        <v>6099</v>
      </c>
    </row>
    <row r="4599" spans="1:6" x14ac:dyDescent="0.25">
      <c r="A4599" t="s">
        <v>6077</v>
      </c>
      <c r="B4599" t="s">
        <v>101</v>
      </c>
      <c r="C4599" t="s">
        <v>102</v>
      </c>
      <c r="D4599" t="str">
        <f>HYPERLINK("http://service.sap.com/sap/support/notes/1544626","1544626")</f>
        <v>1544626</v>
      </c>
      <c r="E4599">
        <v>3</v>
      </c>
      <c r="F4599" t="s">
        <v>6100</v>
      </c>
    </row>
    <row r="4600" spans="1:6" x14ac:dyDescent="0.25">
      <c r="A4600" t="s">
        <v>6077</v>
      </c>
      <c r="B4600" t="s">
        <v>104</v>
      </c>
      <c r="C4600" t="s">
        <v>105</v>
      </c>
    </row>
    <row r="4601" spans="1:6" x14ac:dyDescent="0.25">
      <c r="A4601" t="s">
        <v>6077</v>
      </c>
      <c r="B4601" t="s">
        <v>6101</v>
      </c>
      <c r="C4601" t="s">
        <v>6102</v>
      </c>
      <c r="D4601" t="str">
        <f>HYPERLINK("http://service.sap.com/sap/support/notes/1688104","1688104")</f>
        <v>1688104</v>
      </c>
      <c r="E4601">
        <v>1</v>
      </c>
      <c r="F4601" t="s">
        <v>6103</v>
      </c>
    </row>
    <row r="4602" spans="1:6" x14ac:dyDescent="0.25">
      <c r="A4602" t="s">
        <v>6077</v>
      </c>
      <c r="B4602" t="s">
        <v>114</v>
      </c>
      <c r="C4602" t="s">
        <v>115</v>
      </c>
    </row>
    <row r="4603" spans="1:6" x14ac:dyDescent="0.25">
      <c r="A4603" t="s">
        <v>6077</v>
      </c>
      <c r="B4603" t="s">
        <v>116</v>
      </c>
      <c r="C4603" t="s">
        <v>117</v>
      </c>
    </row>
    <row r="4604" spans="1:6" x14ac:dyDescent="0.25">
      <c r="A4604" t="s">
        <v>6077</v>
      </c>
      <c r="B4604" t="s">
        <v>118</v>
      </c>
      <c r="C4604" t="s">
        <v>119</v>
      </c>
      <c r="D4604" t="str">
        <f>HYPERLINK("http://service.sap.com/sap/support/notes/1348948","1348948")</f>
        <v>1348948</v>
      </c>
      <c r="E4604">
        <v>5</v>
      </c>
      <c r="F4604" t="s">
        <v>6104</v>
      </c>
    </row>
    <row r="4605" spans="1:6" x14ac:dyDescent="0.25">
      <c r="A4605" t="s">
        <v>6077</v>
      </c>
      <c r="B4605" t="s">
        <v>118</v>
      </c>
      <c r="C4605" t="s">
        <v>119</v>
      </c>
      <c r="D4605" t="str">
        <f>HYPERLINK("http://service.sap.com/sap/support/notes/1621734","1621734")</f>
        <v>1621734</v>
      </c>
      <c r="E4605">
        <v>4</v>
      </c>
      <c r="F4605" t="s">
        <v>6105</v>
      </c>
    </row>
    <row r="4606" spans="1:6" x14ac:dyDescent="0.25">
      <c r="A4606" t="s">
        <v>6077</v>
      </c>
      <c r="B4606" t="s">
        <v>118</v>
      </c>
      <c r="C4606" t="s">
        <v>119</v>
      </c>
      <c r="D4606" t="str">
        <f>HYPERLINK("http://service.sap.com/sap/support/notes/1680880","1680880")</f>
        <v>1680880</v>
      </c>
      <c r="E4606">
        <v>2</v>
      </c>
      <c r="F4606" t="s">
        <v>6106</v>
      </c>
    </row>
    <row r="4607" spans="1:6" x14ac:dyDescent="0.25">
      <c r="A4607" t="s">
        <v>6077</v>
      </c>
      <c r="B4607" t="s">
        <v>118</v>
      </c>
      <c r="C4607" t="s">
        <v>119</v>
      </c>
      <c r="D4607" t="str">
        <f>HYPERLINK("http://service.sap.com/sap/support/notes/1686764","1686764")</f>
        <v>1686764</v>
      </c>
      <c r="E4607">
        <v>5</v>
      </c>
      <c r="F4607" t="s">
        <v>6107</v>
      </c>
    </row>
    <row r="4608" spans="1:6" x14ac:dyDescent="0.25">
      <c r="A4608" t="s">
        <v>6077</v>
      </c>
      <c r="B4608" t="s">
        <v>121</v>
      </c>
      <c r="C4608" t="s">
        <v>122</v>
      </c>
    </row>
    <row r="4609" spans="1:6" x14ac:dyDescent="0.25">
      <c r="A4609" t="s">
        <v>6077</v>
      </c>
      <c r="B4609" t="s">
        <v>123</v>
      </c>
      <c r="C4609" t="s">
        <v>124</v>
      </c>
    </row>
    <row r="4610" spans="1:6" x14ac:dyDescent="0.25">
      <c r="A4610" t="s">
        <v>6077</v>
      </c>
      <c r="B4610" t="s">
        <v>1567</v>
      </c>
      <c r="C4610" t="s">
        <v>1568</v>
      </c>
      <c r="D4610" t="str">
        <f>HYPERLINK("http://service.sap.com/sap/support/notes/1677355","1677355")</f>
        <v>1677355</v>
      </c>
      <c r="E4610">
        <v>1</v>
      </c>
      <c r="F4610" t="s">
        <v>6108</v>
      </c>
    </row>
    <row r="4611" spans="1:6" x14ac:dyDescent="0.25">
      <c r="A4611" t="s">
        <v>6077</v>
      </c>
      <c r="B4611" t="s">
        <v>1567</v>
      </c>
      <c r="C4611" t="s">
        <v>1568</v>
      </c>
      <c r="D4611" t="str">
        <f>HYPERLINK("http://service.sap.com/sap/support/notes/1690576","1690576")</f>
        <v>1690576</v>
      </c>
      <c r="E4611">
        <v>2</v>
      </c>
      <c r="F4611" t="s">
        <v>6109</v>
      </c>
    </row>
    <row r="4612" spans="1:6" x14ac:dyDescent="0.25">
      <c r="A4612" t="s">
        <v>6077</v>
      </c>
      <c r="B4612" t="s">
        <v>125</v>
      </c>
      <c r="C4612" t="s">
        <v>126</v>
      </c>
    </row>
    <row r="4613" spans="1:6" x14ac:dyDescent="0.25">
      <c r="A4613" t="s">
        <v>6077</v>
      </c>
      <c r="B4613" t="s">
        <v>127</v>
      </c>
      <c r="C4613" t="s">
        <v>128</v>
      </c>
      <c r="D4613" t="str">
        <f>HYPERLINK("http://service.sap.com/sap/support/notes/1686867","1686867")</f>
        <v>1686867</v>
      </c>
      <c r="E4613">
        <v>1</v>
      </c>
      <c r="F4613" t="s">
        <v>6110</v>
      </c>
    </row>
    <row r="4614" spans="1:6" x14ac:dyDescent="0.25">
      <c r="A4614" t="s">
        <v>6077</v>
      </c>
      <c r="B4614" t="s">
        <v>6111</v>
      </c>
      <c r="C4614" t="s">
        <v>281</v>
      </c>
    </row>
    <row r="4615" spans="1:6" x14ac:dyDescent="0.25">
      <c r="A4615" t="s">
        <v>6077</v>
      </c>
      <c r="B4615" t="s">
        <v>6112</v>
      </c>
      <c r="C4615" t="s">
        <v>2083</v>
      </c>
      <c r="D4615" t="str">
        <f>HYPERLINK("http://service.sap.com/sap/support/notes/1671392","1671392")</f>
        <v>1671392</v>
      </c>
      <c r="E4615">
        <v>2</v>
      </c>
      <c r="F4615" t="s">
        <v>6113</v>
      </c>
    </row>
    <row r="4616" spans="1:6" x14ac:dyDescent="0.25">
      <c r="A4616" t="s">
        <v>6077</v>
      </c>
      <c r="B4616" t="s">
        <v>131</v>
      </c>
      <c r="C4616" t="s">
        <v>132</v>
      </c>
      <c r="D4616" t="str">
        <f>HYPERLINK("http://service.sap.com/sap/support/notes/1538537","1538537")</f>
        <v>1538537</v>
      </c>
      <c r="E4616">
        <v>2</v>
      </c>
      <c r="F4616" t="s">
        <v>6114</v>
      </c>
    </row>
    <row r="4617" spans="1:6" x14ac:dyDescent="0.25">
      <c r="A4617" t="s">
        <v>6077</v>
      </c>
      <c r="B4617" t="s">
        <v>131</v>
      </c>
      <c r="C4617" t="s">
        <v>132</v>
      </c>
      <c r="D4617" t="str">
        <f>HYPERLINK("http://service.sap.com/sap/support/notes/1599517","1599517")</f>
        <v>1599517</v>
      </c>
      <c r="E4617">
        <v>2</v>
      </c>
      <c r="F4617" t="s">
        <v>6115</v>
      </c>
    </row>
    <row r="4618" spans="1:6" x14ac:dyDescent="0.25">
      <c r="A4618" t="s">
        <v>6077</v>
      </c>
      <c r="B4618" t="s">
        <v>131</v>
      </c>
      <c r="C4618" t="s">
        <v>132</v>
      </c>
      <c r="D4618" t="str">
        <f>HYPERLINK("http://service.sap.com/sap/support/notes/1684630","1684630")</f>
        <v>1684630</v>
      </c>
      <c r="E4618">
        <v>1</v>
      </c>
      <c r="F4618" t="s">
        <v>6116</v>
      </c>
    </row>
    <row r="4619" spans="1:6" x14ac:dyDescent="0.25">
      <c r="A4619" t="s">
        <v>6077</v>
      </c>
      <c r="B4619" t="s">
        <v>133</v>
      </c>
      <c r="C4619" t="s">
        <v>134</v>
      </c>
      <c r="D4619" t="str">
        <f>HYPERLINK("http://service.sap.com/sap/support/notes/1676879","1676879")</f>
        <v>1676879</v>
      </c>
      <c r="E4619">
        <v>1</v>
      </c>
      <c r="F4619" t="s">
        <v>6117</v>
      </c>
    </row>
    <row r="4620" spans="1:6" x14ac:dyDescent="0.25">
      <c r="A4620" t="s">
        <v>6077</v>
      </c>
      <c r="B4620" t="s">
        <v>133</v>
      </c>
      <c r="C4620" t="s">
        <v>134</v>
      </c>
      <c r="D4620" t="str">
        <f>HYPERLINK("http://service.sap.com/sap/support/notes/1692574","1692574")</f>
        <v>1692574</v>
      </c>
      <c r="E4620">
        <v>1</v>
      </c>
      <c r="F4620" t="s">
        <v>6118</v>
      </c>
    </row>
    <row r="4621" spans="1:6" x14ac:dyDescent="0.25">
      <c r="A4621" t="s">
        <v>6077</v>
      </c>
      <c r="B4621" t="s">
        <v>6119</v>
      </c>
      <c r="C4621" t="s">
        <v>6120</v>
      </c>
      <c r="D4621" t="str">
        <f>HYPERLINK("http://service.sap.com/sap/support/notes/1573544","1573544")</f>
        <v>1573544</v>
      </c>
      <c r="E4621">
        <v>4</v>
      </c>
      <c r="F4621" t="s">
        <v>6121</v>
      </c>
    </row>
    <row r="4622" spans="1:6" x14ac:dyDescent="0.25">
      <c r="A4622" t="s">
        <v>6077</v>
      </c>
      <c r="B4622" t="s">
        <v>1591</v>
      </c>
      <c r="C4622" t="s">
        <v>1592</v>
      </c>
      <c r="D4622" t="str">
        <f>HYPERLINK("http://service.sap.com/sap/support/notes/1501731","1501731")</f>
        <v>1501731</v>
      </c>
      <c r="E4622">
        <v>4</v>
      </c>
      <c r="F4622" t="s">
        <v>6122</v>
      </c>
    </row>
    <row r="4623" spans="1:6" x14ac:dyDescent="0.25">
      <c r="A4623" t="s">
        <v>6077</v>
      </c>
      <c r="B4623" t="s">
        <v>1591</v>
      </c>
      <c r="C4623" t="s">
        <v>1592</v>
      </c>
      <c r="D4623" t="str">
        <f>HYPERLINK("http://service.sap.com/sap/support/notes/1558864","1558864")</f>
        <v>1558864</v>
      </c>
      <c r="E4623">
        <v>4</v>
      </c>
      <c r="F4623" t="s">
        <v>6123</v>
      </c>
    </row>
    <row r="4624" spans="1:6" x14ac:dyDescent="0.25">
      <c r="A4624" t="s">
        <v>6077</v>
      </c>
      <c r="B4624" t="s">
        <v>1591</v>
      </c>
      <c r="C4624" t="s">
        <v>1592</v>
      </c>
      <c r="D4624" t="str">
        <f>HYPERLINK("http://service.sap.com/sap/support/notes/1591378","1591378")</f>
        <v>1591378</v>
      </c>
      <c r="E4624">
        <v>2</v>
      </c>
      <c r="F4624" t="s">
        <v>6124</v>
      </c>
    </row>
    <row r="4625" spans="1:6" x14ac:dyDescent="0.25">
      <c r="A4625" t="s">
        <v>6077</v>
      </c>
      <c r="B4625" t="s">
        <v>1591</v>
      </c>
      <c r="C4625" t="s">
        <v>1592</v>
      </c>
      <c r="D4625" t="str">
        <f>HYPERLINK("http://service.sap.com/sap/support/notes/1676453","1676453")</f>
        <v>1676453</v>
      </c>
      <c r="E4625">
        <v>1</v>
      </c>
      <c r="F4625" t="s">
        <v>6125</v>
      </c>
    </row>
    <row r="4626" spans="1:6" x14ac:dyDescent="0.25">
      <c r="A4626" t="s">
        <v>6077</v>
      </c>
      <c r="B4626" t="s">
        <v>1591</v>
      </c>
      <c r="C4626" t="s">
        <v>1592</v>
      </c>
      <c r="D4626" t="str">
        <f>HYPERLINK("http://service.sap.com/sap/support/notes/1677951","1677951")</f>
        <v>1677951</v>
      </c>
      <c r="E4626">
        <v>2</v>
      </c>
      <c r="F4626" t="s">
        <v>6126</v>
      </c>
    </row>
    <row r="4627" spans="1:6" x14ac:dyDescent="0.25">
      <c r="A4627" t="s">
        <v>6077</v>
      </c>
      <c r="B4627" t="s">
        <v>1591</v>
      </c>
      <c r="C4627" t="s">
        <v>1592</v>
      </c>
      <c r="D4627" t="str">
        <f>HYPERLINK("http://service.sap.com/sap/support/notes/1686669","1686669")</f>
        <v>1686669</v>
      </c>
      <c r="E4627">
        <v>1</v>
      </c>
      <c r="F4627" t="s">
        <v>6127</v>
      </c>
    </row>
    <row r="4628" spans="1:6" x14ac:dyDescent="0.25">
      <c r="A4628" t="s">
        <v>6077</v>
      </c>
      <c r="B4628" t="s">
        <v>1591</v>
      </c>
      <c r="C4628" t="s">
        <v>1592</v>
      </c>
      <c r="D4628" t="str">
        <f>HYPERLINK("http://service.sap.com/sap/support/notes/1690723","1690723")</f>
        <v>1690723</v>
      </c>
      <c r="E4628">
        <v>1</v>
      </c>
      <c r="F4628" t="s">
        <v>6128</v>
      </c>
    </row>
    <row r="4629" spans="1:6" x14ac:dyDescent="0.25">
      <c r="A4629" t="s">
        <v>6077</v>
      </c>
      <c r="B4629" t="s">
        <v>6129</v>
      </c>
      <c r="C4629" t="s">
        <v>6130</v>
      </c>
      <c r="D4629" t="str">
        <f>HYPERLINK("http://service.sap.com/sap/support/notes/1380527","1380527")</f>
        <v>1380527</v>
      </c>
      <c r="E4629">
        <v>2</v>
      </c>
      <c r="F4629" t="s">
        <v>6131</v>
      </c>
    </row>
    <row r="4630" spans="1:6" x14ac:dyDescent="0.25">
      <c r="A4630" t="s">
        <v>6077</v>
      </c>
      <c r="B4630" t="s">
        <v>6132</v>
      </c>
      <c r="C4630" t="s">
        <v>592</v>
      </c>
    </row>
    <row r="4631" spans="1:6" x14ac:dyDescent="0.25">
      <c r="A4631" t="s">
        <v>6077</v>
      </c>
      <c r="B4631" t="s">
        <v>6133</v>
      </c>
      <c r="C4631" t="s">
        <v>594</v>
      </c>
      <c r="D4631" t="str">
        <f>HYPERLINK("http://service.sap.com/sap/support/notes/1690123","1690123")</f>
        <v>1690123</v>
      </c>
      <c r="E4631">
        <v>1</v>
      </c>
      <c r="F4631" t="s">
        <v>6134</v>
      </c>
    </row>
    <row r="4632" spans="1:6" x14ac:dyDescent="0.25">
      <c r="A4632" t="s">
        <v>6077</v>
      </c>
      <c r="B4632" t="s">
        <v>1594</v>
      </c>
      <c r="C4632" t="s">
        <v>1595</v>
      </c>
      <c r="D4632" t="str">
        <f>HYPERLINK("http://service.sap.com/sap/support/notes/1682318","1682318")</f>
        <v>1682318</v>
      </c>
      <c r="E4632">
        <v>1</v>
      </c>
      <c r="F4632" t="s">
        <v>6135</v>
      </c>
    </row>
    <row r="4633" spans="1:6" x14ac:dyDescent="0.25">
      <c r="A4633" t="s">
        <v>6077</v>
      </c>
      <c r="B4633" t="s">
        <v>136</v>
      </c>
      <c r="C4633" t="s">
        <v>25</v>
      </c>
    </row>
    <row r="4634" spans="1:6" x14ac:dyDescent="0.25">
      <c r="A4634" t="s">
        <v>6077</v>
      </c>
      <c r="B4634" t="s">
        <v>137</v>
      </c>
      <c r="C4634" t="s">
        <v>138</v>
      </c>
      <c r="D4634" t="str">
        <f>HYPERLINK("http://service.sap.com/sap/support/notes/1682030","1682030")</f>
        <v>1682030</v>
      </c>
      <c r="E4634">
        <v>1</v>
      </c>
      <c r="F4634" t="s">
        <v>6136</v>
      </c>
    </row>
    <row r="4635" spans="1:6" x14ac:dyDescent="0.25">
      <c r="A4635" t="s">
        <v>6077</v>
      </c>
      <c r="B4635" t="s">
        <v>140</v>
      </c>
      <c r="C4635" t="s">
        <v>141</v>
      </c>
    </row>
    <row r="4636" spans="1:6" x14ac:dyDescent="0.25">
      <c r="A4636" t="s">
        <v>6077</v>
      </c>
      <c r="B4636" t="s">
        <v>145</v>
      </c>
      <c r="C4636" t="s">
        <v>146</v>
      </c>
      <c r="D4636" t="str">
        <f>HYPERLINK("http://service.sap.com/sap/support/notes/1632840","1632840")</f>
        <v>1632840</v>
      </c>
      <c r="E4636">
        <v>5</v>
      </c>
      <c r="F4636" t="s">
        <v>6137</v>
      </c>
    </row>
    <row r="4637" spans="1:6" x14ac:dyDescent="0.25">
      <c r="A4637" t="s">
        <v>6077</v>
      </c>
      <c r="B4637" t="s">
        <v>145</v>
      </c>
      <c r="C4637" t="s">
        <v>146</v>
      </c>
      <c r="D4637" t="str">
        <f>HYPERLINK("http://service.sap.com/sap/support/notes/1666166","1666166")</f>
        <v>1666166</v>
      </c>
      <c r="E4637">
        <v>2</v>
      </c>
      <c r="F4637" t="s">
        <v>6138</v>
      </c>
    </row>
    <row r="4638" spans="1:6" x14ac:dyDescent="0.25">
      <c r="A4638" t="s">
        <v>6077</v>
      </c>
      <c r="B4638" t="s">
        <v>145</v>
      </c>
      <c r="C4638" t="s">
        <v>146</v>
      </c>
      <c r="D4638" t="str">
        <f>HYPERLINK("http://service.sap.com/sap/support/notes/1687558","1687558")</f>
        <v>1687558</v>
      </c>
      <c r="E4638">
        <v>3</v>
      </c>
      <c r="F4638" t="s">
        <v>6139</v>
      </c>
    </row>
    <row r="4639" spans="1:6" x14ac:dyDescent="0.25">
      <c r="A4639" t="s">
        <v>6077</v>
      </c>
      <c r="B4639" t="s">
        <v>145</v>
      </c>
      <c r="C4639" t="s">
        <v>146</v>
      </c>
      <c r="D4639" t="str">
        <f>HYPERLINK("http://service.sap.com/sap/support/notes/1694460","1694460")</f>
        <v>1694460</v>
      </c>
      <c r="E4639">
        <v>1</v>
      </c>
      <c r="F4639" t="s">
        <v>6140</v>
      </c>
    </row>
    <row r="4640" spans="1:6" x14ac:dyDescent="0.25">
      <c r="A4640" t="s">
        <v>6077</v>
      </c>
      <c r="B4640" t="s">
        <v>149</v>
      </c>
      <c r="C4640" t="s">
        <v>150</v>
      </c>
    </row>
    <row r="4641" spans="1:6" x14ac:dyDescent="0.25">
      <c r="A4641" t="s">
        <v>6077</v>
      </c>
      <c r="B4641" t="s">
        <v>151</v>
      </c>
      <c r="C4641" t="s">
        <v>152</v>
      </c>
      <c r="D4641" t="str">
        <f>HYPERLINK("http://service.sap.com/sap/support/notes/1682416","1682416")</f>
        <v>1682416</v>
      </c>
      <c r="E4641">
        <v>2</v>
      </c>
      <c r="F4641" t="s">
        <v>6141</v>
      </c>
    </row>
    <row r="4642" spans="1:6" x14ac:dyDescent="0.25">
      <c r="A4642" t="s">
        <v>6077</v>
      </c>
      <c r="B4642" t="s">
        <v>162</v>
      </c>
      <c r="C4642" t="s">
        <v>163</v>
      </c>
    </row>
    <row r="4643" spans="1:6" x14ac:dyDescent="0.25">
      <c r="A4643" t="s">
        <v>6077</v>
      </c>
      <c r="B4643" t="s">
        <v>164</v>
      </c>
      <c r="C4643" t="s">
        <v>165</v>
      </c>
      <c r="D4643" t="str">
        <f>HYPERLINK("http://service.sap.com/sap/support/notes/1672072","1672072")</f>
        <v>1672072</v>
      </c>
      <c r="E4643">
        <v>1</v>
      </c>
      <c r="F4643" t="s">
        <v>6142</v>
      </c>
    </row>
    <row r="4644" spans="1:6" x14ac:dyDescent="0.25">
      <c r="A4644" t="s">
        <v>6077</v>
      </c>
      <c r="B4644" t="s">
        <v>172</v>
      </c>
      <c r="C4644" t="s">
        <v>173</v>
      </c>
    </row>
    <row r="4645" spans="1:6" x14ac:dyDescent="0.25">
      <c r="A4645" t="s">
        <v>6077</v>
      </c>
      <c r="B4645" t="s">
        <v>1635</v>
      </c>
      <c r="C4645" t="s">
        <v>1636</v>
      </c>
      <c r="D4645" t="str">
        <f>HYPERLINK("http://service.sap.com/sap/support/notes/1678720","1678720")</f>
        <v>1678720</v>
      </c>
      <c r="E4645">
        <v>1</v>
      </c>
      <c r="F4645" t="s">
        <v>6143</v>
      </c>
    </row>
    <row r="4646" spans="1:6" x14ac:dyDescent="0.25">
      <c r="A4646" t="s">
        <v>6077</v>
      </c>
      <c r="B4646" t="s">
        <v>1641</v>
      </c>
      <c r="C4646" t="s">
        <v>1642</v>
      </c>
    </row>
    <row r="4647" spans="1:6" x14ac:dyDescent="0.25">
      <c r="A4647" t="s">
        <v>6077</v>
      </c>
      <c r="B4647" t="s">
        <v>1643</v>
      </c>
      <c r="C4647" t="s">
        <v>1644</v>
      </c>
      <c r="D4647" t="str">
        <f>HYPERLINK("http://service.sap.com/sap/support/notes/1690868","1690868")</f>
        <v>1690868</v>
      </c>
      <c r="E4647">
        <v>1</v>
      </c>
      <c r="F4647" t="s">
        <v>6144</v>
      </c>
    </row>
    <row r="4648" spans="1:6" x14ac:dyDescent="0.25">
      <c r="A4648" t="s">
        <v>6077</v>
      </c>
      <c r="B4648" t="s">
        <v>174</v>
      </c>
      <c r="C4648" t="s">
        <v>175</v>
      </c>
      <c r="D4648" t="str">
        <f>HYPERLINK("http://service.sap.com/sap/support/notes/1551740","1551740")</f>
        <v>1551740</v>
      </c>
      <c r="E4648">
        <v>4</v>
      </c>
      <c r="F4648" t="s">
        <v>6145</v>
      </c>
    </row>
    <row r="4649" spans="1:6" x14ac:dyDescent="0.25">
      <c r="A4649" t="s">
        <v>6077</v>
      </c>
      <c r="B4649" t="s">
        <v>174</v>
      </c>
      <c r="C4649" t="s">
        <v>175</v>
      </c>
      <c r="D4649" t="str">
        <f>HYPERLINK("http://service.sap.com/sap/support/notes/1652373","1652373")</f>
        <v>1652373</v>
      </c>
      <c r="E4649">
        <v>1</v>
      </c>
      <c r="F4649" t="s">
        <v>1656</v>
      </c>
    </row>
    <row r="4650" spans="1:6" x14ac:dyDescent="0.25">
      <c r="A4650" t="s">
        <v>6077</v>
      </c>
      <c r="B4650" t="s">
        <v>174</v>
      </c>
      <c r="C4650" t="s">
        <v>175</v>
      </c>
      <c r="D4650" t="str">
        <f>HYPERLINK("http://service.sap.com/sap/support/notes/1669547","1669547")</f>
        <v>1669547</v>
      </c>
      <c r="E4650">
        <v>3</v>
      </c>
      <c r="F4650" t="s">
        <v>1657</v>
      </c>
    </row>
    <row r="4651" spans="1:6" x14ac:dyDescent="0.25">
      <c r="A4651" t="s">
        <v>6077</v>
      </c>
      <c r="B4651" t="s">
        <v>174</v>
      </c>
      <c r="C4651" t="s">
        <v>175</v>
      </c>
      <c r="D4651" t="str">
        <f>HYPERLINK("http://service.sap.com/sap/support/notes/1673279","1673279")</f>
        <v>1673279</v>
      </c>
      <c r="E4651">
        <v>1</v>
      </c>
      <c r="F4651" t="s">
        <v>6146</v>
      </c>
    </row>
    <row r="4652" spans="1:6" x14ac:dyDescent="0.25">
      <c r="A4652" t="s">
        <v>6077</v>
      </c>
      <c r="B4652" t="s">
        <v>174</v>
      </c>
      <c r="C4652" t="s">
        <v>175</v>
      </c>
      <c r="D4652" t="str">
        <f>HYPERLINK("http://service.sap.com/sap/support/notes/1685559","1685559")</f>
        <v>1685559</v>
      </c>
      <c r="E4652">
        <v>1</v>
      </c>
      <c r="F4652" t="s">
        <v>6147</v>
      </c>
    </row>
    <row r="4653" spans="1:6" x14ac:dyDescent="0.25">
      <c r="A4653" t="s">
        <v>6077</v>
      </c>
      <c r="B4653" t="s">
        <v>174</v>
      </c>
      <c r="C4653" t="s">
        <v>175</v>
      </c>
      <c r="D4653" t="str">
        <f>HYPERLINK("http://service.sap.com/sap/support/notes/1686180","1686180")</f>
        <v>1686180</v>
      </c>
      <c r="E4653">
        <v>1</v>
      </c>
      <c r="F4653" t="s">
        <v>6148</v>
      </c>
    </row>
    <row r="4654" spans="1:6" x14ac:dyDescent="0.25">
      <c r="A4654" t="s">
        <v>6077</v>
      </c>
      <c r="B4654" t="s">
        <v>174</v>
      </c>
      <c r="C4654" t="s">
        <v>175</v>
      </c>
      <c r="D4654" t="str">
        <f>HYPERLINK("http://service.sap.com/sap/support/notes/1686662","1686662")</f>
        <v>1686662</v>
      </c>
      <c r="E4654">
        <v>1</v>
      </c>
      <c r="F4654" t="s">
        <v>6149</v>
      </c>
    </row>
    <row r="4655" spans="1:6" x14ac:dyDescent="0.25">
      <c r="A4655" t="s">
        <v>6077</v>
      </c>
      <c r="B4655" t="s">
        <v>174</v>
      </c>
      <c r="C4655" t="s">
        <v>175</v>
      </c>
      <c r="D4655" t="str">
        <f>HYPERLINK("http://service.sap.com/sap/support/notes/1686771","1686771")</f>
        <v>1686771</v>
      </c>
      <c r="E4655">
        <v>1</v>
      </c>
      <c r="F4655" t="s">
        <v>6150</v>
      </c>
    </row>
    <row r="4656" spans="1:6" x14ac:dyDescent="0.25">
      <c r="A4656" t="s">
        <v>6077</v>
      </c>
      <c r="B4656" t="s">
        <v>6151</v>
      </c>
      <c r="C4656" t="s">
        <v>6152</v>
      </c>
      <c r="D4656" t="str">
        <f>HYPERLINK("http://service.sap.com/sap/support/notes/1692290","1692290")</f>
        <v>1692290</v>
      </c>
      <c r="E4656">
        <v>1</v>
      </c>
      <c r="F4656" t="s">
        <v>6153</v>
      </c>
    </row>
    <row r="4657" spans="1:6" x14ac:dyDescent="0.25">
      <c r="A4657" t="s">
        <v>6077</v>
      </c>
      <c r="B4657" t="s">
        <v>6151</v>
      </c>
      <c r="C4657" t="s">
        <v>6152</v>
      </c>
      <c r="D4657" t="str">
        <f>HYPERLINK("http://service.sap.com/sap/support/notes/1693945","1693945")</f>
        <v>1693945</v>
      </c>
      <c r="E4657">
        <v>1</v>
      </c>
      <c r="F4657" t="s">
        <v>6154</v>
      </c>
    </row>
    <row r="4658" spans="1:6" x14ac:dyDescent="0.25">
      <c r="A4658" t="s">
        <v>6077</v>
      </c>
      <c r="B4658" t="s">
        <v>178</v>
      </c>
      <c r="C4658" t="s">
        <v>179</v>
      </c>
      <c r="D4658" t="str">
        <f>HYPERLINK("http://service.sap.com/sap/support/notes/1680309","1680309")</f>
        <v>1680309</v>
      </c>
      <c r="E4658">
        <v>1</v>
      </c>
      <c r="F4658" t="s">
        <v>6155</v>
      </c>
    </row>
    <row r="4659" spans="1:6" x14ac:dyDescent="0.25">
      <c r="A4659" t="s">
        <v>6077</v>
      </c>
      <c r="B4659" t="s">
        <v>6156</v>
      </c>
      <c r="C4659" t="s">
        <v>6157</v>
      </c>
    </row>
    <row r="4660" spans="1:6" x14ac:dyDescent="0.25">
      <c r="A4660" t="s">
        <v>6077</v>
      </c>
      <c r="B4660" t="s">
        <v>6158</v>
      </c>
      <c r="C4660" t="s">
        <v>6159</v>
      </c>
    </row>
    <row r="4661" spans="1:6" x14ac:dyDescent="0.25">
      <c r="A4661" t="s">
        <v>6077</v>
      </c>
      <c r="B4661" t="s">
        <v>6160</v>
      </c>
      <c r="C4661" t="s">
        <v>6159</v>
      </c>
      <c r="D4661" t="str">
        <f>HYPERLINK("http://service.sap.com/sap/support/notes/1658873","1658873")</f>
        <v>1658873</v>
      </c>
      <c r="E4661">
        <v>1</v>
      </c>
      <c r="F4661" t="s">
        <v>6161</v>
      </c>
    </row>
    <row r="4662" spans="1:6" x14ac:dyDescent="0.25">
      <c r="A4662" t="s">
        <v>6077</v>
      </c>
      <c r="B4662" t="s">
        <v>181</v>
      </c>
      <c r="C4662" t="s">
        <v>182</v>
      </c>
    </row>
    <row r="4663" spans="1:6" x14ac:dyDescent="0.25">
      <c r="A4663" t="s">
        <v>6077</v>
      </c>
      <c r="B4663" t="s">
        <v>1681</v>
      </c>
      <c r="C4663" t="s">
        <v>1682</v>
      </c>
    </row>
    <row r="4664" spans="1:6" x14ac:dyDescent="0.25">
      <c r="A4664" t="s">
        <v>6077</v>
      </c>
      <c r="B4664" t="s">
        <v>1683</v>
      </c>
      <c r="C4664" t="s">
        <v>1684</v>
      </c>
      <c r="D4664" t="str">
        <f>HYPERLINK("http://service.sap.com/sap/support/notes/1687453","1687453")</f>
        <v>1687453</v>
      </c>
      <c r="E4664">
        <v>1</v>
      </c>
      <c r="F4664" t="s">
        <v>6162</v>
      </c>
    </row>
    <row r="4665" spans="1:6" x14ac:dyDescent="0.25">
      <c r="A4665" t="s">
        <v>6077</v>
      </c>
      <c r="B4665" t="s">
        <v>183</v>
      </c>
      <c r="C4665" t="s">
        <v>184</v>
      </c>
      <c r="D4665" t="str">
        <f>HYPERLINK("http://service.sap.com/sap/support/notes/1683932","1683932")</f>
        <v>1683932</v>
      </c>
      <c r="E4665">
        <v>1</v>
      </c>
      <c r="F4665" t="s">
        <v>6163</v>
      </c>
    </row>
    <row r="4666" spans="1:6" x14ac:dyDescent="0.25">
      <c r="A4666" t="s">
        <v>6077</v>
      </c>
      <c r="B4666" t="s">
        <v>183</v>
      </c>
      <c r="C4666" t="s">
        <v>184</v>
      </c>
      <c r="D4666" t="str">
        <f>HYPERLINK("http://service.sap.com/sap/support/notes/1688544","1688544")</f>
        <v>1688544</v>
      </c>
      <c r="E4666">
        <v>1</v>
      </c>
      <c r="F4666" t="s">
        <v>6164</v>
      </c>
    </row>
    <row r="4667" spans="1:6" x14ac:dyDescent="0.25">
      <c r="A4667" t="s">
        <v>6077</v>
      </c>
      <c r="B4667" t="s">
        <v>191</v>
      </c>
      <c r="C4667" t="s">
        <v>192</v>
      </c>
      <c r="D4667" t="str">
        <f>HYPERLINK("http://service.sap.com/sap/support/notes/1665073","1665073")</f>
        <v>1665073</v>
      </c>
      <c r="E4667">
        <v>9</v>
      </c>
      <c r="F4667" t="s">
        <v>6165</v>
      </c>
    </row>
    <row r="4668" spans="1:6" x14ac:dyDescent="0.25">
      <c r="A4668" t="s">
        <v>6077</v>
      </c>
      <c r="B4668" t="s">
        <v>191</v>
      </c>
      <c r="C4668" t="s">
        <v>192</v>
      </c>
      <c r="D4668" t="str">
        <f>HYPERLINK("http://service.sap.com/sap/support/notes/1672795","1672795")</f>
        <v>1672795</v>
      </c>
      <c r="E4668">
        <v>1</v>
      </c>
      <c r="F4668" t="s">
        <v>6166</v>
      </c>
    </row>
    <row r="4669" spans="1:6" x14ac:dyDescent="0.25">
      <c r="A4669" t="s">
        <v>6077</v>
      </c>
      <c r="B4669" t="s">
        <v>191</v>
      </c>
      <c r="C4669" t="s">
        <v>192</v>
      </c>
      <c r="D4669" t="str">
        <f>HYPERLINK("http://service.sap.com/sap/support/notes/1673132","1673132")</f>
        <v>1673132</v>
      </c>
      <c r="E4669">
        <v>1</v>
      </c>
      <c r="F4669" t="s">
        <v>6167</v>
      </c>
    </row>
    <row r="4670" spans="1:6" x14ac:dyDescent="0.25">
      <c r="A4670" t="s">
        <v>6077</v>
      </c>
      <c r="B4670" t="s">
        <v>191</v>
      </c>
      <c r="C4670" t="s">
        <v>192</v>
      </c>
      <c r="D4670" t="str">
        <f>HYPERLINK("http://service.sap.com/sap/support/notes/1673239","1673239")</f>
        <v>1673239</v>
      </c>
      <c r="E4670">
        <v>1</v>
      </c>
      <c r="F4670" t="s">
        <v>6168</v>
      </c>
    </row>
    <row r="4671" spans="1:6" x14ac:dyDescent="0.25">
      <c r="A4671" t="s">
        <v>6077</v>
      </c>
      <c r="B4671" t="s">
        <v>191</v>
      </c>
      <c r="C4671" t="s">
        <v>192</v>
      </c>
      <c r="D4671" t="str">
        <f>HYPERLINK("http://service.sap.com/sap/support/notes/1679602","1679602")</f>
        <v>1679602</v>
      </c>
      <c r="E4671">
        <v>2</v>
      </c>
      <c r="F4671" t="s">
        <v>6169</v>
      </c>
    </row>
    <row r="4672" spans="1:6" x14ac:dyDescent="0.25">
      <c r="A4672" t="s">
        <v>6077</v>
      </c>
      <c r="B4672" t="s">
        <v>191</v>
      </c>
      <c r="C4672" t="s">
        <v>192</v>
      </c>
      <c r="D4672" t="str">
        <f>HYPERLINK("http://service.sap.com/sap/support/notes/1680393","1680393")</f>
        <v>1680393</v>
      </c>
      <c r="E4672">
        <v>4</v>
      </c>
      <c r="F4672" t="s">
        <v>6170</v>
      </c>
    </row>
    <row r="4673" spans="1:6" x14ac:dyDescent="0.25">
      <c r="A4673" t="s">
        <v>6077</v>
      </c>
      <c r="B4673" t="s">
        <v>191</v>
      </c>
      <c r="C4673" t="s">
        <v>192</v>
      </c>
      <c r="D4673" t="str">
        <f>HYPERLINK("http://service.sap.com/sap/support/notes/1680476","1680476")</f>
        <v>1680476</v>
      </c>
      <c r="E4673">
        <v>2</v>
      </c>
      <c r="F4673" t="s">
        <v>6171</v>
      </c>
    </row>
    <row r="4674" spans="1:6" x14ac:dyDescent="0.25">
      <c r="A4674" t="s">
        <v>6077</v>
      </c>
      <c r="B4674" t="s">
        <v>191</v>
      </c>
      <c r="C4674" t="s">
        <v>192</v>
      </c>
      <c r="D4674" t="str">
        <f>HYPERLINK("http://service.sap.com/sap/support/notes/1689346","1689346")</f>
        <v>1689346</v>
      </c>
      <c r="E4674">
        <v>3</v>
      </c>
      <c r="F4674" t="s">
        <v>6172</v>
      </c>
    </row>
    <row r="4675" spans="1:6" x14ac:dyDescent="0.25">
      <c r="A4675" t="s">
        <v>6077</v>
      </c>
      <c r="B4675" t="s">
        <v>191</v>
      </c>
      <c r="C4675" t="s">
        <v>192</v>
      </c>
      <c r="D4675" t="str">
        <f>HYPERLINK("http://service.sap.com/sap/support/notes/1692379","1692379")</f>
        <v>1692379</v>
      </c>
      <c r="E4675">
        <v>1</v>
      </c>
      <c r="F4675" t="s">
        <v>6173</v>
      </c>
    </row>
    <row r="4676" spans="1:6" x14ac:dyDescent="0.25">
      <c r="A4676" t="s">
        <v>6077</v>
      </c>
      <c r="B4676" t="s">
        <v>6174</v>
      </c>
      <c r="C4676" t="s">
        <v>6175</v>
      </c>
    </row>
    <row r="4677" spans="1:6" x14ac:dyDescent="0.25">
      <c r="A4677" t="s">
        <v>6077</v>
      </c>
      <c r="B4677" t="s">
        <v>6176</v>
      </c>
      <c r="C4677" t="s">
        <v>6177</v>
      </c>
      <c r="D4677" t="str">
        <f>HYPERLINK("http://service.sap.com/sap/support/notes/1673447","1673447")</f>
        <v>1673447</v>
      </c>
      <c r="E4677">
        <v>1</v>
      </c>
      <c r="F4677" t="s">
        <v>6178</v>
      </c>
    </row>
    <row r="4678" spans="1:6" x14ac:dyDescent="0.25">
      <c r="A4678" t="s">
        <v>6077</v>
      </c>
      <c r="B4678" t="s">
        <v>1723</v>
      </c>
      <c r="C4678" t="s">
        <v>1724</v>
      </c>
    </row>
    <row r="4679" spans="1:6" x14ac:dyDescent="0.25">
      <c r="A4679" t="s">
        <v>6077</v>
      </c>
      <c r="B4679" t="s">
        <v>1725</v>
      </c>
      <c r="C4679" t="s">
        <v>1726</v>
      </c>
    </row>
    <row r="4680" spans="1:6" x14ac:dyDescent="0.25">
      <c r="A4680" t="s">
        <v>6077</v>
      </c>
      <c r="B4680" t="s">
        <v>1727</v>
      </c>
      <c r="C4680" t="s">
        <v>1728</v>
      </c>
      <c r="D4680" t="str">
        <f>HYPERLINK("http://service.sap.com/sap/support/notes/1643661","1643661")</f>
        <v>1643661</v>
      </c>
      <c r="E4680">
        <v>1</v>
      </c>
      <c r="F4680" t="s">
        <v>6179</v>
      </c>
    </row>
    <row r="4681" spans="1:6" x14ac:dyDescent="0.25">
      <c r="A4681" t="s">
        <v>6077</v>
      </c>
      <c r="B4681" t="s">
        <v>203</v>
      </c>
      <c r="C4681" t="s">
        <v>204</v>
      </c>
    </row>
    <row r="4682" spans="1:6" x14ac:dyDescent="0.25">
      <c r="A4682" t="s">
        <v>6077</v>
      </c>
      <c r="B4682" t="s">
        <v>205</v>
      </c>
      <c r="C4682" t="s">
        <v>206</v>
      </c>
    </row>
    <row r="4683" spans="1:6" x14ac:dyDescent="0.25">
      <c r="A4683" t="s">
        <v>6077</v>
      </c>
      <c r="B4683" t="s">
        <v>207</v>
      </c>
      <c r="C4683" t="s">
        <v>208</v>
      </c>
      <c r="D4683" t="str">
        <f>HYPERLINK("http://service.sap.com/sap/support/notes/1656121","1656121")</f>
        <v>1656121</v>
      </c>
      <c r="E4683">
        <v>1</v>
      </c>
      <c r="F4683" t="s">
        <v>1749</v>
      </c>
    </row>
    <row r="4684" spans="1:6" x14ac:dyDescent="0.25">
      <c r="A4684" t="s">
        <v>6077</v>
      </c>
      <c r="B4684" t="s">
        <v>207</v>
      </c>
      <c r="C4684" t="s">
        <v>208</v>
      </c>
      <c r="D4684" t="str">
        <f>HYPERLINK("http://service.sap.com/sap/support/notes/1665956","1665956")</f>
        <v>1665956</v>
      </c>
      <c r="E4684">
        <v>3</v>
      </c>
      <c r="F4684" t="s">
        <v>6180</v>
      </c>
    </row>
    <row r="4685" spans="1:6" x14ac:dyDescent="0.25">
      <c r="A4685" t="s">
        <v>6077</v>
      </c>
      <c r="B4685" t="s">
        <v>207</v>
      </c>
      <c r="C4685" t="s">
        <v>208</v>
      </c>
      <c r="D4685" t="str">
        <f>HYPERLINK("http://service.sap.com/sap/support/notes/1673057","1673057")</f>
        <v>1673057</v>
      </c>
      <c r="E4685">
        <v>1</v>
      </c>
      <c r="F4685" t="s">
        <v>6181</v>
      </c>
    </row>
    <row r="4686" spans="1:6" x14ac:dyDescent="0.25">
      <c r="A4686" t="s">
        <v>6077</v>
      </c>
      <c r="B4686" t="s">
        <v>207</v>
      </c>
      <c r="C4686" t="s">
        <v>208</v>
      </c>
      <c r="D4686" t="str">
        <f>HYPERLINK("http://service.sap.com/sap/support/notes/1676575","1676575")</f>
        <v>1676575</v>
      </c>
      <c r="E4686">
        <v>2</v>
      </c>
      <c r="F4686" t="s">
        <v>6182</v>
      </c>
    </row>
    <row r="4687" spans="1:6" x14ac:dyDescent="0.25">
      <c r="A4687" t="s">
        <v>6077</v>
      </c>
      <c r="B4687" t="s">
        <v>207</v>
      </c>
      <c r="C4687" t="s">
        <v>208</v>
      </c>
      <c r="D4687" t="str">
        <f>HYPERLINK("http://service.sap.com/sap/support/notes/1676855","1676855")</f>
        <v>1676855</v>
      </c>
      <c r="E4687">
        <v>1</v>
      </c>
      <c r="F4687" t="s">
        <v>6183</v>
      </c>
    </row>
    <row r="4688" spans="1:6" x14ac:dyDescent="0.25">
      <c r="A4688" t="s">
        <v>6077</v>
      </c>
      <c r="B4688" t="s">
        <v>207</v>
      </c>
      <c r="C4688" t="s">
        <v>208</v>
      </c>
      <c r="D4688" t="str">
        <f>HYPERLINK("http://service.sap.com/sap/support/notes/1684112","1684112")</f>
        <v>1684112</v>
      </c>
      <c r="E4688">
        <v>1</v>
      </c>
      <c r="F4688" t="s">
        <v>6184</v>
      </c>
    </row>
    <row r="4689" spans="1:6" x14ac:dyDescent="0.25">
      <c r="A4689" t="s">
        <v>6077</v>
      </c>
      <c r="B4689" t="s">
        <v>212</v>
      </c>
      <c r="C4689" t="s">
        <v>213</v>
      </c>
      <c r="D4689" t="str">
        <f>HYPERLINK("http://service.sap.com/sap/support/notes/1678868","1678868")</f>
        <v>1678868</v>
      </c>
      <c r="E4689">
        <v>1</v>
      </c>
      <c r="F4689" t="s">
        <v>6185</v>
      </c>
    </row>
    <row r="4690" spans="1:6" x14ac:dyDescent="0.25">
      <c r="A4690" t="s">
        <v>6077</v>
      </c>
      <c r="B4690" t="s">
        <v>212</v>
      </c>
      <c r="C4690" t="s">
        <v>213</v>
      </c>
      <c r="D4690" t="str">
        <f>HYPERLINK("http://service.sap.com/sap/support/notes/1686408","1686408")</f>
        <v>1686408</v>
      </c>
      <c r="E4690">
        <v>1</v>
      </c>
      <c r="F4690" t="s">
        <v>6186</v>
      </c>
    </row>
    <row r="4691" spans="1:6" x14ac:dyDescent="0.25">
      <c r="A4691" t="s">
        <v>6077</v>
      </c>
      <c r="B4691" t="s">
        <v>212</v>
      </c>
      <c r="C4691" t="s">
        <v>213</v>
      </c>
      <c r="D4691" t="str">
        <f>HYPERLINK("http://service.sap.com/sap/support/notes/1687918","1687918")</f>
        <v>1687918</v>
      </c>
      <c r="E4691">
        <v>2</v>
      </c>
      <c r="F4691" t="s">
        <v>6187</v>
      </c>
    </row>
    <row r="4692" spans="1:6" x14ac:dyDescent="0.25">
      <c r="A4692" t="s">
        <v>6077</v>
      </c>
      <c r="B4692" t="s">
        <v>212</v>
      </c>
      <c r="C4692" t="s">
        <v>213</v>
      </c>
      <c r="D4692" t="str">
        <f>HYPERLINK("http://service.sap.com/sap/support/notes/1688532","1688532")</f>
        <v>1688532</v>
      </c>
      <c r="E4692">
        <v>1</v>
      </c>
      <c r="F4692" t="s">
        <v>6188</v>
      </c>
    </row>
    <row r="4693" spans="1:6" x14ac:dyDescent="0.25">
      <c r="A4693" t="s">
        <v>6077</v>
      </c>
      <c r="B4693" t="s">
        <v>212</v>
      </c>
      <c r="C4693" t="s">
        <v>213</v>
      </c>
      <c r="D4693" t="str">
        <f>HYPERLINK("http://service.sap.com/sap/support/notes/1694235","1694235")</f>
        <v>1694235</v>
      </c>
      <c r="E4693">
        <v>1</v>
      </c>
      <c r="F4693" t="s">
        <v>6189</v>
      </c>
    </row>
    <row r="4694" spans="1:6" x14ac:dyDescent="0.25">
      <c r="A4694" t="s">
        <v>6077</v>
      </c>
      <c r="B4694" t="s">
        <v>212</v>
      </c>
      <c r="C4694" t="s">
        <v>213</v>
      </c>
      <c r="D4694" t="str">
        <f>HYPERLINK("http://service.sap.com/sap/support/notes/1695068","1695068")</f>
        <v>1695068</v>
      </c>
      <c r="E4694">
        <v>1</v>
      </c>
      <c r="F4694" t="s">
        <v>6190</v>
      </c>
    </row>
    <row r="4695" spans="1:6" x14ac:dyDescent="0.25">
      <c r="A4695" t="s">
        <v>6077</v>
      </c>
      <c r="B4695" t="s">
        <v>6191</v>
      </c>
      <c r="C4695" t="s">
        <v>213</v>
      </c>
      <c r="D4695" t="str">
        <f>HYPERLINK("http://service.sap.com/sap/support/notes/1691102","1691102")</f>
        <v>1691102</v>
      </c>
      <c r="E4695">
        <v>2</v>
      </c>
      <c r="F4695" t="s">
        <v>6192</v>
      </c>
    </row>
    <row r="4696" spans="1:6" x14ac:dyDescent="0.25">
      <c r="A4696" t="s">
        <v>6077</v>
      </c>
      <c r="B4696" t="s">
        <v>1762</v>
      </c>
      <c r="C4696" t="s">
        <v>1763</v>
      </c>
      <c r="D4696" t="str">
        <f>HYPERLINK("http://service.sap.com/sap/support/notes/1662361","1662361")</f>
        <v>1662361</v>
      </c>
      <c r="E4696">
        <v>4</v>
      </c>
      <c r="F4696" t="s">
        <v>1767</v>
      </c>
    </row>
    <row r="4697" spans="1:6" x14ac:dyDescent="0.25">
      <c r="A4697" t="s">
        <v>6077</v>
      </c>
      <c r="B4697" t="s">
        <v>1762</v>
      </c>
      <c r="C4697" t="s">
        <v>1763</v>
      </c>
      <c r="D4697" t="str">
        <f>HYPERLINK("http://service.sap.com/sap/support/notes/1669767","1669767")</f>
        <v>1669767</v>
      </c>
      <c r="E4697">
        <v>3</v>
      </c>
      <c r="F4697" t="s">
        <v>6193</v>
      </c>
    </row>
    <row r="4698" spans="1:6" x14ac:dyDescent="0.25">
      <c r="A4698" t="s">
        <v>6077</v>
      </c>
      <c r="B4698" t="s">
        <v>1762</v>
      </c>
      <c r="C4698" t="s">
        <v>1763</v>
      </c>
      <c r="D4698" t="str">
        <f>HYPERLINK("http://service.sap.com/sap/support/notes/1671256","1671256")</f>
        <v>1671256</v>
      </c>
      <c r="E4698">
        <v>3</v>
      </c>
      <c r="F4698" t="s">
        <v>6194</v>
      </c>
    </row>
    <row r="4699" spans="1:6" x14ac:dyDescent="0.25">
      <c r="A4699" t="s">
        <v>6077</v>
      </c>
      <c r="B4699" t="s">
        <v>1762</v>
      </c>
      <c r="C4699" t="s">
        <v>1763</v>
      </c>
      <c r="D4699" t="str">
        <f>HYPERLINK("http://service.sap.com/sap/support/notes/1677644","1677644")</f>
        <v>1677644</v>
      </c>
      <c r="E4699">
        <v>2</v>
      </c>
      <c r="F4699" t="s">
        <v>6195</v>
      </c>
    </row>
    <row r="4700" spans="1:6" x14ac:dyDescent="0.25">
      <c r="A4700" t="s">
        <v>6077</v>
      </c>
      <c r="B4700" t="s">
        <v>1762</v>
      </c>
      <c r="C4700" t="s">
        <v>1763</v>
      </c>
      <c r="D4700" t="str">
        <f>HYPERLINK("http://service.sap.com/sap/support/notes/1682033","1682033")</f>
        <v>1682033</v>
      </c>
      <c r="E4700">
        <v>1</v>
      </c>
      <c r="F4700" t="s">
        <v>6196</v>
      </c>
    </row>
    <row r="4701" spans="1:6" x14ac:dyDescent="0.25">
      <c r="A4701" t="s">
        <v>6077</v>
      </c>
      <c r="B4701" t="s">
        <v>1762</v>
      </c>
      <c r="C4701" t="s">
        <v>1763</v>
      </c>
      <c r="D4701" t="str">
        <f>HYPERLINK("http://service.sap.com/sap/support/notes/1682041","1682041")</f>
        <v>1682041</v>
      </c>
      <c r="E4701">
        <v>1</v>
      </c>
      <c r="F4701" t="s">
        <v>6197</v>
      </c>
    </row>
    <row r="4702" spans="1:6" x14ac:dyDescent="0.25">
      <c r="A4702" t="s">
        <v>6077</v>
      </c>
      <c r="B4702" t="s">
        <v>1762</v>
      </c>
      <c r="C4702" t="s">
        <v>1763</v>
      </c>
      <c r="D4702" t="str">
        <f>HYPERLINK("http://service.sap.com/sap/support/notes/1682868","1682868")</f>
        <v>1682868</v>
      </c>
      <c r="E4702">
        <v>1</v>
      </c>
      <c r="F4702" t="s">
        <v>6198</v>
      </c>
    </row>
    <row r="4703" spans="1:6" x14ac:dyDescent="0.25">
      <c r="A4703" t="s">
        <v>6077</v>
      </c>
      <c r="B4703" t="s">
        <v>1762</v>
      </c>
      <c r="C4703" t="s">
        <v>1763</v>
      </c>
      <c r="D4703" t="str">
        <f>HYPERLINK("http://service.sap.com/sap/support/notes/1683059","1683059")</f>
        <v>1683059</v>
      </c>
      <c r="E4703">
        <v>1</v>
      </c>
      <c r="F4703" t="s">
        <v>6199</v>
      </c>
    </row>
    <row r="4704" spans="1:6" x14ac:dyDescent="0.25">
      <c r="A4704" t="s">
        <v>6077</v>
      </c>
      <c r="B4704" t="s">
        <v>1762</v>
      </c>
      <c r="C4704" t="s">
        <v>1763</v>
      </c>
      <c r="D4704" t="str">
        <f>HYPERLINK("http://service.sap.com/sap/support/notes/1688521","1688521")</f>
        <v>1688521</v>
      </c>
      <c r="E4704">
        <v>3</v>
      </c>
      <c r="F4704" t="s">
        <v>6200</v>
      </c>
    </row>
    <row r="4705" spans="1:6" x14ac:dyDescent="0.25">
      <c r="A4705" t="s">
        <v>6077</v>
      </c>
      <c r="B4705" t="s">
        <v>1768</v>
      </c>
      <c r="C4705" t="s">
        <v>1769</v>
      </c>
      <c r="D4705" t="str">
        <f>HYPERLINK("http://service.sap.com/sap/support/notes/1681765","1681765")</f>
        <v>1681765</v>
      </c>
      <c r="E4705">
        <v>1</v>
      </c>
      <c r="F4705" t="s">
        <v>6201</v>
      </c>
    </row>
    <row r="4706" spans="1:6" x14ac:dyDescent="0.25">
      <c r="A4706" t="s">
        <v>6077</v>
      </c>
      <c r="B4706" t="s">
        <v>1768</v>
      </c>
      <c r="C4706" t="s">
        <v>1769</v>
      </c>
      <c r="D4706" t="str">
        <f>HYPERLINK("http://service.sap.com/sap/support/notes/1691615","1691615")</f>
        <v>1691615</v>
      </c>
      <c r="E4706">
        <v>1</v>
      </c>
      <c r="F4706" t="s">
        <v>6202</v>
      </c>
    </row>
    <row r="4707" spans="1:6" x14ac:dyDescent="0.25">
      <c r="A4707" t="s">
        <v>6077</v>
      </c>
      <c r="B4707" t="s">
        <v>215</v>
      </c>
      <c r="C4707" t="s">
        <v>216</v>
      </c>
      <c r="D4707" t="str">
        <f>HYPERLINK("http://service.sap.com/sap/support/notes/1676618","1676618")</f>
        <v>1676618</v>
      </c>
      <c r="E4707">
        <v>2</v>
      </c>
      <c r="F4707" t="s">
        <v>6203</v>
      </c>
    </row>
    <row r="4708" spans="1:6" x14ac:dyDescent="0.25">
      <c r="A4708" t="s">
        <v>6077</v>
      </c>
      <c r="B4708" t="s">
        <v>215</v>
      </c>
      <c r="C4708" t="s">
        <v>216</v>
      </c>
      <c r="D4708" t="str">
        <f>HYPERLINK("http://service.sap.com/sap/support/notes/1677723","1677723")</f>
        <v>1677723</v>
      </c>
      <c r="E4708">
        <v>3</v>
      </c>
      <c r="F4708" t="s">
        <v>6204</v>
      </c>
    </row>
    <row r="4709" spans="1:6" x14ac:dyDescent="0.25">
      <c r="A4709" t="s">
        <v>6077</v>
      </c>
      <c r="B4709" t="s">
        <v>215</v>
      </c>
      <c r="C4709" t="s">
        <v>216</v>
      </c>
      <c r="D4709" t="str">
        <f>HYPERLINK("http://service.sap.com/sap/support/notes/1679372","1679372")</f>
        <v>1679372</v>
      </c>
      <c r="E4709">
        <v>1</v>
      </c>
      <c r="F4709" t="s">
        <v>6205</v>
      </c>
    </row>
    <row r="4710" spans="1:6" x14ac:dyDescent="0.25">
      <c r="A4710" t="s">
        <v>6077</v>
      </c>
      <c r="B4710" t="s">
        <v>215</v>
      </c>
      <c r="C4710" t="s">
        <v>216</v>
      </c>
      <c r="D4710" t="str">
        <f>HYPERLINK("http://service.sap.com/sap/support/notes/1681533","1681533")</f>
        <v>1681533</v>
      </c>
      <c r="E4710">
        <v>1</v>
      </c>
      <c r="F4710" t="s">
        <v>6206</v>
      </c>
    </row>
    <row r="4711" spans="1:6" x14ac:dyDescent="0.25">
      <c r="A4711" t="s">
        <v>6077</v>
      </c>
      <c r="B4711" t="s">
        <v>215</v>
      </c>
      <c r="C4711" t="s">
        <v>216</v>
      </c>
      <c r="D4711" t="str">
        <f>HYPERLINK("http://service.sap.com/sap/support/notes/1682465","1682465")</f>
        <v>1682465</v>
      </c>
      <c r="E4711">
        <v>1</v>
      </c>
      <c r="F4711" t="s">
        <v>6207</v>
      </c>
    </row>
    <row r="4712" spans="1:6" x14ac:dyDescent="0.25">
      <c r="A4712" t="s">
        <v>6077</v>
      </c>
      <c r="B4712" t="s">
        <v>215</v>
      </c>
      <c r="C4712" t="s">
        <v>216</v>
      </c>
      <c r="D4712" t="str">
        <f>HYPERLINK("http://service.sap.com/sap/support/notes/1684082","1684082")</f>
        <v>1684082</v>
      </c>
      <c r="E4712">
        <v>1</v>
      </c>
      <c r="F4712" t="s">
        <v>6208</v>
      </c>
    </row>
    <row r="4713" spans="1:6" x14ac:dyDescent="0.25">
      <c r="A4713" t="s">
        <v>6077</v>
      </c>
      <c r="B4713" t="s">
        <v>215</v>
      </c>
      <c r="C4713" t="s">
        <v>216</v>
      </c>
      <c r="D4713" t="str">
        <f>HYPERLINK("http://service.sap.com/sap/support/notes/1687503","1687503")</f>
        <v>1687503</v>
      </c>
      <c r="E4713">
        <v>1</v>
      </c>
      <c r="F4713" t="s">
        <v>6209</v>
      </c>
    </row>
    <row r="4714" spans="1:6" x14ac:dyDescent="0.25">
      <c r="A4714" t="s">
        <v>6077</v>
      </c>
      <c r="B4714" t="s">
        <v>215</v>
      </c>
      <c r="C4714" t="s">
        <v>216</v>
      </c>
      <c r="D4714" t="str">
        <f>HYPERLINK("http://service.sap.com/sap/support/notes/1689031","1689031")</f>
        <v>1689031</v>
      </c>
      <c r="E4714">
        <v>1</v>
      </c>
      <c r="F4714" t="s">
        <v>6210</v>
      </c>
    </row>
    <row r="4715" spans="1:6" x14ac:dyDescent="0.25">
      <c r="A4715" t="s">
        <v>6077</v>
      </c>
      <c r="B4715" t="s">
        <v>215</v>
      </c>
      <c r="C4715" t="s">
        <v>216</v>
      </c>
      <c r="D4715" t="str">
        <f>HYPERLINK("http://service.sap.com/sap/support/notes/1692615","1692615")</f>
        <v>1692615</v>
      </c>
      <c r="E4715">
        <v>1</v>
      </c>
      <c r="F4715" t="s">
        <v>6211</v>
      </c>
    </row>
    <row r="4716" spans="1:6" x14ac:dyDescent="0.25">
      <c r="A4716" t="s">
        <v>6077</v>
      </c>
      <c r="B4716" t="s">
        <v>215</v>
      </c>
      <c r="C4716" t="s">
        <v>216</v>
      </c>
      <c r="D4716" t="str">
        <f>HYPERLINK("http://service.sap.com/sap/support/notes/1693639","1693639")</f>
        <v>1693639</v>
      </c>
      <c r="E4716">
        <v>2</v>
      </c>
      <c r="F4716" t="s">
        <v>6212</v>
      </c>
    </row>
    <row r="4717" spans="1:6" x14ac:dyDescent="0.25">
      <c r="A4717" t="s">
        <v>6077</v>
      </c>
      <c r="B4717" t="s">
        <v>215</v>
      </c>
      <c r="C4717" t="s">
        <v>216</v>
      </c>
      <c r="D4717" t="str">
        <f>HYPERLINK("http://service.sap.com/sap/support/notes/1695267","1695267")</f>
        <v>1695267</v>
      </c>
      <c r="E4717">
        <v>1</v>
      </c>
      <c r="F4717" t="s">
        <v>6213</v>
      </c>
    </row>
    <row r="4718" spans="1:6" x14ac:dyDescent="0.25">
      <c r="A4718" t="s">
        <v>6077</v>
      </c>
      <c r="B4718" t="s">
        <v>215</v>
      </c>
      <c r="C4718" t="s">
        <v>216</v>
      </c>
      <c r="D4718" t="str">
        <f>HYPERLINK("http://service.sap.com/sap/support/notes/1696033","1696033")</f>
        <v>1696033</v>
      </c>
      <c r="E4718">
        <v>1</v>
      </c>
      <c r="F4718" t="s">
        <v>6214</v>
      </c>
    </row>
    <row r="4719" spans="1:6" x14ac:dyDescent="0.25">
      <c r="A4719" t="s">
        <v>6077</v>
      </c>
      <c r="B4719" t="s">
        <v>1795</v>
      </c>
      <c r="C4719" t="s">
        <v>1796</v>
      </c>
      <c r="D4719" t="str">
        <f>HYPERLINK("http://service.sap.com/sap/support/notes/1454054","1454054")</f>
        <v>1454054</v>
      </c>
      <c r="E4719">
        <v>1</v>
      </c>
      <c r="F4719" t="s">
        <v>6215</v>
      </c>
    </row>
    <row r="4720" spans="1:6" x14ac:dyDescent="0.25">
      <c r="A4720" t="s">
        <v>6077</v>
      </c>
      <c r="B4720" t="s">
        <v>6216</v>
      </c>
      <c r="C4720" t="s">
        <v>6217</v>
      </c>
      <c r="D4720" t="str">
        <f>HYPERLINK("http://service.sap.com/sap/support/notes/1676021","1676021")</f>
        <v>1676021</v>
      </c>
      <c r="E4720">
        <v>2</v>
      </c>
      <c r="F4720" t="s">
        <v>6218</v>
      </c>
    </row>
    <row r="4721" spans="1:6" x14ac:dyDescent="0.25">
      <c r="A4721" t="s">
        <v>6077</v>
      </c>
      <c r="B4721" t="s">
        <v>6219</v>
      </c>
      <c r="C4721" t="s">
        <v>6220</v>
      </c>
      <c r="D4721" t="str">
        <f>HYPERLINK("http://service.sap.com/sap/support/notes/1680379","1680379")</f>
        <v>1680379</v>
      </c>
      <c r="E4721">
        <v>1</v>
      </c>
      <c r="F4721" t="s">
        <v>6221</v>
      </c>
    </row>
    <row r="4722" spans="1:6" x14ac:dyDescent="0.25">
      <c r="A4722" t="s">
        <v>6077</v>
      </c>
      <c r="B4722" t="s">
        <v>218</v>
      </c>
      <c r="C4722" t="s">
        <v>126</v>
      </c>
    </row>
    <row r="4723" spans="1:6" x14ac:dyDescent="0.25">
      <c r="A4723" t="s">
        <v>6077</v>
      </c>
      <c r="B4723" t="s">
        <v>220</v>
      </c>
      <c r="C4723" t="s">
        <v>128</v>
      </c>
      <c r="D4723" t="str">
        <f>HYPERLINK("http://service.sap.com/sap/support/notes/1501729","1501729")</f>
        <v>1501729</v>
      </c>
      <c r="E4723">
        <v>1</v>
      </c>
      <c r="F4723" t="s">
        <v>6222</v>
      </c>
    </row>
    <row r="4724" spans="1:6" x14ac:dyDescent="0.25">
      <c r="A4724" t="s">
        <v>6077</v>
      </c>
      <c r="B4724" t="s">
        <v>220</v>
      </c>
      <c r="C4724" t="s">
        <v>128</v>
      </c>
      <c r="D4724" t="str">
        <f>HYPERLINK("http://service.sap.com/sap/support/notes/1654755","1654755")</f>
        <v>1654755</v>
      </c>
      <c r="E4724">
        <v>1</v>
      </c>
      <c r="F4724" t="s">
        <v>6223</v>
      </c>
    </row>
    <row r="4725" spans="1:6" x14ac:dyDescent="0.25">
      <c r="A4725" t="s">
        <v>6077</v>
      </c>
      <c r="B4725" t="s">
        <v>220</v>
      </c>
      <c r="C4725" t="s">
        <v>128</v>
      </c>
      <c r="D4725" t="str">
        <f>HYPERLINK("http://service.sap.com/sap/support/notes/1671982","1671982")</f>
        <v>1671982</v>
      </c>
      <c r="E4725">
        <v>2</v>
      </c>
      <c r="F4725" t="s">
        <v>6224</v>
      </c>
    </row>
    <row r="4726" spans="1:6" x14ac:dyDescent="0.25">
      <c r="A4726" t="s">
        <v>6077</v>
      </c>
      <c r="B4726" t="s">
        <v>220</v>
      </c>
      <c r="C4726" t="s">
        <v>128</v>
      </c>
      <c r="D4726" t="str">
        <f>HYPERLINK("http://service.sap.com/sap/support/notes/1674219","1674219")</f>
        <v>1674219</v>
      </c>
      <c r="E4726">
        <v>1</v>
      </c>
      <c r="F4726" t="s">
        <v>6225</v>
      </c>
    </row>
    <row r="4727" spans="1:6" x14ac:dyDescent="0.25">
      <c r="A4727" t="s">
        <v>6077</v>
      </c>
      <c r="B4727" t="s">
        <v>220</v>
      </c>
      <c r="C4727" t="s">
        <v>128</v>
      </c>
      <c r="D4727" t="str">
        <f>HYPERLINK("http://service.sap.com/sap/support/notes/1676479","1676479")</f>
        <v>1676479</v>
      </c>
      <c r="E4727">
        <v>1</v>
      </c>
      <c r="F4727" t="s">
        <v>6226</v>
      </c>
    </row>
    <row r="4728" spans="1:6" x14ac:dyDescent="0.25">
      <c r="A4728" t="s">
        <v>6077</v>
      </c>
      <c r="B4728" t="s">
        <v>220</v>
      </c>
      <c r="C4728" t="s">
        <v>128</v>
      </c>
      <c r="D4728" t="str">
        <f>HYPERLINK("http://service.sap.com/sap/support/notes/1676586","1676586")</f>
        <v>1676586</v>
      </c>
      <c r="E4728">
        <v>4</v>
      </c>
      <c r="F4728" t="s">
        <v>6227</v>
      </c>
    </row>
    <row r="4729" spans="1:6" x14ac:dyDescent="0.25">
      <c r="A4729" t="s">
        <v>6077</v>
      </c>
      <c r="B4729" t="s">
        <v>220</v>
      </c>
      <c r="C4729" t="s">
        <v>128</v>
      </c>
      <c r="D4729" t="str">
        <f>HYPERLINK("http://service.sap.com/sap/support/notes/1678397","1678397")</f>
        <v>1678397</v>
      </c>
      <c r="E4729">
        <v>1</v>
      </c>
      <c r="F4729" t="s">
        <v>6228</v>
      </c>
    </row>
    <row r="4730" spans="1:6" x14ac:dyDescent="0.25">
      <c r="A4730" t="s">
        <v>6077</v>
      </c>
      <c r="B4730" t="s">
        <v>220</v>
      </c>
      <c r="C4730" t="s">
        <v>128</v>
      </c>
      <c r="D4730" t="str">
        <f>HYPERLINK("http://service.sap.com/sap/support/notes/1678619","1678619")</f>
        <v>1678619</v>
      </c>
      <c r="E4730">
        <v>1</v>
      </c>
      <c r="F4730" t="s">
        <v>1826</v>
      </c>
    </row>
    <row r="4731" spans="1:6" x14ac:dyDescent="0.25">
      <c r="A4731" t="s">
        <v>6077</v>
      </c>
      <c r="B4731" t="s">
        <v>220</v>
      </c>
      <c r="C4731" t="s">
        <v>128</v>
      </c>
      <c r="D4731" t="str">
        <f>HYPERLINK("http://service.sap.com/sap/support/notes/1681196","1681196")</f>
        <v>1681196</v>
      </c>
      <c r="E4731">
        <v>1</v>
      </c>
      <c r="F4731" t="s">
        <v>1826</v>
      </c>
    </row>
    <row r="4732" spans="1:6" x14ac:dyDescent="0.25">
      <c r="A4732" t="s">
        <v>6077</v>
      </c>
      <c r="B4732" t="s">
        <v>220</v>
      </c>
      <c r="C4732" t="s">
        <v>128</v>
      </c>
      <c r="D4732" t="str">
        <f>HYPERLINK("http://service.sap.com/sap/support/notes/1682775","1682775")</f>
        <v>1682775</v>
      </c>
      <c r="E4732">
        <v>1</v>
      </c>
      <c r="F4732" t="s">
        <v>6229</v>
      </c>
    </row>
    <row r="4733" spans="1:6" x14ac:dyDescent="0.25">
      <c r="A4733" t="s">
        <v>6077</v>
      </c>
      <c r="B4733" t="s">
        <v>220</v>
      </c>
      <c r="C4733" t="s">
        <v>128</v>
      </c>
      <c r="D4733" t="str">
        <f>HYPERLINK("http://service.sap.com/sap/support/notes/1686242","1686242")</f>
        <v>1686242</v>
      </c>
      <c r="E4733">
        <v>1</v>
      </c>
      <c r="F4733" t="s">
        <v>6230</v>
      </c>
    </row>
    <row r="4734" spans="1:6" x14ac:dyDescent="0.25">
      <c r="A4734" t="s">
        <v>6077</v>
      </c>
      <c r="B4734" t="s">
        <v>220</v>
      </c>
      <c r="C4734" t="s">
        <v>128</v>
      </c>
      <c r="D4734" t="str">
        <f>HYPERLINK("http://service.sap.com/sap/support/notes/1686537","1686537")</f>
        <v>1686537</v>
      </c>
      <c r="E4734">
        <v>1</v>
      </c>
      <c r="F4734" t="s">
        <v>1826</v>
      </c>
    </row>
    <row r="4735" spans="1:6" x14ac:dyDescent="0.25">
      <c r="A4735" t="s">
        <v>6077</v>
      </c>
      <c r="B4735" t="s">
        <v>220</v>
      </c>
      <c r="C4735" t="s">
        <v>128</v>
      </c>
      <c r="D4735" t="str">
        <f>HYPERLINK("http://service.sap.com/sap/support/notes/1689384","1689384")</f>
        <v>1689384</v>
      </c>
      <c r="E4735">
        <v>1</v>
      </c>
      <c r="F4735" t="s">
        <v>6231</v>
      </c>
    </row>
    <row r="4736" spans="1:6" x14ac:dyDescent="0.25">
      <c r="A4736" t="s">
        <v>6077</v>
      </c>
      <c r="B4736" t="s">
        <v>220</v>
      </c>
      <c r="C4736" t="s">
        <v>128</v>
      </c>
      <c r="D4736" t="str">
        <f>HYPERLINK("http://service.sap.com/sap/support/notes/1689868","1689868")</f>
        <v>1689868</v>
      </c>
      <c r="E4736">
        <v>2</v>
      </c>
      <c r="F4736" t="s">
        <v>6232</v>
      </c>
    </row>
    <row r="4737" spans="1:6" x14ac:dyDescent="0.25">
      <c r="A4737" t="s">
        <v>6077</v>
      </c>
      <c r="B4737" t="s">
        <v>220</v>
      </c>
      <c r="C4737" t="s">
        <v>128</v>
      </c>
      <c r="D4737" t="str">
        <f>HYPERLINK("http://service.sap.com/sap/support/notes/1692395","1692395")</f>
        <v>1692395</v>
      </c>
      <c r="E4737">
        <v>2</v>
      </c>
      <c r="F4737" t="s">
        <v>6233</v>
      </c>
    </row>
    <row r="4738" spans="1:6" x14ac:dyDescent="0.25">
      <c r="A4738" t="s">
        <v>6077</v>
      </c>
      <c r="B4738" t="s">
        <v>1851</v>
      </c>
      <c r="C4738" t="s">
        <v>1852</v>
      </c>
    </row>
    <row r="4739" spans="1:6" x14ac:dyDescent="0.25">
      <c r="A4739" t="s">
        <v>6077</v>
      </c>
      <c r="B4739" t="s">
        <v>1853</v>
      </c>
      <c r="C4739" t="s">
        <v>237</v>
      </c>
      <c r="D4739" t="str">
        <f>HYPERLINK("http://service.sap.com/sap/support/notes/1676176","1676176")</f>
        <v>1676176</v>
      </c>
      <c r="E4739">
        <v>2</v>
      </c>
      <c r="F4739" t="s">
        <v>6234</v>
      </c>
    </row>
    <row r="4740" spans="1:6" x14ac:dyDescent="0.25">
      <c r="A4740" t="s">
        <v>6077</v>
      </c>
      <c r="B4740" t="s">
        <v>224</v>
      </c>
      <c r="C4740" t="s">
        <v>1857</v>
      </c>
      <c r="D4740" t="str">
        <f>HYPERLINK("http://service.sap.com/sap/support/notes/1562038","1562038")</f>
        <v>1562038</v>
      </c>
      <c r="E4740">
        <v>3</v>
      </c>
      <c r="F4740" t="s">
        <v>6235</v>
      </c>
    </row>
    <row r="4741" spans="1:6" x14ac:dyDescent="0.25">
      <c r="A4741" t="s">
        <v>6077</v>
      </c>
      <c r="B4741" t="s">
        <v>226</v>
      </c>
      <c r="C4741" t="s">
        <v>14</v>
      </c>
      <c r="D4741" t="str">
        <f>HYPERLINK("http://service.sap.com/sap/support/notes/1673976","1673976")</f>
        <v>1673976</v>
      </c>
      <c r="E4741">
        <v>1</v>
      </c>
      <c r="F4741" t="s">
        <v>6236</v>
      </c>
    </row>
    <row r="4742" spans="1:6" x14ac:dyDescent="0.25">
      <c r="A4742" t="s">
        <v>6077</v>
      </c>
      <c r="B4742" t="s">
        <v>1872</v>
      </c>
      <c r="C4742" t="s">
        <v>1845</v>
      </c>
      <c r="D4742" t="str">
        <f>HYPERLINK("http://service.sap.com/sap/support/notes/1687946","1687946")</f>
        <v>1687946</v>
      </c>
      <c r="E4742">
        <v>2</v>
      </c>
      <c r="F4742" t="s">
        <v>6237</v>
      </c>
    </row>
    <row r="4743" spans="1:6" x14ac:dyDescent="0.25">
      <c r="A4743" t="s">
        <v>6077</v>
      </c>
      <c r="B4743" t="s">
        <v>236</v>
      </c>
      <c r="C4743" t="s">
        <v>237</v>
      </c>
      <c r="D4743" t="str">
        <f>HYPERLINK("http://service.sap.com/sap/support/notes/370287","370287")</f>
        <v>370287</v>
      </c>
      <c r="E4743">
        <v>1</v>
      </c>
      <c r="F4743" t="s">
        <v>1878</v>
      </c>
    </row>
    <row r="4744" spans="1:6" x14ac:dyDescent="0.25">
      <c r="A4744" t="s">
        <v>6077</v>
      </c>
      <c r="B4744" t="s">
        <v>236</v>
      </c>
      <c r="C4744" t="s">
        <v>237</v>
      </c>
      <c r="D4744" t="str">
        <f>HYPERLINK("http://service.sap.com/sap/support/notes/1667437","1667437")</f>
        <v>1667437</v>
      </c>
      <c r="E4744">
        <v>1</v>
      </c>
      <c r="F4744" t="s">
        <v>6238</v>
      </c>
    </row>
    <row r="4745" spans="1:6" x14ac:dyDescent="0.25">
      <c r="A4745" t="s">
        <v>6077</v>
      </c>
      <c r="B4745" t="s">
        <v>236</v>
      </c>
      <c r="C4745" t="s">
        <v>237</v>
      </c>
      <c r="D4745" t="str">
        <f>HYPERLINK("http://service.sap.com/sap/support/notes/1673210","1673210")</f>
        <v>1673210</v>
      </c>
      <c r="E4745">
        <v>1</v>
      </c>
      <c r="F4745" t="s">
        <v>6239</v>
      </c>
    </row>
    <row r="4746" spans="1:6" x14ac:dyDescent="0.25">
      <c r="A4746" t="s">
        <v>6077</v>
      </c>
      <c r="B4746" t="s">
        <v>1882</v>
      </c>
      <c r="C4746" t="s">
        <v>1883</v>
      </c>
      <c r="D4746" t="str">
        <f>HYPERLINK("http://service.sap.com/sap/support/notes/1685640","1685640")</f>
        <v>1685640</v>
      </c>
      <c r="E4746">
        <v>1</v>
      </c>
      <c r="F4746" t="s">
        <v>6240</v>
      </c>
    </row>
    <row r="4747" spans="1:6" x14ac:dyDescent="0.25">
      <c r="A4747" t="s">
        <v>6077</v>
      </c>
      <c r="B4747" t="s">
        <v>1886</v>
      </c>
      <c r="C4747" t="s">
        <v>6241</v>
      </c>
    </row>
    <row r="4748" spans="1:6" x14ac:dyDescent="0.25">
      <c r="A4748" t="s">
        <v>6077</v>
      </c>
      <c r="B4748" t="s">
        <v>6242</v>
      </c>
      <c r="C4748" t="s">
        <v>234</v>
      </c>
      <c r="D4748" t="str">
        <f>HYPERLINK("http://service.sap.com/sap/support/notes/1684507","1684507")</f>
        <v>1684507</v>
      </c>
      <c r="E4748">
        <v>1</v>
      </c>
      <c r="F4748" t="s">
        <v>6243</v>
      </c>
    </row>
    <row r="4749" spans="1:6" x14ac:dyDescent="0.25">
      <c r="A4749" t="s">
        <v>6077</v>
      </c>
      <c r="B4749" t="s">
        <v>1889</v>
      </c>
      <c r="C4749" t="s">
        <v>1890</v>
      </c>
      <c r="D4749" t="str">
        <f>HYPERLINK("http://service.sap.com/sap/support/notes/1686602","1686602")</f>
        <v>1686602</v>
      </c>
      <c r="E4749">
        <v>1</v>
      </c>
      <c r="F4749" t="s">
        <v>6244</v>
      </c>
    </row>
    <row r="4750" spans="1:6" x14ac:dyDescent="0.25">
      <c r="A4750" t="s">
        <v>6077</v>
      </c>
      <c r="B4750" t="s">
        <v>1889</v>
      </c>
      <c r="C4750" t="s">
        <v>1890</v>
      </c>
      <c r="D4750" t="str">
        <f>HYPERLINK("http://service.sap.com/sap/support/notes/1691520","1691520")</f>
        <v>1691520</v>
      </c>
      <c r="E4750">
        <v>3</v>
      </c>
      <c r="F4750" t="s">
        <v>6245</v>
      </c>
    </row>
    <row r="4751" spans="1:6" x14ac:dyDescent="0.25">
      <c r="A4751" t="s">
        <v>6077</v>
      </c>
      <c r="B4751" t="s">
        <v>1889</v>
      </c>
      <c r="C4751" t="s">
        <v>1890</v>
      </c>
      <c r="D4751" t="str">
        <f>HYPERLINK("http://service.sap.com/sap/support/notes/1695724","1695724")</f>
        <v>1695724</v>
      </c>
      <c r="E4751">
        <v>2</v>
      </c>
      <c r="F4751" t="s">
        <v>6246</v>
      </c>
    </row>
    <row r="4752" spans="1:6" x14ac:dyDescent="0.25">
      <c r="A4752" t="s">
        <v>6077</v>
      </c>
      <c r="B4752" t="s">
        <v>239</v>
      </c>
      <c r="C4752" t="s">
        <v>240</v>
      </c>
    </row>
    <row r="4753" spans="1:6" x14ac:dyDescent="0.25">
      <c r="A4753" t="s">
        <v>6077</v>
      </c>
      <c r="B4753" t="s">
        <v>241</v>
      </c>
      <c r="C4753" t="s">
        <v>14</v>
      </c>
      <c r="D4753" t="str">
        <f>HYPERLINK("http://service.sap.com/sap/support/notes/1368434","1368434")</f>
        <v>1368434</v>
      </c>
      <c r="E4753">
        <v>3</v>
      </c>
      <c r="F4753" t="s">
        <v>6247</v>
      </c>
    </row>
    <row r="4754" spans="1:6" x14ac:dyDescent="0.25">
      <c r="A4754" t="s">
        <v>6077</v>
      </c>
      <c r="B4754" t="s">
        <v>241</v>
      </c>
      <c r="C4754" t="s">
        <v>14</v>
      </c>
      <c r="D4754" t="str">
        <f>HYPERLINK("http://service.sap.com/sap/support/notes/1673069","1673069")</f>
        <v>1673069</v>
      </c>
      <c r="E4754">
        <v>4</v>
      </c>
      <c r="F4754" t="s">
        <v>6248</v>
      </c>
    </row>
    <row r="4755" spans="1:6" x14ac:dyDescent="0.25">
      <c r="A4755" t="s">
        <v>6077</v>
      </c>
      <c r="B4755" t="s">
        <v>241</v>
      </c>
      <c r="C4755" t="s">
        <v>14</v>
      </c>
      <c r="D4755" t="str">
        <f>HYPERLINK("http://service.sap.com/sap/support/notes/1684280","1684280")</f>
        <v>1684280</v>
      </c>
      <c r="E4755">
        <v>1</v>
      </c>
      <c r="F4755" t="s">
        <v>6249</v>
      </c>
    </row>
    <row r="4756" spans="1:6" x14ac:dyDescent="0.25">
      <c r="A4756" t="s">
        <v>6077</v>
      </c>
      <c r="B4756" t="s">
        <v>1908</v>
      </c>
      <c r="C4756" t="s">
        <v>1845</v>
      </c>
      <c r="D4756" t="str">
        <f>HYPERLINK("http://service.sap.com/sap/support/notes/1674547","1674547")</f>
        <v>1674547</v>
      </c>
      <c r="E4756">
        <v>1</v>
      </c>
      <c r="F4756" t="s">
        <v>6250</v>
      </c>
    </row>
    <row r="4757" spans="1:6" x14ac:dyDescent="0.25">
      <c r="A4757" t="s">
        <v>6077</v>
      </c>
      <c r="B4757" t="s">
        <v>245</v>
      </c>
      <c r="C4757" t="s">
        <v>246</v>
      </c>
      <c r="D4757" t="str">
        <f>HYPERLINK("http://service.sap.com/sap/support/notes/1650370","1650370")</f>
        <v>1650370</v>
      </c>
      <c r="E4757">
        <v>2</v>
      </c>
      <c r="F4757" t="s">
        <v>6251</v>
      </c>
    </row>
    <row r="4758" spans="1:6" x14ac:dyDescent="0.25">
      <c r="A4758" t="s">
        <v>6077</v>
      </c>
      <c r="B4758" t="s">
        <v>245</v>
      </c>
      <c r="C4758" t="s">
        <v>246</v>
      </c>
      <c r="D4758" t="str">
        <f>HYPERLINK("http://service.sap.com/sap/support/notes/1671565","1671565")</f>
        <v>1671565</v>
      </c>
      <c r="E4758">
        <v>2</v>
      </c>
      <c r="F4758" t="s">
        <v>6252</v>
      </c>
    </row>
    <row r="4759" spans="1:6" x14ac:dyDescent="0.25">
      <c r="A4759" t="s">
        <v>6077</v>
      </c>
      <c r="B4759" t="s">
        <v>245</v>
      </c>
      <c r="C4759" t="s">
        <v>246</v>
      </c>
      <c r="D4759" t="str">
        <f>HYPERLINK("http://service.sap.com/sap/support/notes/1681468","1681468")</f>
        <v>1681468</v>
      </c>
      <c r="E4759">
        <v>1</v>
      </c>
      <c r="F4759" t="s">
        <v>6253</v>
      </c>
    </row>
    <row r="4760" spans="1:6" x14ac:dyDescent="0.25">
      <c r="A4760" t="s">
        <v>6077</v>
      </c>
      <c r="B4760" t="s">
        <v>1925</v>
      </c>
      <c r="C4760" t="s">
        <v>6254</v>
      </c>
    </row>
    <row r="4761" spans="1:6" x14ac:dyDescent="0.25">
      <c r="A4761" t="s">
        <v>6077</v>
      </c>
      <c r="B4761" t="s">
        <v>1943</v>
      </c>
      <c r="C4761" t="s">
        <v>1944</v>
      </c>
      <c r="D4761" t="str">
        <f>HYPERLINK("http://service.sap.com/sap/support/notes/1616843","1616843")</f>
        <v>1616843</v>
      </c>
      <c r="E4761">
        <v>2</v>
      </c>
      <c r="F4761" t="s">
        <v>6255</v>
      </c>
    </row>
    <row r="4762" spans="1:6" x14ac:dyDescent="0.25">
      <c r="A4762" t="s">
        <v>6077</v>
      </c>
      <c r="B4762" t="s">
        <v>1943</v>
      </c>
      <c r="C4762" t="s">
        <v>1944</v>
      </c>
      <c r="D4762" t="str">
        <f>HYPERLINK("http://service.sap.com/sap/support/notes/1665307","1665307")</f>
        <v>1665307</v>
      </c>
      <c r="E4762">
        <v>2</v>
      </c>
      <c r="F4762" t="s">
        <v>6256</v>
      </c>
    </row>
    <row r="4763" spans="1:6" x14ac:dyDescent="0.25">
      <c r="A4763" t="s">
        <v>6077</v>
      </c>
      <c r="B4763" t="s">
        <v>1956</v>
      </c>
      <c r="C4763" t="s">
        <v>350</v>
      </c>
      <c r="D4763" t="str">
        <f>HYPERLINK("http://service.sap.com/sap/support/notes/1679108","1679108")</f>
        <v>1679108</v>
      </c>
      <c r="E4763">
        <v>1</v>
      </c>
      <c r="F4763" t="s">
        <v>6257</v>
      </c>
    </row>
    <row r="4764" spans="1:6" x14ac:dyDescent="0.25">
      <c r="A4764" t="s">
        <v>6077</v>
      </c>
      <c r="B4764" t="s">
        <v>6258</v>
      </c>
      <c r="C4764" t="s">
        <v>14</v>
      </c>
      <c r="D4764" t="str">
        <f>HYPERLINK("http://service.sap.com/sap/support/notes/1665157","1665157")</f>
        <v>1665157</v>
      </c>
      <c r="E4764">
        <v>1</v>
      </c>
      <c r="F4764" t="s">
        <v>6259</v>
      </c>
    </row>
    <row r="4765" spans="1:6" x14ac:dyDescent="0.25">
      <c r="A4765" t="s">
        <v>6077</v>
      </c>
      <c r="B4765" t="s">
        <v>1968</v>
      </c>
      <c r="C4765" t="s">
        <v>1969</v>
      </c>
      <c r="D4765" t="str">
        <f>HYPERLINK("http://service.sap.com/sap/support/notes/1662059","1662059")</f>
        <v>1662059</v>
      </c>
      <c r="E4765">
        <v>1</v>
      </c>
      <c r="F4765" t="s">
        <v>6260</v>
      </c>
    </row>
    <row r="4766" spans="1:6" x14ac:dyDescent="0.25">
      <c r="A4766" t="s">
        <v>6077</v>
      </c>
      <c r="B4766" t="s">
        <v>1968</v>
      </c>
      <c r="C4766" t="s">
        <v>1969</v>
      </c>
      <c r="D4766" t="str">
        <f>HYPERLINK("http://service.sap.com/sap/support/notes/1665325","1665325")</f>
        <v>1665325</v>
      </c>
      <c r="E4766">
        <v>1</v>
      </c>
      <c r="F4766" t="s">
        <v>6261</v>
      </c>
    </row>
    <row r="4767" spans="1:6" x14ac:dyDescent="0.25">
      <c r="A4767" t="s">
        <v>6077</v>
      </c>
      <c r="B4767" t="s">
        <v>1968</v>
      </c>
      <c r="C4767" t="s">
        <v>1969</v>
      </c>
      <c r="D4767" t="str">
        <f>HYPERLINK("http://service.sap.com/sap/support/notes/1667281","1667281")</f>
        <v>1667281</v>
      </c>
      <c r="E4767">
        <v>1</v>
      </c>
      <c r="F4767" t="s">
        <v>6262</v>
      </c>
    </row>
    <row r="4768" spans="1:6" x14ac:dyDescent="0.25">
      <c r="A4768" t="s">
        <v>6077</v>
      </c>
      <c r="B4768" t="s">
        <v>250</v>
      </c>
      <c r="C4768" t="s">
        <v>251</v>
      </c>
    </row>
    <row r="4769" spans="1:6" x14ac:dyDescent="0.25">
      <c r="A4769" t="s">
        <v>6077</v>
      </c>
      <c r="B4769" t="s">
        <v>252</v>
      </c>
      <c r="C4769" t="s">
        <v>253</v>
      </c>
      <c r="D4769" t="str">
        <f>HYPERLINK("http://service.sap.com/sap/support/notes/1576206","1576206")</f>
        <v>1576206</v>
      </c>
      <c r="E4769">
        <v>2</v>
      </c>
      <c r="F4769" t="s">
        <v>6263</v>
      </c>
    </row>
    <row r="4770" spans="1:6" x14ac:dyDescent="0.25">
      <c r="A4770" t="s">
        <v>6077</v>
      </c>
      <c r="B4770" t="s">
        <v>252</v>
      </c>
      <c r="C4770" t="s">
        <v>253</v>
      </c>
      <c r="D4770" t="str">
        <f>HYPERLINK("http://service.sap.com/sap/support/notes/1596065","1596065")</f>
        <v>1596065</v>
      </c>
      <c r="E4770">
        <v>4</v>
      </c>
      <c r="F4770" t="s">
        <v>6264</v>
      </c>
    </row>
    <row r="4771" spans="1:6" x14ac:dyDescent="0.25">
      <c r="A4771" t="s">
        <v>6077</v>
      </c>
      <c r="B4771" t="s">
        <v>252</v>
      </c>
      <c r="C4771" t="s">
        <v>253</v>
      </c>
      <c r="D4771" t="str">
        <f>HYPERLINK("http://service.sap.com/sap/support/notes/1603147","1603147")</f>
        <v>1603147</v>
      </c>
      <c r="E4771">
        <v>2</v>
      </c>
      <c r="F4771" t="s">
        <v>6265</v>
      </c>
    </row>
    <row r="4772" spans="1:6" x14ac:dyDescent="0.25">
      <c r="A4772" t="s">
        <v>6077</v>
      </c>
      <c r="B4772" t="s">
        <v>252</v>
      </c>
      <c r="C4772" t="s">
        <v>253</v>
      </c>
      <c r="D4772" t="str">
        <f>HYPERLINK("http://service.sap.com/sap/support/notes/1609473","1609473")</f>
        <v>1609473</v>
      </c>
      <c r="E4772">
        <v>2</v>
      </c>
      <c r="F4772" t="s">
        <v>6266</v>
      </c>
    </row>
    <row r="4773" spans="1:6" x14ac:dyDescent="0.25">
      <c r="A4773" t="s">
        <v>6077</v>
      </c>
      <c r="B4773" t="s">
        <v>252</v>
      </c>
      <c r="C4773" t="s">
        <v>253</v>
      </c>
      <c r="D4773" t="str">
        <f>HYPERLINK("http://service.sap.com/sap/support/notes/1616734","1616734")</f>
        <v>1616734</v>
      </c>
      <c r="E4773">
        <v>3</v>
      </c>
      <c r="F4773" t="s">
        <v>6267</v>
      </c>
    </row>
    <row r="4774" spans="1:6" x14ac:dyDescent="0.25">
      <c r="A4774" t="s">
        <v>6077</v>
      </c>
      <c r="B4774" t="s">
        <v>252</v>
      </c>
      <c r="C4774" t="s">
        <v>253</v>
      </c>
      <c r="D4774" t="str">
        <f>HYPERLINK("http://service.sap.com/sap/support/notes/1628248","1628248")</f>
        <v>1628248</v>
      </c>
      <c r="E4774">
        <v>4</v>
      </c>
      <c r="F4774" t="s">
        <v>6268</v>
      </c>
    </row>
    <row r="4775" spans="1:6" x14ac:dyDescent="0.25">
      <c r="A4775" t="s">
        <v>6077</v>
      </c>
      <c r="B4775" t="s">
        <v>252</v>
      </c>
      <c r="C4775" t="s">
        <v>253</v>
      </c>
      <c r="D4775" t="str">
        <f>HYPERLINK("http://service.sap.com/sap/support/notes/1638315","1638315")</f>
        <v>1638315</v>
      </c>
      <c r="E4775">
        <v>6</v>
      </c>
      <c r="F4775" t="s">
        <v>6269</v>
      </c>
    </row>
    <row r="4776" spans="1:6" x14ac:dyDescent="0.25">
      <c r="A4776" t="s">
        <v>6077</v>
      </c>
      <c r="B4776" t="s">
        <v>252</v>
      </c>
      <c r="C4776" t="s">
        <v>253</v>
      </c>
      <c r="D4776" t="str">
        <f>HYPERLINK("http://service.sap.com/sap/support/notes/1639462","1639462")</f>
        <v>1639462</v>
      </c>
      <c r="E4776">
        <v>5</v>
      </c>
      <c r="F4776" t="s">
        <v>1991</v>
      </c>
    </row>
    <row r="4777" spans="1:6" x14ac:dyDescent="0.25">
      <c r="A4777" t="s">
        <v>6077</v>
      </c>
      <c r="B4777" t="s">
        <v>252</v>
      </c>
      <c r="C4777" t="s">
        <v>253</v>
      </c>
      <c r="D4777" t="str">
        <f>HYPERLINK("http://service.sap.com/sap/support/notes/1642593","1642593")</f>
        <v>1642593</v>
      </c>
      <c r="E4777">
        <v>4</v>
      </c>
      <c r="F4777" t="s">
        <v>6270</v>
      </c>
    </row>
    <row r="4778" spans="1:6" x14ac:dyDescent="0.25">
      <c r="A4778" t="s">
        <v>6077</v>
      </c>
      <c r="B4778" t="s">
        <v>252</v>
      </c>
      <c r="C4778" t="s">
        <v>253</v>
      </c>
      <c r="D4778" t="str">
        <f>HYPERLINK("http://service.sap.com/sap/support/notes/1671711","1671711")</f>
        <v>1671711</v>
      </c>
      <c r="E4778">
        <v>3</v>
      </c>
      <c r="F4778" t="s">
        <v>6271</v>
      </c>
    </row>
    <row r="4779" spans="1:6" x14ac:dyDescent="0.25">
      <c r="A4779" t="s">
        <v>6077</v>
      </c>
      <c r="B4779" t="s">
        <v>252</v>
      </c>
      <c r="C4779" t="s">
        <v>253</v>
      </c>
      <c r="D4779" t="str">
        <f>HYPERLINK("http://service.sap.com/sap/support/notes/1674714","1674714")</f>
        <v>1674714</v>
      </c>
      <c r="E4779">
        <v>1</v>
      </c>
      <c r="F4779" t="s">
        <v>6272</v>
      </c>
    </row>
    <row r="4780" spans="1:6" x14ac:dyDescent="0.25">
      <c r="A4780" t="s">
        <v>6077</v>
      </c>
      <c r="B4780" t="s">
        <v>252</v>
      </c>
      <c r="C4780" t="s">
        <v>253</v>
      </c>
      <c r="D4780" t="str">
        <f>HYPERLINK("http://service.sap.com/sap/support/notes/1679505","1679505")</f>
        <v>1679505</v>
      </c>
      <c r="E4780">
        <v>2</v>
      </c>
      <c r="F4780" t="s">
        <v>6273</v>
      </c>
    </row>
    <row r="4781" spans="1:6" x14ac:dyDescent="0.25">
      <c r="A4781" t="s">
        <v>6077</v>
      </c>
      <c r="B4781" t="s">
        <v>252</v>
      </c>
      <c r="C4781" t="s">
        <v>253</v>
      </c>
      <c r="D4781" t="str">
        <f>HYPERLINK("http://service.sap.com/sap/support/notes/1682512","1682512")</f>
        <v>1682512</v>
      </c>
      <c r="E4781">
        <v>1</v>
      </c>
      <c r="F4781" t="s">
        <v>6274</v>
      </c>
    </row>
    <row r="4782" spans="1:6" x14ac:dyDescent="0.25">
      <c r="A4782" t="s">
        <v>6077</v>
      </c>
      <c r="B4782" t="s">
        <v>252</v>
      </c>
      <c r="C4782" t="s">
        <v>253</v>
      </c>
      <c r="D4782" t="str">
        <f>HYPERLINK("http://service.sap.com/sap/support/notes/1684208","1684208")</f>
        <v>1684208</v>
      </c>
      <c r="E4782">
        <v>1</v>
      </c>
      <c r="F4782" t="s">
        <v>6275</v>
      </c>
    </row>
    <row r="4783" spans="1:6" x14ac:dyDescent="0.25">
      <c r="A4783" t="s">
        <v>6077</v>
      </c>
      <c r="B4783" t="s">
        <v>252</v>
      </c>
      <c r="C4783" t="s">
        <v>253</v>
      </c>
      <c r="D4783" t="str">
        <f>HYPERLINK("http://service.sap.com/sap/support/notes/1684616","1684616")</f>
        <v>1684616</v>
      </c>
      <c r="E4783">
        <v>1</v>
      </c>
      <c r="F4783" t="s">
        <v>6276</v>
      </c>
    </row>
    <row r="4784" spans="1:6" x14ac:dyDescent="0.25">
      <c r="A4784" t="s">
        <v>6077</v>
      </c>
      <c r="B4784" t="s">
        <v>252</v>
      </c>
      <c r="C4784" t="s">
        <v>253</v>
      </c>
      <c r="D4784" t="str">
        <f>HYPERLINK("http://service.sap.com/sap/support/notes/1693294","1693294")</f>
        <v>1693294</v>
      </c>
      <c r="E4784">
        <v>1</v>
      </c>
      <c r="F4784" t="s">
        <v>6277</v>
      </c>
    </row>
    <row r="4785" spans="1:6" x14ac:dyDescent="0.25">
      <c r="A4785" t="s">
        <v>6077</v>
      </c>
      <c r="B4785" t="s">
        <v>252</v>
      </c>
      <c r="C4785" t="s">
        <v>253</v>
      </c>
      <c r="D4785" t="str">
        <f>HYPERLINK("http://service.sap.com/sap/support/notes/1693773","1693773")</f>
        <v>1693773</v>
      </c>
      <c r="E4785">
        <v>1</v>
      </c>
      <c r="F4785" t="s">
        <v>6278</v>
      </c>
    </row>
    <row r="4786" spans="1:6" x14ac:dyDescent="0.25">
      <c r="A4786" t="s">
        <v>6077</v>
      </c>
      <c r="B4786" t="s">
        <v>2007</v>
      </c>
      <c r="C4786" t="s">
        <v>2008</v>
      </c>
      <c r="D4786" t="str">
        <f>HYPERLINK("http://service.sap.com/sap/support/notes/1685159","1685159")</f>
        <v>1685159</v>
      </c>
      <c r="E4786">
        <v>2</v>
      </c>
      <c r="F4786" t="s">
        <v>6279</v>
      </c>
    </row>
    <row r="4787" spans="1:6" x14ac:dyDescent="0.25">
      <c r="A4787" t="s">
        <v>6077</v>
      </c>
      <c r="B4787" t="s">
        <v>257</v>
      </c>
      <c r="C4787" t="s">
        <v>258</v>
      </c>
      <c r="D4787" t="str">
        <f>HYPERLINK("http://service.sap.com/sap/support/notes/1671589","1671589")</f>
        <v>1671589</v>
      </c>
      <c r="E4787">
        <v>3</v>
      </c>
      <c r="F4787" t="s">
        <v>6280</v>
      </c>
    </row>
    <row r="4788" spans="1:6" x14ac:dyDescent="0.25">
      <c r="A4788" t="s">
        <v>6077</v>
      </c>
      <c r="B4788" t="s">
        <v>2017</v>
      </c>
      <c r="C4788" t="s">
        <v>2018</v>
      </c>
      <c r="D4788" t="str">
        <f>HYPERLINK("http://service.sap.com/sap/support/notes/1637242","1637242")</f>
        <v>1637242</v>
      </c>
      <c r="E4788">
        <v>2</v>
      </c>
      <c r="F4788" t="s">
        <v>6281</v>
      </c>
    </row>
    <row r="4789" spans="1:6" x14ac:dyDescent="0.25">
      <c r="A4789" t="s">
        <v>6077</v>
      </c>
      <c r="B4789" t="s">
        <v>2017</v>
      </c>
      <c r="C4789" t="s">
        <v>2018</v>
      </c>
      <c r="D4789" t="str">
        <f>HYPERLINK("http://service.sap.com/sap/support/notes/1674161","1674161")</f>
        <v>1674161</v>
      </c>
      <c r="E4789">
        <v>1</v>
      </c>
      <c r="F4789" t="s">
        <v>6282</v>
      </c>
    </row>
    <row r="4790" spans="1:6" x14ac:dyDescent="0.25">
      <c r="A4790" t="s">
        <v>6077</v>
      </c>
      <c r="B4790" t="s">
        <v>2017</v>
      </c>
      <c r="C4790" t="s">
        <v>2018</v>
      </c>
      <c r="D4790" t="str">
        <f>HYPERLINK("http://service.sap.com/sap/support/notes/1685492","1685492")</f>
        <v>1685492</v>
      </c>
      <c r="E4790">
        <v>1</v>
      </c>
      <c r="F4790" t="s">
        <v>6283</v>
      </c>
    </row>
    <row r="4791" spans="1:6" x14ac:dyDescent="0.25">
      <c r="A4791" t="s">
        <v>6077</v>
      </c>
      <c r="B4791" t="s">
        <v>2017</v>
      </c>
      <c r="C4791" t="s">
        <v>2018</v>
      </c>
      <c r="D4791" t="str">
        <f>HYPERLINK("http://service.sap.com/sap/support/notes/1693003","1693003")</f>
        <v>1693003</v>
      </c>
      <c r="E4791">
        <v>1</v>
      </c>
      <c r="F4791" t="s">
        <v>6284</v>
      </c>
    </row>
    <row r="4792" spans="1:6" x14ac:dyDescent="0.25">
      <c r="A4792" t="s">
        <v>6077</v>
      </c>
      <c r="B4792" t="s">
        <v>266</v>
      </c>
      <c r="C4792" t="s">
        <v>267</v>
      </c>
      <c r="D4792" t="str">
        <f>HYPERLINK("http://service.sap.com/sap/support/notes/1664212","1664212")</f>
        <v>1664212</v>
      </c>
      <c r="E4792">
        <v>1</v>
      </c>
      <c r="F4792" t="s">
        <v>6285</v>
      </c>
    </row>
    <row r="4793" spans="1:6" x14ac:dyDescent="0.25">
      <c r="A4793" t="s">
        <v>6077</v>
      </c>
      <c r="B4793" t="s">
        <v>272</v>
      </c>
      <c r="C4793" t="s">
        <v>273</v>
      </c>
      <c r="D4793" t="str">
        <f>HYPERLINK("http://service.sap.com/sap/support/notes/1659438","1659438")</f>
        <v>1659438</v>
      </c>
      <c r="E4793">
        <v>1</v>
      </c>
      <c r="F4793" t="s">
        <v>6286</v>
      </c>
    </row>
    <row r="4794" spans="1:6" x14ac:dyDescent="0.25">
      <c r="A4794" t="s">
        <v>6077</v>
      </c>
      <c r="B4794" t="s">
        <v>272</v>
      </c>
      <c r="C4794" t="s">
        <v>273</v>
      </c>
      <c r="D4794" t="str">
        <f>HYPERLINK("http://service.sap.com/sap/support/notes/1686209","1686209")</f>
        <v>1686209</v>
      </c>
      <c r="E4794">
        <v>1</v>
      </c>
      <c r="F4794" t="s">
        <v>6287</v>
      </c>
    </row>
    <row r="4795" spans="1:6" x14ac:dyDescent="0.25">
      <c r="A4795" t="s">
        <v>6077</v>
      </c>
      <c r="B4795" t="s">
        <v>2063</v>
      </c>
      <c r="C4795" t="s">
        <v>2064</v>
      </c>
      <c r="D4795" t="str">
        <f>HYPERLINK("http://service.sap.com/sap/support/notes/1679894","1679894")</f>
        <v>1679894</v>
      </c>
      <c r="E4795">
        <v>3</v>
      </c>
      <c r="F4795" t="s">
        <v>6288</v>
      </c>
    </row>
    <row r="4796" spans="1:6" x14ac:dyDescent="0.25">
      <c r="A4796" t="s">
        <v>6077</v>
      </c>
      <c r="B4796" t="s">
        <v>276</v>
      </c>
      <c r="C4796" t="s">
        <v>277</v>
      </c>
      <c r="D4796" t="str">
        <f>HYPERLINK("http://service.sap.com/sap/support/notes/1683524","1683524")</f>
        <v>1683524</v>
      </c>
      <c r="E4796">
        <v>1</v>
      </c>
      <c r="F4796" t="s">
        <v>6289</v>
      </c>
    </row>
    <row r="4797" spans="1:6" x14ac:dyDescent="0.25">
      <c r="A4797" t="s">
        <v>6077</v>
      </c>
      <c r="B4797" t="s">
        <v>6290</v>
      </c>
      <c r="C4797" t="s">
        <v>6291</v>
      </c>
      <c r="D4797" t="str">
        <f>HYPERLINK("http://service.sap.com/sap/support/notes/1677250","1677250")</f>
        <v>1677250</v>
      </c>
      <c r="E4797">
        <v>1</v>
      </c>
      <c r="F4797" t="s">
        <v>6292</v>
      </c>
    </row>
    <row r="4798" spans="1:6" x14ac:dyDescent="0.25">
      <c r="A4798" t="s">
        <v>6077</v>
      </c>
      <c r="B4798" t="s">
        <v>6290</v>
      </c>
      <c r="C4798" t="s">
        <v>6291</v>
      </c>
      <c r="D4798" t="str">
        <f>HYPERLINK("http://service.sap.com/sap/support/notes/1681492","1681492")</f>
        <v>1681492</v>
      </c>
      <c r="E4798">
        <v>1</v>
      </c>
      <c r="F4798" t="s">
        <v>6293</v>
      </c>
    </row>
    <row r="4799" spans="1:6" x14ac:dyDescent="0.25">
      <c r="A4799" t="s">
        <v>6077</v>
      </c>
      <c r="B4799" t="s">
        <v>2071</v>
      </c>
      <c r="C4799" t="s">
        <v>2072</v>
      </c>
      <c r="D4799" t="str">
        <f>HYPERLINK("http://service.sap.com/sap/support/notes/1668432","1668432")</f>
        <v>1668432</v>
      </c>
      <c r="E4799">
        <v>1</v>
      </c>
      <c r="F4799" t="s">
        <v>6294</v>
      </c>
    </row>
    <row r="4800" spans="1:6" x14ac:dyDescent="0.25">
      <c r="A4800" t="s">
        <v>6077</v>
      </c>
      <c r="B4800" t="s">
        <v>2071</v>
      </c>
      <c r="C4800" t="s">
        <v>2072</v>
      </c>
      <c r="D4800" t="str">
        <f>HYPERLINK("http://service.sap.com/sap/support/notes/1669981","1669981")</f>
        <v>1669981</v>
      </c>
      <c r="E4800">
        <v>2</v>
      </c>
      <c r="F4800" t="s">
        <v>6295</v>
      </c>
    </row>
    <row r="4801" spans="1:6" x14ac:dyDescent="0.25">
      <c r="A4801" t="s">
        <v>6077</v>
      </c>
      <c r="B4801" t="s">
        <v>2071</v>
      </c>
      <c r="C4801" t="s">
        <v>2072</v>
      </c>
      <c r="D4801" t="str">
        <f>HYPERLINK("http://service.sap.com/sap/support/notes/1680489","1680489")</f>
        <v>1680489</v>
      </c>
      <c r="E4801">
        <v>3</v>
      </c>
      <c r="F4801" t="s">
        <v>6296</v>
      </c>
    </row>
    <row r="4802" spans="1:6" x14ac:dyDescent="0.25">
      <c r="A4802" t="s">
        <v>6077</v>
      </c>
      <c r="B4802" t="s">
        <v>280</v>
      </c>
      <c r="C4802" t="s">
        <v>281</v>
      </c>
    </row>
    <row r="4803" spans="1:6" x14ac:dyDescent="0.25">
      <c r="A4803" t="s">
        <v>6077</v>
      </c>
      <c r="B4803" t="s">
        <v>2091</v>
      </c>
      <c r="C4803" t="s">
        <v>337</v>
      </c>
    </row>
    <row r="4804" spans="1:6" x14ac:dyDescent="0.25">
      <c r="A4804" t="s">
        <v>6077</v>
      </c>
      <c r="B4804" t="s">
        <v>2092</v>
      </c>
      <c r="C4804" t="s">
        <v>2093</v>
      </c>
      <c r="D4804" t="str">
        <f>HYPERLINK("http://service.sap.com/sap/support/notes/1681984","1681984")</f>
        <v>1681984</v>
      </c>
      <c r="E4804">
        <v>1</v>
      </c>
      <c r="F4804" t="s">
        <v>6297</v>
      </c>
    </row>
    <row r="4805" spans="1:6" x14ac:dyDescent="0.25">
      <c r="A4805" t="s">
        <v>6077</v>
      </c>
      <c r="B4805" t="s">
        <v>2095</v>
      </c>
      <c r="C4805" t="s">
        <v>2096</v>
      </c>
    </row>
    <row r="4806" spans="1:6" x14ac:dyDescent="0.25">
      <c r="A4806" t="s">
        <v>6077</v>
      </c>
      <c r="B4806" t="s">
        <v>2097</v>
      </c>
      <c r="C4806" t="s">
        <v>2098</v>
      </c>
    </row>
    <row r="4807" spans="1:6" x14ac:dyDescent="0.25">
      <c r="A4807" t="s">
        <v>6077</v>
      </c>
      <c r="B4807" t="s">
        <v>2113</v>
      </c>
      <c r="C4807" t="s">
        <v>2104</v>
      </c>
      <c r="D4807" t="str">
        <f>HYPERLINK("http://service.sap.com/sap/support/notes/1643139","1643139")</f>
        <v>1643139</v>
      </c>
      <c r="E4807">
        <v>2</v>
      </c>
      <c r="F4807" t="s">
        <v>6298</v>
      </c>
    </row>
    <row r="4808" spans="1:6" x14ac:dyDescent="0.25">
      <c r="A4808" t="s">
        <v>6077</v>
      </c>
      <c r="B4808" t="s">
        <v>6299</v>
      </c>
      <c r="C4808" t="s">
        <v>6300</v>
      </c>
    </row>
    <row r="4809" spans="1:6" x14ac:dyDescent="0.25">
      <c r="A4809" t="s">
        <v>6077</v>
      </c>
      <c r="B4809" t="s">
        <v>6301</v>
      </c>
      <c r="C4809" t="s">
        <v>6302</v>
      </c>
      <c r="D4809" t="str">
        <f>HYPERLINK("http://service.sap.com/sap/support/notes/1686154","1686154")</f>
        <v>1686154</v>
      </c>
      <c r="E4809">
        <v>3</v>
      </c>
      <c r="F4809" t="s">
        <v>6303</v>
      </c>
    </row>
    <row r="4810" spans="1:6" x14ac:dyDescent="0.25">
      <c r="A4810" t="s">
        <v>6077</v>
      </c>
      <c r="B4810" t="s">
        <v>6304</v>
      </c>
      <c r="C4810" t="s">
        <v>6305</v>
      </c>
      <c r="D4810" t="str">
        <f>HYPERLINK("http://service.sap.com/sap/support/notes/1677445","1677445")</f>
        <v>1677445</v>
      </c>
      <c r="E4810">
        <v>3</v>
      </c>
      <c r="F4810" t="s">
        <v>6306</v>
      </c>
    </row>
    <row r="4811" spans="1:6" x14ac:dyDescent="0.25">
      <c r="A4811" t="s">
        <v>6077</v>
      </c>
      <c r="B4811" t="s">
        <v>2125</v>
      </c>
      <c r="C4811" t="s">
        <v>2126</v>
      </c>
    </row>
    <row r="4812" spans="1:6" x14ac:dyDescent="0.25">
      <c r="A4812" t="s">
        <v>6077</v>
      </c>
      <c r="B4812" t="s">
        <v>2127</v>
      </c>
      <c r="C4812" t="s">
        <v>2128</v>
      </c>
      <c r="D4812" t="str">
        <f>HYPERLINK("http://service.sap.com/sap/support/notes/1679158","1679158")</f>
        <v>1679158</v>
      </c>
      <c r="E4812">
        <v>1</v>
      </c>
      <c r="F4812" t="s">
        <v>6307</v>
      </c>
    </row>
    <row r="4813" spans="1:6" x14ac:dyDescent="0.25">
      <c r="A4813" t="s">
        <v>6077</v>
      </c>
      <c r="B4813" t="s">
        <v>2127</v>
      </c>
      <c r="C4813" t="s">
        <v>2128</v>
      </c>
      <c r="D4813" t="str">
        <f>HYPERLINK("http://service.sap.com/sap/support/notes/1679539","1679539")</f>
        <v>1679539</v>
      </c>
      <c r="E4813">
        <v>1</v>
      </c>
      <c r="F4813" t="s">
        <v>6308</v>
      </c>
    </row>
    <row r="4814" spans="1:6" x14ac:dyDescent="0.25">
      <c r="A4814" t="s">
        <v>6077</v>
      </c>
      <c r="B4814" t="s">
        <v>2127</v>
      </c>
      <c r="C4814" t="s">
        <v>2128</v>
      </c>
      <c r="D4814" t="str">
        <f>HYPERLINK("http://service.sap.com/sap/support/notes/1687653","1687653")</f>
        <v>1687653</v>
      </c>
      <c r="E4814">
        <v>1</v>
      </c>
      <c r="F4814" t="s">
        <v>6309</v>
      </c>
    </row>
    <row r="4815" spans="1:6" x14ac:dyDescent="0.25">
      <c r="A4815" t="s">
        <v>6077</v>
      </c>
      <c r="B4815" t="s">
        <v>2127</v>
      </c>
      <c r="C4815" t="s">
        <v>2128</v>
      </c>
      <c r="D4815" t="str">
        <f>HYPERLINK("http://service.sap.com/sap/support/notes/1690399","1690399")</f>
        <v>1690399</v>
      </c>
      <c r="E4815">
        <v>1</v>
      </c>
      <c r="F4815" t="s">
        <v>6310</v>
      </c>
    </row>
    <row r="4816" spans="1:6" x14ac:dyDescent="0.25">
      <c r="A4816" t="s">
        <v>6077</v>
      </c>
      <c r="B4816" t="s">
        <v>2127</v>
      </c>
      <c r="C4816" t="s">
        <v>2128</v>
      </c>
      <c r="D4816" t="str">
        <f>HYPERLINK("http://service.sap.com/sap/support/notes/1692894","1692894")</f>
        <v>1692894</v>
      </c>
      <c r="E4816">
        <v>1</v>
      </c>
      <c r="F4816" t="s">
        <v>6311</v>
      </c>
    </row>
    <row r="4817" spans="1:6" x14ac:dyDescent="0.25">
      <c r="A4817" t="s">
        <v>6077</v>
      </c>
      <c r="B4817" t="s">
        <v>2137</v>
      </c>
      <c r="C4817" t="s">
        <v>2138</v>
      </c>
    </row>
    <row r="4818" spans="1:6" x14ac:dyDescent="0.25">
      <c r="A4818" t="s">
        <v>6077</v>
      </c>
      <c r="B4818" t="s">
        <v>6312</v>
      </c>
      <c r="C4818" t="s">
        <v>6313</v>
      </c>
    </row>
    <row r="4819" spans="1:6" x14ac:dyDescent="0.25">
      <c r="A4819" t="s">
        <v>6077</v>
      </c>
      <c r="B4819" t="s">
        <v>6314</v>
      </c>
      <c r="C4819" t="s">
        <v>6315</v>
      </c>
      <c r="D4819" t="str">
        <f>HYPERLINK("http://service.sap.com/sap/support/notes/1682417","1682417")</f>
        <v>1682417</v>
      </c>
      <c r="E4819">
        <v>1</v>
      </c>
      <c r="F4819" t="s">
        <v>6316</v>
      </c>
    </row>
    <row r="4820" spans="1:6" x14ac:dyDescent="0.25">
      <c r="A4820" t="s">
        <v>6077</v>
      </c>
      <c r="B4820" t="s">
        <v>293</v>
      </c>
      <c r="C4820" t="s">
        <v>294</v>
      </c>
    </row>
    <row r="4821" spans="1:6" x14ac:dyDescent="0.25">
      <c r="A4821" t="s">
        <v>6077</v>
      </c>
      <c r="B4821" t="s">
        <v>295</v>
      </c>
      <c r="C4821" t="s">
        <v>296</v>
      </c>
      <c r="D4821" t="str">
        <f>HYPERLINK("http://service.sap.com/sap/support/notes/1661714","1661714")</f>
        <v>1661714</v>
      </c>
      <c r="E4821">
        <v>2</v>
      </c>
      <c r="F4821" t="s">
        <v>6317</v>
      </c>
    </row>
    <row r="4822" spans="1:6" x14ac:dyDescent="0.25">
      <c r="A4822" t="s">
        <v>6077</v>
      </c>
      <c r="B4822" t="s">
        <v>2200</v>
      </c>
      <c r="C4822" t="s">
        <v>2201</v>
      </c>
      <c r="D4822" t="str">
        <f>HYPERLINK("http://service.sap.com/sap/support/notes/1654549","1654549")</f>
        <v>1654549</v>
      </c>
      <c r="E4822">
        <v>3</v>
      </c>
      <c r="F4822" t="s">
        <v>6318</v>
      </c>
    </row>
    <row r="4823" spans="1:6" x14ac:dyDescent="0.25">
      <c r="A4823" t="s">
        <v>6077</v>
      </c>
      <c r="B4823" t="s">
        <v>2204</v>
      </c>
      <c r="C4823" t="s">
        <v>350</v>
      </c>
      <c r="D4823" t="str">
        <f>HYPERLINK("http://service.sap.com/sap/support/notes/1674065","1674065")</f>
        <v>1674065</v>
      </c>
      <c r="E4823">
        <v>1</v>
      </c>
      <c r="F4823" t="s">
        <v>6319</v>
      </c>
    </row>
    <row r="4824" spans="1:6" x14ac:dyDescent="0.25">
      <c r="A4824" t="s">
        <v>6077</v>
      </c>
      <c r="B4824" t="s">
        <v>306</v>
      </c>
      <c r="C4824" t="s">
        <v>307</v>
      </c>
    </row>
    <row r="4825" spans="1:6" x14ac:dyDescent="0.25">
      <c r="A4825" t="s">
        <v>6077</v>
      </c>
      <c r="B4825" t="s">
        <v>308</v>
      </c>
      <c r="C4825" t="s">
        <v>309</v>
      </c>
      <c r="D4825" t="str">
        <f>HYPERLINK("http://service.sap.com/sap/support/notes/1675468","1675468")</f>
        <v>1675468</v>
      </c>
      <c r="E4825">
        <v>1</v>
      </c>
      <c r="F4825" t="s">
        <v>6320</v>
      </c>
    </row>
    <row r="4826" spans="1:6" x14ac:dyDescent="0.25">
      <c r="A4826" t="s">
        <v>6077</v>
      </c>
      <c r="B4826" t="s">
        <v>308</v>
      </c>
      <c r="C4826" t="s">
        <v>309</v>
      </c>
      <c r="D4826" t="str">
        <f>HYPERLINK("http://service.sap.com/sap/support/notes/1686244","1686244")</f>
        <v>1686244</v>
      </c>
      <c r="E4826">
        <v>1</v>
      </c>
      <c r="F4826" t="s">
        <v>6321</v>
      </c>
    </row>
    <row r="4827" spans="1:6" x14ac:dyDescent="0.25">
      <c r="A4827" t="s">
        <v>6077</v>
      </c>
      <c r="B4827" t="s">
        <v>308</v>
      </c>
      <c r="C4827" t="s">
        <v>309</v>
      </c>
      <c r="D4827" t="str">
        <f>HYPERLINK("http://service.sap.com/sap/support/notes/1692857","1692857")</f>
        <v>1692857</v>
      </c>
      <c r="E4827">
        <v>1</v>
      </c>
      <c r="F4827" t="s">
        <v>6322</v>
      </c>
    </row>
    <row r="4828" spans="1:6" x14ac:dyDescent="0.25">
      <c r="A4828" t="s">
        <v>6077</v>
      </c>
      <c r="B4828" t="s">
        <v>308</v>
      </c>
      <c r="C4828" t="s">
        <v>309</v>
      </c>
      <c r="D4828" t="str">
        <f>HYPERLINK("http://service.sap.com/sap/support/notes/1693120","1693120")</f>
        <v>1693120</v>
      </c>
      <c r="E4828">
        <v>1</v>
      </c>
      <c r="F4828" t="s">
        <v>6323</v>
      </c>
    </row>
    <row r="4829" spans="1:6" x14ac:dyDescent="0.25">
      <c r="A4829" t="s">
        <v>6077</v>
      </c>
      <c r="B4829" t="s">
        <v>2220</v>
      </c>
      <c r="C4829" t="s">
        <v>2221</v>
      </c>
    </row>
    <row r="4830" spans="1:6" x14ac:dyDescent="0.25">
      <c r="A4830" t="s">
        <v>6077</v>
      </c>
      <c r="B4830" t="s">
        <v>2222</v>
      </c>
      <c r="C4830" t="s">
        <v>2223</v>
      </c>
      <c r="D4830" t="str">
        <f>HYPERLINK("http://service.sap.com/sap/support/notes/1669595","1669595")</f>
        <v>1669595</v>
      </c>
      <c r="E4830">
        <v>1</v>
      </c>
      <c r="F4830" t="s">
        <v>6324</v>
      </c>
    </row>
    <row r="4831" spans="1:6" x14ac:dyDescent="0.25">
      <c r="A4831" t="s">
        <v>6077</v>
      </c>
      <c r="B4831" t="s">
        <v>2222</v>
      </c>
      <c r="C4831" t="s">
        <v>2223</v>
      </c>
      <c r="D4831" t="str">
        <f>HYPERLINK("http://service.sap.com/sap/support/notes/1688083","1688083")</f>
        <v>1688083</v>
      </c>
      <c r="E4831">
        <v>1</v>
      </c>
      <c r="F4831" t="s">
        <v>6325</v>
      </c>
    </row>
    <row r="4832" spans="1:6" x14ac:dyDescent="0.25">
      <c r="A4832" t="s">
        <v>6077</v>
      </c>
      <c r="B4832" t="s">
        <v>2232</v>
      </c>
      <c r="C4832" t="s">
        <v>350</v>
      </c>
      <c r="D4832" t="str">
        <f>HYPERLINK("http://service.sap.com/sap/support/notes/1660999","1660999")</f>
        <v>1660999</v>
      </c>
      <c r="E4832">
        <v>1</v>
      </c>
      <c r="F4832" t="s">
        <v>6326</v>
      </c>
    </row>
    <row r="4833" spans="1:6" x14ac:dyDescent="0.25">
      <c r="A4833" t="s">
        <v>6077</v>
      </c>
      <c r="B4833" t="s">
        <v>2235</v>
      </c>
      <c r="C4833" t="s">
        <v>14</v>
      </c>
      <c r="D4833" t="str">
        <f>HYPERLINK("http://service.sap.com/sap/support/notes/1653877","1653877")</f>
        <v>1653877</v>
      </c>
      <c r="E4833">
        <v>1</v>
      </c>
      <c r="F4833" t="s">
        <v>6327</v>
      </c>
    </row>
    <row r="4834" spans="1:6" x14ac:dyDescent="0.25">
      <c r="A4834" t="s">
        <v>6077</v>
      </c>
      <c r="B4834" t="s">
        <v>6328</v>
      </c>
      <c r="C4834" t="s">
        <v>6329</v>
      </c>
    </row>
    <row r="4835" spans="1:6" x14ac:dyDescent="0.25">
      <c r="A4835" t="s">
        <v>6077</v>
      </c>
      <c r="B4835" t="s">
        <v>6330</v>
      </c>
      <c r="C4835" t="s">
        <v>6331</v>
      </c>
      <c r="D4835" t="str">
        <f>HYPERLINK("http://service.sap.com/sap/support/notes/1674974","1674974")</f>
        <v>1674974</v>
      </c>
      <c r="E4835">
        <v>1</v>
      </c>
      <c r="F4835" t="s">
        <v>6332</v>
      </c>
    </row>
    <row r="4836" spans="1:6" x14ac:dyDescent="0.25">
      <c r="A4836" t="s">
        <v>6077</v>
      </c>
      <c r="B4836" t="s">
        <v>311</v>
      </c>
      <c r="C4836" t="s">
        <v>312</v>
      </c>
    </row>
    <row r="4837" spans="1:6" x14ac:dyDescent="0.25">
      <c r="A4837" t="s">
        <v>6077</v>
      </c>
      <c r="B4837" t="s">
        <v>313</v>
      </c>
      <c r="C4837" t="s">
        <v>314</v>
      </c>
    </row>
    <row r="4838" spans="1:6" x14ac:dyDescent="0.25">
      <c r="A4838" t="s">
        <v>6077</v>
      </c>
      <c r="B4838" t="s">
        <v>2246</v>
      </c>
      <c r="C4838" t="s">
        <v>2247</v>
      </c>
    </row>
    <row r="4839" spans="1:6" x14ac:dyDescent="0.25">
      <c r="A4839" t="s">
        <v>6077</v>
      </c>
      <c r="B4839" t="s">
        <v>2248</v>
      </c>
      <c r="C4839" t="s">
        <v>2249</v>
      </c>
      <c r="D4839" t="str">
        <f>HYPERLINK("http://service.sap.com/sap/support/notes/1689009","1689009")</f>
        <v>1689009</v>
      </c>
      <c r="E4839">
        <v>1</v>
      </c>
      <c r="F4839" t="s">
        <v>6333</v>
      </c>
    </row>
    <row r="4840" spans="1:6" x14ac:dyDescent="0.25">
      <c r="A4840" t="s">
        <v>6077</v>
      </c>
      <c r="B4840" t="s">
        <v>2251</v>
      </c>
      <c r="C4840" t="s">
        <v>2252</v>
      </c>
      <c r="D4840" t="str">
        <f>HYPERLINK("http://service.sap.com/sap/support/notes/1682915","1682915")</f>
        <v>1682915</v>
      </c>
      <c r="E4840">
        <v>2</v>
      </c>
      <c r="F4840" t="s">
        <v>6334</v>
      </c>
    </row>
    <row r="4841" spans="1:6" x14ac:dyDescent="0.25">
      <c r="A4841" t="s">
        <v>6077</v>
      </c>
      <c r="B4841" t="s">
        <v>315</v>
      </c>
      <c r="C4841" t="s">
        <v>316</v>
      </c>
    </row>
    <row r="4842" spans="1:6" x14ac:dyDescent="0.25">
      <c r="A4842" t="s">
        <v>6077</v>
      </c>
      <c r="B4842" t="s">
        <v>317</v>
      </c>
      <c r="C4842" t="s">
        <v>318</v>
      </c>
      <c r="D4842" t="str">
        <f>HYPERLINK("http://service.sap.com/sap/support/notes/1670400","1670400")</f>
        <v>1670400</v>
      </c>
      <c r="E4842">
        <v>3</v>
      </c>
      <c r="F4842" t="s">
        <v>2256</v>
      </c>
    </row>
    <row r="4843" spans="1:6" x14ac:dyDescent="0.25">
      <c r="A4843" t="s">
        <v>6077</v>
      </c>
      <c r="B4843" t="s">
        <v>324</v>
      </c>
      <c r="C4843" t="s">
        <v>325</v>
      </c>
    </row>
    <row r="4844" spans="1:6" x14ac:dyDescent="0.25">
      <c r="A4844" t="s">
        <v>6077</v>
      </c>
      <c r="B4844" t="s">
        <v>326</v>
      </c>
      <c r="C4844" t="s">
        <v>327</v>
      </c>
      <c r="D4844" t="str">
        <f>HYPERLINK("http://service.sap.com/sap/support/notes/1672208","1672208")</f>
        <v>1672208</v>
      </c>
      <c r="E4844">
        <v>2</v>
      </c>
      <c r="F4844" t="s">
        <v>6335</v>
      </c>
    </row>
    <row r="4845" spans="1:6" x14ac:dyDescent="0.25">
      <c r="A4845" t="s">
        <v>6077</v>
      </c>
      <c r="B4845" t="s">
        <v>326</v>
      </c>
      <c r="C4845" t="s">
        <v>327</v>
      </c>
      <c r="D4845" t="str">
        <f>HYPERLINK("http://service.sap.com/sap/support/notes/1673601","1673601")</f>
        <v>1673601</v>
      </c>
      <c r="E4845">
        <v>7</v>
      </c>
      <c r="F4845" t="s">
        <v>6336</v>
      </c>
    </row>
    <row r="4846" spans="1:6" x14ac:dyDescent="0.25">
      <c r="A4846" t="s">
        <v>6077</v>
      </c>
      <c r="B4846" t="s">
        <v>326</v>
      </c>
      <c r="C4846" t="s">
        <v>327</v>
      </c>
      <c r="D4846" t="str">
        <f>HYPERLINK("http://service.sap.com/sap/support/notes/1676014","1676014")</f>
        <v>1676014</v>
      </c>
      <c r="E4846">
        <v>3</v>
      </c>
      <c r="F4846" t="s">
        <v>6337</v>
      </c>
    </row>
    <row r="4847" spans="1:6" x14ac:dyDescent="0.25">
      <c r="A4847" t="s">
        <v>6077</v>
      </c>
      <c r="B4847" t="s">
        <v>326</v>
      </c>
      <c r="C4847" t="s">
        <v>327</v>
      </c>
      <c r="D4847" t="str">
        <f>HYPERLINK("http://service.sap.com/sap/support/notes/1676981","1676981")</f>
        <v>1676981</v>
      </c>
      <c r="E4847">
        <v>1</v>
      </c>
      <c r="F4847" t="s">
        <v>6338</v>
      </c>
    </row>
    <row r="4848" spans="1:6" x14ac:dyDescent="0.25">
      <c r="A4848" t="s">
        <v>6077</v>
      </c>
      <c r="B4848" t="s">
        <v>326</v>
      </c>
      <c r="C4848" t="s">
        <v>327</v>
      </c>
      <c r="D4848" t="str">
        <f>HYPERLINK("http://service.sap.com/sap/support/notes/1681738","1681738")</f>
        <v>1681738</v>
      </c>
      <c r="E4848">
        <v>2</v>
      </c>
      <c r="F4848" t="s">
        <v>6339</v>
      </c>
    </row>
    <row r="4849" spans="1:6" x14ac:dyDescent="0.25">
      <c r="A4849" t="s">
        <v>6077</v>
      </c>
      <c r="B4849" t="s">
        <v>326</v>
      </c>
      <c r="C4849" t="s">
        <v>327</v>
      </c>
      <c r="D4849" t="str">
        <f>HYPERLINK("http://service.sap.com/sap/support/notes/1688967","1688967")</f>
        <v>1688967</v>
      </c>
      <c r="E4849">
        <v>1</v>
      </c>
      <c r="F4849" t="s">
        <v>6340</v>
      </c>
    </row>
    <row r="4850" spans="1:6" x14ac:dyDescent="0.25">
      <c r="A4850" t="s">
        <v>6077</v>
      </c>
      <c r="B4850" t="s">
        <v>326</v>
      </c>
      <c r="C4850" t="s">
        <v>327</v>
      </c>
      <c r="D4850" t="str">
        <f>HYPERLINK("http://service.sap.com/sap/support/notes/1694104","1694104")</f>
        <v>1694104</v>
      </c>
      <c r="E4850">
        <v>1</v>
      </c>
      <c r="F4850" t="s">
        <v>6341</v>
      </c>
    </row>
    <row r="4851" spans="1:6" x14ac:dyDescent="0.25">
      <c r="A4851" t="s">
        <v>6077</v>
      </c>
      <c r="B4851" t="s">
        <v>326</v>
      </c>
      <c r="C4851" t="s">
        <v>327</v>
      </c>
      <c r="D4851" t="str">
        <f>HYPERLINK("http://service.sap.com/sap/support/notes/1694128","1694128")</f>
        <v>1694128</v>
      </c>
      <c r="E4851">
        <v>1</v>
      </c>
      <c r="F4851" t="s">
        <v>6342</v>
      </c>
    </row>
    <row r="4852" spans="1:6" x14ac:dyDescent="0.25">
      <c r="A4852" t="s">
        <v>6077</v>
      </c>
      <c r="B4852" t="s">
        <v>326</v>
      </c>
      <c r="C4852" t="s">
        <v>327</v>
      </c>
      <c r="D4852" t="str">
        <f>HYPERLINK("http://service.sap.com/sap/support/notes/1694160","1694160")</f>
        <v>1694160</v>
      </c>
      <c r="E4852">
        <v>2</v>
      </c>
      <c r="F4852" t="s">
        <v>6343</v>
      </c>
    </row>
    <row r="4853" spans="1:6" x14ac:dyDescent="0.25">
      <c r="A4853" t="s">
        <v>6077</v>
      </c>
      <c r="B4853" t="s">
        <v>326</v>
      </c>
      <c r="C4853" t="s">
        <v>327</v>
      </c>
      <c r="D4853" t="str">
        <f>HYPERLINK("http://service.sap.com/sap/support/notes/1695123","1695123")</f>
        <v>1695123</v>
      </c>
      <c r="E4853">
        <v>2</v>
      </c>
      <c r="F4853" t="s">
        <v>6344</v>
      </c>
    </row>
    <row r="4854" spans="1:6" x14ac:dyDescent="0.25">
      <c r="A4854" t="s">
        <v>6077</v>
      </c>
      <c r="B4854" t="s">
        <v>326</v>
      </c>
      <c r="C4854" t="s">
        <v>327</v>
      </c>
      <c r="D4854" t="str">
        <f>HYPERLINK("http://service.sap.com/sap/support/notes/1695129","1695129")</f>
        <v>1695129</v>
      </c>
      <c r="E4854">
        <v>2</v>
      </c>
      <c r="F4854" t="s">
        <v>6345</v>
      </c>
    </row>
    <row r="4855" spans="1:6" x14ac:dyDescent="0.25">
      <c r="A4855" t="s">
        <v>6077</v>
      </c>
      <c r="B4855" t="s">
        <v>326</v>
      </c>
      <c r="C4855" t="s">
        <v>327</v>
      </c>
      <c r="D4855" t="str">
        <f>HYPERLINK("http://service.sap.com/sap/support/notes/1695518","1695518")</f>
        <v>1695518</v>
      </c>
      <c r="E4855">
        <v>1</v>
      </c>
      <c r="F4855" t="s">
        <v>6346</v>
      </c>
    </row>
    <row r="4856" spans="1:6" x14ac:dyDescent="0.25">
      <c r="A4856" t="s">
        <v>6077</v>
      </c>
      <c r="B4856" t="s">
        <v>326</v>
      </c>
      <c r="C4856" t="s">
        <v>327</v>
      </c>
      <c r="D4856" t="str">
        <f>HYPERLINK("http://service.sap.com/sap/support/notes/1695554","1695554")</f>
        <v>1695554</v>
      </c>
      <c r="E4856">
        <v>2</v>
      </c>
      <c r="F4856" t="s">
        <v>6347</v>
      </c>
    </row>
    <row r="4857" spans="1:6" x14ac:dyDescent="0.25">
      <c r="A4857" t="s">
        <v>6077</v>
      </c>
      <c r="B4857" t="s">
        <v>2278</v>
      </c>
      <c r="C4857" t="s">
        <v>2279</v>
      </c>
    </row>
    <row r="4858" spans="1:6" x14ac:dyDescent="0.25">
      <c r="A4858" t="s">
        <v>6077</v>
      </c>
      <c r="B4858" t="s">
        <v>2280</v>
      </c>
      <c r="C4858" t="s">
        <v>2281</v>
      </c>
      <c r="D4858" t="str">
        <f>HYPERLINK("http://service.sap.com/sap/support/notes/1676473","1676473")</f>
        <v>1676473</v>
      </c>
      <c r="E4858">
        <v>1</v>
      </c>
      <c r="F4858" t="s">
        <v>6348</v>
      </c>
    </row>
    <row r="4859" spans="1:6" x14ac:dyDescent="0.25">
      <c r="A4859" t="s">
        <v>6077</v>
      </c>
      <c r="B4859" t="s">
        <v>334</v>
      </c>
      <c r="C4859" t="s">
        <v>132</v>
      </c>
    </row>
    <row r="4860" spans="1:6" x14ac:dyDescent="0.25">
      <c r="A4860" t="s">
        <v>6077</v>
      </c>
      <c r="B4860" t="s">
        <v>335</v>
      </c>
      <c r="C4860" t="s">
        <v>134</v>
      </c>
      <c r="D4860" t="str">
        <f>HYPERLINK("http://service.sap.com/sap/support/notes/1675346","1675346")</f>
        <v>1675346</v>
      </c>
      <c r="E4860">
        <v>1</v>
      </c>
      <c r="F4860" t="s">
        <v>6349</v>
      </c>
    </row>
    <row r="4861" spans="1:6" x14ac:dyDescent="0.25">
      <c r="A4861" t="s">
        <v>6077</v>
      </c>
      <c r="B4861" t="s">
        <v>336</v>
      </c>
      <c r="C4861" t="s">
        <v>337</v>
      </c>
    </row>
    <row r="4862" spans="1:6" x14ac:dyDescent="0.25">
      <c r="A4862" t="s">
        <v>6077</v>
      </c>
      <c r="B4862" t="s">
        <v>338</v>
      </c>
      <c r="C4862" t="s">
        <v>14</v>
      </c>
      <c r="D4862" t="str">
        <f>HYPERLINK("http://service.sap.com/sap/support/notes/1691838","1691838")</f>
        <v>1691838</v>
      </c>
      <c r="E4862">
        <v>1</v>
      </c>
      <c r="F4862" t="s">
        <v>6350</v>
      </c>
    </row>
    <row r="4863" spans="1:6" x14ac:dyDescent="0.25">
      <c r="A4863" t="s">
        <v>6077</v>
      </c>
      <c r="B4863" t="s">
        <v>2300</v>
      </c>
      <c r="C4863" t="s">
        <v>2301</v>
      </c>
      <c r="D4863" t="str">
        <f>HYPERLINK("http://service.sap.com/sap/support/notes/1659929","1659929")</f>
        <v>1659929</v>
      </c>
      <c r="E4863">
        <v>1</v>
      </c>
      <c r="F4863" t="s">
        <v>6351</v>
      </c>
    </row>
    <row r="4864" spans="1:6" x14ac:dyDescent="0.25">
      <c r="A4864" t="s">
        <v>6077</v>
      </c>
      <c r="B4864" t="s">
        <v>2300</v>
      </c>
      <c r="C4864" t="s">
        <v>2301</v>
      </c>
      <c r="D4864" t="str">
        <f>HYPERLINK("http://service.sap.com/sap/support/notes/1669771","1669771")</f>
        <v>1669771</v>
      </c>
      <c r="E4864">
        <v>2</v>
      </c>
      <c r="F4864" t="s">
        <v>6352</v>
      </c>
    </row>
    <row r="4865" spans="1:6" x14ac:dyDescent="0.25">
      <c r="A4865" t="s">
        <v>6077</v>
      </c>
      <c r="B4865" t="s">
        <v>342</v>
      </c>
      <c r="C4865" t="s">
        <v>343</v>
      </c>
      <c r="D4865" t="str">
        <f>HYPERLINK("http://service.sap.com/sap/support/notes/1659426","1659426")</f>
        <v>1659426</v>
      </c>
      <c r="E4865">
        <v>2</v>
      </c>
      <c r="F4865" t="s">
        <v>6353</v>
      </c>
    </row>
    <row r="4866" spans="1:6" x14ac:dyDescent="0.25">
      <c r="A4866" t="s">
        <v>6077</v>
      </c>
      <c r="B4866" t="s">
        <v>342</v>
      </c>
      <c r="C4866" t="s">
        <v>343</v>
      </c>
      <c r="D4866" t="str">
        <f>HYPERLINK("http://service.sap.com/sap/support/notes/1666828","1666828")</f>
        <v>1666828</v>
      </c>
      <c r="E4866">
        <v>1</v>
      </c>
      <c r="F4866" t="s">
        <v>6354</v>
      </c>
    </row>
    <row r="4867" spans="1:6" x14ac:dyDescent="0.25">
      <c r="A4867" t="s">
        <v>6077</v>
      </c>
      <c r="B4867" t="s">
        <v>354</v>
      </c>
      <c r="C4867" t="s">
        <v>355</v>
      </c>
      <c r="D4867" t="str">
        <f>HYPERLINK("http://service.sap.com/sap/support/notes/1675220","1675220")</f>
        <v>1675220</v>
      </c>
      <c r="E4867">
        <v>1</v>
      </c>
      <c r="F4867" t="s">
        <v>6355</v>
      </c>
    </row>
    <row r="4868" spans="1:6" x14ac:dyDescent="0.25">
      <c r="A4868" t="s">
        <v>6077</v>
      </c>
      <c r="B4868" t="s">
        <v>356</v>
      </c>
      <c r="C4868" t="s">
        <v>337</v>
      </c>
      <c r="D4868" t="str">
        <f>HYPERLINK("http://service.sap.com/sap/support/notes/1646950","1646950")</f>
        <v>1646950</v>
      </c>
      <c r="E4868">
        <v>4</v>
      </c>
      <c r="F4868" t="s">
        <v>2348</v>
      </c>
    </row>
    <row r="4869" spans="1:6" x14ac:dyDescent="0.25">
      <c r="A4869" t="s">
        <v>6077</v>
      </c>
      <c r="B4869" t="s">
        <v>356</v>
      </c>
      <c r="C4869" t="s">
        <v>337</v>
      </c>
      <c r="D4869" t="str">
        <f>HYPERLINK("http://service.sap.com/sap/support/notes/1676793","1676793")</f>
        <v>1676793</v>
      </c>
      <c r="E4869">
        <v>2</v>
      </c>
      <c r="F4869" t="s">
        <v>6356</v>
      </c>
    </row>
    <row r="4870" spans="1:6" x14ac:dyDescent="0.25">
      <c r="A4870" t="s">
        <v>6077</v>
      </c>
      <c r="B4870" t="s">
        <v>358</v>
      </c>
      <c r="C4870" t="s">
        <v>359</v>
      </c>
      <c r="D4870" t="str">
        <f>HYPERLINK("http://service.sap.com/sap/support/notes/1673301","1673301")</f>
        <v>1673301</v>
      </c>
      <c r="E4870">
        <v>1</v>
      </c>
      <c r="F4870" t="s">
        <v>6357</v>
      </c>
    </row>
    <row r="4871" spans="1:6" x14ac:dyDescent="0.25">
      <c r="A4871" t="s">
        <v>6077</v>
      </c>
      <c r="B4871" t="s">
        <v>358</v>
      </c>
      <c r="C4871" t="s">
        <v>359</v>
      </c>
      <c r="D4871" t="str">
        <f>HYPERLINK("http://service.sap.com/sap/support/notes/1687417","1687417")</f>
        <v>1687417</v>
      </c>
      <c r="E4871">
        <v>1</v>
      </c>
      <c r="F4871" t="s">
        <v>6358</v>
      </c>
    </row>
    <row r="4872" spans="1:6" x14ac:dyDescent="0.25">
      <c r="A4872" t="s">
        <v>6077</v>
      </c>
      <c r="B4872" t="s">
        <v>358</v>
      </c>
      <c r="C4872" t="s">
        <v>359</v>
      </c>
      <c r="D4872" t="str">
        <f>HYPERLINK("http://service.sap.com/sap/support/notes/1688386","1688386")</f>
        <v>1688386</v>
      </c>
      <c r="E4872">
        <v>1</v>
      </c>
      <c r="F4872" t="s">
        <v>6359</v>
      </c>
    </row>
    <row r="4873" spans="1:6" x14ac:dyDescent="0.25">
      <c r="A4873" t="s">
        <v>6077</v>
      </c>
      <c r="B4873" t="s">
        <v>363</v>
      </c>
      <c r="C4873" t="s">
        <v>364</v>
      </c>
      <c r="D4873" t="str">
        <f>HYPERLINK("http://service.sap.com/sap/support/notes/1675322","1675322")</f>
        <v>1675322</v>
      </c>
      <c r="E4873">
        <v>2</v>
      </c>
      <c r="F4873" t="s">
        <v>6360</v>
      </c>
    </row>
    <row r="4874" spans="1:6" x14ac:dyDescent="0.25">
      <c r="A4874" t="s">
        <v>6077</v>
      </c>
      <c r="B4874" t="s">
        <v>363</v>
      </c>
      <c r="C4874" t="s">
        <v>364</v>
      </c>
      <c r="D4874" t="str">
        <f>HYPERLINK("http://service.sap.com/sap/support/notes/1677645","1677645")</f>
        <v>1677645</v>
      </c>
      <c r="E4874">
        <v>2</v>
      </c>
      <c r="F4874" t="s">
        <v>6361</v>
      </c>
    </row>
    <row r="4875" spans="1:6" x14ac:dyDescent="0.25">
      <c r="A4875" t="s">
        <v>6077</v>
      </c>
      <c r="B4875" t="s">
        <v>363</v>
      </c>
      <c r="C4875" t="s">
        <v>364</v>
      </c>
      <c r="D4875" t="str">
        <f>HYPERLINK("http://service.sap.com/sap/support/notes/1678010","1678010")</f>
        <v>1678010</v>
      </c>
      <c r="E4875">
        <v>2</v>
      </c>
      <c r="F4875" t="s">
        <v>6362</v>
      </c>
    </row>
    <row r="4876" spans="1:6" x14ac:dyDescent="0.25">
      <c r="A4876" t="s">
        <v>6077</v>
      </c>
      <c r="B4876" t="s">
        <v>363</v>
      </c>
      <c r="C4876" t="s">
        <v>364</v>
      </c>
      <c r="D4876" t="str">
        <f>HYPERLINK("http://service.sap.com/sap/support/notes/1680218","1680218")</f>
        <v>1680218</v>
      </c>
      <c r="E4876">
        <v>1</v>
      </c>
      <c r="F4876" t="s">
        <v>6363</v>
      </c>
    </row>
    <row r="4877" spans="1:6" x14ac:dyDescent="0.25">
      <c r="A4877" t="s">
        <v>6077</v>
      </c>
      <c r="B4877" t="s">
        <v>363</v>
      </c>
      <c r="C4877" t="s">
        <v>364</v>
      </c>
      <c r="D4877" t="str">
        <f>HYPERLINK("http://service.sap.com/sap/support/notes/1683474","1683474")</f>
        <v>1683474</v>
      </c>
      <c r="E4877">
        <v>2</v>
      </c>
      <c r="F4877" t="s">
        <v>6364</v>
      </c>
    </row>
    <row r="4878" spans="1:6" x14ac:dyDescent="0.25">
      <c r="A4878" t="s">
        <v>6077</v>
      </c>
      <c r="B4878" t="s">
        <v>363</v>
      </c>
      <c r="C4878" t="s">
        <v>364</v>
      </c>
      <c r="D4878" t="str">
        <f>HYPERLINK("http://service.sap.com/sap/support/notes/1685916","1685916")</f>
        <v>1685916</v>
      </c>
      <c r="E4878">
        <v>2</v>
      </c>
      <c r="F4878" t="s">
        <v>6365</v>
      </c>
    </row>
    <row r="4879" spans="1:6" x14ac:dyDescent="0.25">
      <c r="A4879" t="s">
        <v>6077</v>
      </c>
      <c r="B4879" t="s">
        <v>363</v>
      </c>
      <c r="C4879" t="s">
        <v>364</v>
      </c>
      <c r="D4879" t="str">
        <f>HYPERLINK("http://service.sap.com/sap/support/notes/1697274","1697274")</f>
        <v>1697274</v>
      </c>
      <c r="E4879">
        <v>1</v>
      </c>
      <c r="F4879" t="s">
        <v>6366</v>
      </c>
    </row>
    <row r="4880" spans="1:6" x14ac:dyDescent="0.25">
      <c r="A4880" t="s">
        <v>6077</v>
      </c>
      <c r="B4880" t="s">
        <v>374</v>
      </c>
      <c r="C4880" t="s">
        <v>375</v>
      </c>
      <c r="D4880" t="str">
        <f>HYPERLINK("http://service.sap.com/sap/support/notes/1666716","1666716")</f>
        <v>1666716</v>
      </c>
      <c r="E4880">
        <v>1</v>
      </c>
      <c r="F4880" t="s">
        <v>6367</v>
      </c>
    </row>
    <row r="4881" spans="1:6" x14ac:dyDescent="0.25">
      <c r="A4881" t="s">
        <v>6077</v>
      </c>
      <c r="B4881" t="s">
        <v>374</v>
      </c>
      <c r="C4881" t="s">
        <v>375</v>
      </c>
      <c r="D4881" t="str">
        <f>HYPERLINK("http://service.sap.com/sap/support/notes/1668781","1668781")</f>
        <v>1668781</v>
      </c>
      <c r="E4881">
        <v>4</v>
      </c>
      <c r="F4881" t="s">
        <v>6368</v>
      </c>
    </row>
    <row r="4882" spans="1:6" x14ac:dyDescent="0.25">
      <c r="A4882" t="s">
        <v>6077</v>
      </c>
      <c r="B4882" t="s">
        <v>374</v>
      </c>
      <c r="C4882" t="s">
        <v>375</v>
      </c>
      <c r="D4882" t="str">
        <f>HYPERLINK("http://service.sap.com/sap/support/notes/1672782","1672782")</f>
        <v>1672782</v>
      </c>
      <c r="E4882">
        <v>3</v>
      </c>
      <c r="F4882" t="s">
        <v>6369</v>
      </c>
    </row>
    <row r="4883" spans="1:6" x14ac:dyDescent="0.25">
      <c r="A4883" t="s">
        <v>6077</v>
      </c>
      <c r="B4883" t="s">
        <v>374</v>
      </c>
      <c r="C4883" t="s">
        <v>375</v>
      </c>
      <c r="D4883" t="str">
        <f>HYPERLINK("http://service.sap.com/sap/support/notes/1674295","1674295")</f>
        <v>1674295</v>
      </c>
      <c r="E4883">
        <v>4</v>
      </c>
      <c r="F4883" t="s">
        <v>6370</v>
      </c>
    </row>
    <row r="4884" spans="1:6" x14ac:dyDescent="0.25">
      <c r="A4884" t="s">
        <v>6077</v>
      </c>
      <c r="B4884" t="s">
        <v>374</v>
      </c>
      <c r="C4884" t="s">
        <v>375</v>
      </c>
      <c r="D4884" t="str">
        <f>HYPERLINK("http://service.sap.com/sap/support/notes/1675839","1675839")</f>
        <v>1675839</v>
      </c>
      <c r="E4884">
        <v>1</v>
      </c>
      <c r="F4884" t="s">
        <v>6371</v>
      </c>
    </row>
    <row r="4885" spans="1:6" x14ac:dyDescent="0.25">
      <c r="A4885" t="s">
        <v>6077</v>
      </c>
      <c r="B4885" t="s">
        <v>374</v>
      </c>
      <c r="C4885" t="s">
        <v>375</v>
      </c>
      <c r="D4885" t="str">
        <f>HYPERLINK("http://service.sap.com/sap/support/notes/1676815","1676815")</f>
        <v>1676815</v>
      </c>
      <c r="E4885">
        <v>1</v>
      </c>
      <c r="F4885" t="s">
        <v>6372</v>
      </c>
    </row>
    <row r="4886" spans="1:6" x14ac:dyDescent="0.25">
      <c r="A4886" t="s">
        <v>6077</v>
      </c>
      <c r="B4886" t="s">
        <v>374</v>
      </c>
      <c r="C4886" t="s">
        <v>375</v>
      </c>
      <c r="D4886" t="str">
        <f>HYPERLINK("http://service.sap.com/sap/support/notes/1677219","1677219")</f>
        <v>1677219</v>
      </c>
      <c r="E4886">
        <v>1</v>
      </c>
      <c r="F4886" t="s">
        <v>6373</v>
      </c>
    </row>
    <row r="4887" spans="1:6" x14ac:dyDescent="0.25">
      <c r="A4887" t="s">
        <v>6077</v>
      </c>
      <c r="B4887" t="s">
        <v>374</v>
      </c>
      <c r="C4887" t="s">
        <v>375</v>
      </c>
      <c r="D4887" t="str">
        <f>HYPERLINK("http://service.sap.com/sap/support/notes/1679569","1679569")</f>
        <v>1679569</v>
      </c>
      <c r="E4887">
        <v>1</v>
      </c>
      <c r="F4887" t="s">
        <v>6374</v>
      </c>
    </row>
    <row r="4888" spans="1:6" x14ac:dyDescent="0.25">
      <c r="A4888" t="s">
        <v>6077</v>
      </c>
      <c r="B4888" t="s">
        <v>374</v>
      </c>
      <c r="C4888" t="s">
        <v>375</v>
      </c>
      <c r="D4888" t="str">
        <f>HYPERLINK("http://service.sap.com/sap/support/notes/1680676","1680676")</f>
        <v>1680676</v>
      </c>
      <c r="E4888">
        <v>1</v>
      </c>
      <c r="F4888" t="s">
        <v>6375</v>
      </c>
    </row>
    <row r="4889" spans="1:6" x14ac:dyDescent="0.25">
      <c r="A4889" t="s">
        <v>6077</v>
      </c>
      <c r="B4889" t="s">
        <v>374</v>
      </c>
      <c r="C4889" t="s">
        <v>375</v>
      </c>
      <c r="D4889" t="str">
        <f>HYPERLINK("http://service.sap.com/sap/support/notes/1686023","1686023")</f>
        <v>1686023</v>
      </c>
      <c r="E4889">
        <v>1</v>
      </c>
      <c r="F4889" t="s">
        <v>6376</v>
      </c>
    </row>
    <row r="4890" spans="1:6" x14ac:dyDescent="0.25">
      <c r="A4890" t="s">
        <v>6077</v>
      </c>
      <c r="B4890" t="s">
        <v>374</v>
      </c>
      <c r="C4890" t="s">
        <v>375</v>
      </c>
      <c r="D4890" t="str">
        <f>HYPERLINK("http://service.sap.com/sap/support/notes/1687343","1687343")</f>
        <v>1687343</v>
      </c>
      <c r="E4890">
        <v>1</v>
      </c>
      <c r="F4890" t="s">
        <v>6377</v>
      </c>
    </row>
    <row r="4891" spans="1:6" x14ac:dyDescent="0.25">
      <c r="A4891" t="s">
        <v>6077</v>
      </c>
      <c r="B4891" t="s">
        <v>374</v>
      </c>
      <c r="C4891" t="s">
        <v>375</v>
      </c>
      <c r="D4891" t="str">
        <f>HYPERLINK("http://service.sap.com/sap/support/notes/1688594","1688594")</f>
        <v>1688594</v>
      </c>
      <c r="E4891">
        <v>1</v>
      </c>
      <c r="F4891" t="s">
        <v>6378</v>
      </c>
    </row>
    <row r="4892" spans="1:6" x14ac:dyDescent="0.25">
      <c r="A4892" t="s">
        <v>6077</v>
      </c>
      <c r="B4892" t="s">
        <v>374</v>
      </c>
      <c r="C4892" t="s">
        <v>375</v>
      </c>
      <c r="D4892" t="str">
        <f>HYPERLINK("http://service.sap.com/sap/support/notes/1693536","1693536")</f>
        <v>1693536</v>
      </c>
      <c r="E4892">
        <v>1</v>
      </c>
      <c r="F4892" t="s">
        <v>6379</v>
      </c>
    </row>
    <row r="4893" spans="1:6" x14ac:dyDescent="0.25">
      <c r="A4893" t="s">
        <v>6077</v>
      </c>
      <c r="B4893" t="s">
        <v>374</v>
      </c>
      <c r="C4893" t="s">
        <v>375</v>
      </c>
      <c r="D4893" t="str">
        <f>HYPERLINK("http://service.sap.com/sap/support/notes/1696108","1696108")</f>
        <v>1696108</v>
      </c>
      <c r="E4893">
        <v>1</v>
      </c>
      <c r="F4893" t="s">
        <v>6380</v>
      </c>
    </row>
    <row r="4894" spans="1:6" x14ac:dyDescent="0.25">
      <c r="A4894" t="s">
        <v>6077</v>
      </c>
      <c r="B4894" t="s">
        <v>388</v>
      </c>
      <c r="C4894" t="s">
        <v>389</v>
      </c>
      <c r="D4894" t="str">
        <f>HYPERLINK("http://service.sap.com/sap/support/notes/1236371","1236371")</f>
        <v>1236371</v>
      </c>
      <c r="E4894">
        <v>6</v>
      </c>
      <c r="F4894" t="s">
        <v>6381</v>
      </c>
    </row>
    <row r="4895" spans="1:6" x14ac:dyDescent="0.25">
      <c r="A4895" t="s">
        <v>6077</v>
      </c>
      <c r="B4895" t="s">
        <v>2442</v>
      </c>
      <c r="C4895" t="s">
        <v>505</v>
      </c>
      <c r="D4895" t="str">
        <f>HYPERLINK("http://service.sap.com/sap/support/notes/1636232","1636232")</f>
        <v>1636232</v>
      </c>
      <c r="E4895">
        <v>4</v>
      </c>
      <c r="F4895" t="s">
        <v>6382</v>
      </c>
    </row>
    <row r="4896" spans="1:6" x14ac:dyDescent="0.25">
      <c r="A4896" t="s">
        <v>6077</v>
      </c>
      <c r="B4896" t="s">
        <v>2442</v>
      </c>
      <c r="C4896" t="s">
        <v>505</v>
      </c>
      <c r="D4896" t="str">
        <f>HYPERLINK("http://service.sap.com/sap/support/notes/1682329","1682329")</f>
        <v>1682329</v>
      </c>
      <c r="E4896">
        <v>2</v>
      </c>
      <c r="F4896" t="s">
        <v>6383</v>
      </c>
    </row>
    <row r="4897" spans="1:6" x14ac:dyDescent="0.25">
      <c r="A4897" t="s">
        <v>6077</v>
      </c>
      <c r="B4897" t="s">
        <v>2451</v>
      </c>
      <c r="C4897" t="s">
        <v>2452</v>
      </c>
      <c r="D4897" t="str">
        <f>HYPERLINK("http://service.sap.com/sap/support/notes/1686156","1686156")</f>
        <v>1686156</v>
      </c>
      <c r="E4897">
        <v>2</v>
      </c>
      <c r="F4897" t="s">
        <v>6384</v>
      </c>
    </row>
    <row r="4898" spans="1:6" x14ac:dyDescent="0.25">
      <c r="A4898" t="s">
        <v>6077</v>
      </c>
      <c r="B4898" t="s">
        <v>2451</v>
      </c>
      <c r="C4898" t="s">
        <v>2452</v>
      </c>
      <c r="D4898" t="str">
        <f>HYPERLINK("http://service.sap.com/sap/support/notes/1689252","1689252")</f>
        <v>1689252</v>
      </c>
      <c r="E4898">
        <v>1</v>
      </c>
      <c r="F4898" t="s">
        <v>6385</v>
      </c>
    </row>
    <row r="4899" spans="1:6" x14ac:dyDescent="0.25">
      <c r="A4899" t="s">
        <v>6077</v>
      </c>
      <c r="B4899" t="s">
        <v>393</v>
      </c>
      <c r="C4899" t="s">
        <v>394</v>
      </c>
      <c r="D4899" t="str">
        <f>HYPERLINK("http://service.sap.com/sap/support/notes/1676658","1676658")</f>
        <v>1676658</v>
      </c>
      <c r="E4899">
        <v>1</v>
      </c>
      <c r="F4899" t="s">
        <v>6386</v>
      </c>
    </row>
    <row r="4900" spans="1:6" x14ac:dyDescent="0.25">
      <c r="A4900" t="s">
        <v>6077</v>
      </c>
      <c r="B4900" t="s">
        <v>393</v>
      </c>
      <c r="C4900" t="s">
        <v>394</v>
      </c>
      <c r="D4900" t="str">
        <f>HYPERLINK("http://service.sap.com/sap/support/notes/1683028","1683028")</f>
        <v>1683028</v>
      </c>
      <c r="E4900">
        <v>2</v>
      </c>
      <c r="F4900" t="s">
        <v>6387</v>
      </c>
    </row>
    <row r="4901" spans="1:6" x14ac:dyDescent="0.25">
      <c r="A4901" t="s">
        <v>6077</v>
      </c>
      <c r="B4901" t="s">
        <v>393</v>
      </c>
      <c r="C4901" t="s">
        <v>394</v>
      </c>
      <c r="D4901" t="str">
        <f>HYPERLINK("http://service.sap.com/sap/support/notes/1684623","1684623")</f>
        <v>1684623</v>
      </c>
      <c r="E4901">
        <v>1</v>
      </c>
      <c r="F4901" t="s">
        <v>6388</v>
      </c>
    </row>
    <row r="4902" spans="1:6" x14ac:dyDescent="0.25">
      <c r="A4902" t="s">
        <v>6077</v>
      </c>
      <c r="B4902" t="s">
        <v>393</v>
      </c>
      <c r="C4902" t="s">
        <v>394</v>
      </c>
      <c r="D4902" t="str">
        <f>HYPERLINK("http://service.sap.com/sap/support/notes/1688588","1688588")</f>
        <v>1688588</v>
      </c>
      <c r="E4902">
        <v>1</v>
      </c>
      <c r="F4902" t="s">
        <v>6389</v>
      </c>
    </row>
    <row r="4903" spans="1:6" x14ac:dyDescent="0.25">
      <c r="A4903" t="s">
        <v>6077</v>
      </c>
      <c r="B4903" t="s">
        <v>393</v>
      </c>
      <c r="C4903" t="s">
        <v>394</v>
      </c>
      <c r="D4903" t="str">
        <f>HYPERLINK("http://service.sap.com/sap/support/notes/1690032","1690032")</f>
        <v>1690032</v>
      </c>
      <c r="E4903">
        <v>3</v>
      </c>
      <c r="F4903" t="s">
        <v>6390</v>
      </c>
    </row>
    <row r="4904" spans="1:6" x14ac:dyDescent="0.25">
      <c r="A4904" t="s">
        <v>6077</v>
      </c>
      <c r="B4904" t="s">
        <v>399</v>
      </c>
      <c r="C4904" t="s">
        <v>14</v>
      </c>
      <c r="D4904" t="str">
        <f>HYPERLINK("http://service.sap.com/sap/support/notes/1659398","1659398")</f>
        <v>1659398</v>
      </c>
      <c r="E4904">
        <v>2</v>
      </c>
      <c r="F4904" t="s">
        <v>6391</v>
      </c>
    </row>
    <row r="4905" spans="1:6" x14ac:dyDescent="0.25">
      <c r="A4905" t="s">
        <v>6077</v>
      </c>
      <c r="B4905" t="s">
        <v>399</v>
      </c>
      <c r="C4905" t="s">
        <v>14</v>
      </c>
      <c r="D4905" t="str">
        <f>HYPERLINK("http://service.sap.com/sap/support/notes/1661620","1661620")</f>
        <v>1661620</v>
      </c>
      <c r="E4905">
        <v>1</v>
      </c>
      <c r="F4905" t="s">
        <v>6392</v>
      </c>
    </row>
    <row r="4906" spans="1:6" x14ac:dyDescent="0.25">
      <c r="A4906" t="s">
        <v>6077</v>
      </c>
      <c r="B4906" t="s">
        <v>399</v>
      </c>
      <c r="C4906" t="s">
        <v>14</v>
      </c>
      <c r="D4906" t="str">
        <f>HYPERLINK("http://service.sap.com/sap/support/notes/1677813","1677813")</f>
        <v>1677813</v>
      </c>
      <c r="E4906">
        <v>2</v>
      </c>
      <c r="F4906" t="s">
        <v>6393</v>
      </c>
    </row>
    <row r="4907" spans="1:6" x14ac:dyDescent="0.25">
      <c r="A4907" t="s">
        <v>6077</v>
      </c>
      <c r="B4907" t="s">
        <v>399</v>
      </c>
      <c r="C4907" t="s">
        <v>14</v>
      </c>
      <c r="D4907" t="str">
        <f>HYPERLINK("http://service.sap.com/sap/support/notes/1681219","1681219")</f>
        <v>1681219</v>
      </c>
      <c r="E4907">
        <v>3</v>
      </c>
      <c r="F4907" t="s">
        <v>6394</v>
      </c>
    </row>
    <row r="4908" spans="1:6" x14ac:dyDescent="0.25">
      <c r="A4908" t="s">
        <v>6077</v>
      </c>
      <c r="B4908" t="s">
        <v>399</v>
      </c>
      <c r="C4908" t="s">
        <v>14</v>
      </c>
      <c r="D4908" t="str">
        <f>HYPERLINK("http://service.sap.com/sap/support/notes/1689519","1689519")</f>
        <v>1689519</v>
      </c>
      <c r="E4908">
        <v>1</v>
      </c>
      <c r="F4908" t="s">
        <v>6395</v>
      </c>
    </row>
    <row r="4909" spans="1:6" x14ac:dyDescent="0.25">
      <c r="A4909" t="s">
        <v>6077</v>
      </c>
      <c r="B4909" t="s">
        <v>2474</v>
      </c>
      <c r="C4909" t="s">
        <v>2475</v>
      </c>
      <c r="D4909" t="str">
        <f>HYPERLINK("http://service.sap.com/sap/support/notes/1619940","1619940")</f>
        <v>1619940</v>
      </c>
      <c r="E4909">
        <v>7</v>
      </c>
      <c r="F4909" t="s">
        <v>6396</v>
      </c>
    </row>
    <row r="4910" spans="1:6" x14ac:dyDescent="0.25">
      <c r="A4910" t="s">
        <v>6077</v>
      </c>
      <c r="B4910" t="s">
        <v>2474</v>
      </c>
      <c r="C4910" t="s">
        <v>2475</v>
      </c>
      <c r="D4910" t="str">
        <f>HYPERLINK("http://service.sap.com/sap/support/notes/1662355","1662355")</f>
        <v>1662355</v>
      </c>
      <c r="E4910">
        <v>1</v>
      </c>
      <c r="F4910" t="s">
        <v>6397</v>
      </c>
    </row>
    <row r="4911" spans="1:6" x14ac:dyDescent="0.25">
      <c r="A4911" t="s">
        <v>6077</v>
      </c>
      <c r="B4911" t="s">
        <v>2474</v>
      </c>
      <c r="C4911" t="s">
        <v>2475</v>
      </c>
      <c r="D4911" t="str">
        <f>HYPERLINK("http://service.sap.com/sap/support/notes/1664215","1664215")</f>
        <v>1664215</v>
      </c>
      <c r="E4911">
        <v>4</v>
      </c>
      <c r="F4911" t="s">
        <v>6398</v>
      </c>
    </row>
    <row r="4912" spans="1:6" x14ac:dyDescent="0.25">
      <c r="A4912" t="s">
        <v>6077</v>
      </c>
      <c r="B4912" t="s">
        <v>2474</v>
      </c>
      <c r="C4912" t="s">
        <v>2475</v>
      </c>
      <c r="D4912" t="str">
        <f>HYPERLINK("http://service.sap.com/sap/support/notes/1672764","1672764")</f>
        <v>1672764</v>
      </c>
      <c r="E4912">
        <v>4</v>
      </c>
      <c r="F4912" t="s">
        <v>6399</v>
      </c>
    </row>
    <row r="4913" spans="1:6" x14ac:dyDescent="0.25">
      <c r="A4913" t="s">
        <v>6077</v>
      </c>
      <c r="B4913" t="s">
        <v>2474</v>
      </c>
      <c r="C4913" t="s">
        <v>2475</v>
      </c>
      <c r="D4913" t="str">
        <f>HYPERLINK("http://service.sap.com/sap/support/notes/1689320","1689320")</f>
        <v>1689320</v>
      </c>
      <c r="E4913">
        <v>2</v>
      </c>
      <c r="F4913" t="s">
        <v>6400</v>
      </c>
    </row>
    <row r="4914" spans="1:6" x14ac:dyDescent="0.25">
      <c r="A4914" t="s">
        <v>6077</v>
      </c>
      <c r="B4914" t="s">
        <v>403</v>
      </c>
      <c r="C4914" t="s">
        <v>404</v>
      </c>
      <c r="D4914" t="str">
        <f>HYPERLINK("http://service.sap.com/sap/support/notes/1148628","1148628")</f>
        <v>1148628</v>
      </c>
      <c r="E4914">
        <v>1</v>
      </c>
      <c r="F4914" t="s">
        <v>6401</v>
      </c>
    </row>
    <row r="4915" spans="1:6" x14ac:dyDescent="0.25">
      <c r="A4915" t="s">
        <v>6077</v>
      </c>
      <c r="B4915" t="s">
        <v>403</v>
      </c>
      <c r="C4915" t="s">
        <v>404</v>
      </c>
      <c r="D4915" t="str">
        <f>HYPERLINK("http://service.sap.com/sap/support/notes/1238507","1238507")</f>
        <v>1238507</v>
      </c>
      <c r="E4915">
        <v>1</v>
      </c>
      <c r="F4915" t="s">
        <v>6402</v>
      </c>
    </row>
    <row r="4916" spans="1:6" x14ac:dyDescent="0.25">
      <c r="A4916" t="s">
        <v>6077</v>
      </c>
      <c r="B4916" t="s">
        <v>403</v>
      </c>
      <c r="C4916" t="s">
        <v>404</v>
      </c>
      <c r="D4916" t="str">
        <f>HYPERLINK("http://service.sap.com/sap/support/notes/1652930","1652930")</f>
        <v>1652930</v>
      </c>
      <c r="E4916">
        <v>2</v>
      </c>
      <c r="F4916" t="s">
        <v>6403</v>
      </c>
    </row>
    <row r="4917" spans="1:6" x14ac:dyDescent="0.25">
      <c r="A4917" t="s">
        <v>6077</v>
      </c>
      <c r="B4917" t="s">
        <v>403</v>
      </c>
      <c r="C4917" t="s">
        <v>404</v>
      </c>
      <c r="D4917" t="str">
        <f>HYPERLINK("http://service.sap.com/sap/support/notes/1659235","1659235")</f>
        <v>1659235</v>
      </c>
      <c r="E4917">
        <v>2</v>
      </c>
      <c r="F4917" t="s">
        <v>6404</v>
      </c>
    </row>
    <row r="4918" spans="1:6" x14ac:dyDescent="0.25">
      <c r="A4918" t="s">
        <v>6077</v>
      </c>
      <c r="B4918" t="s">
        <v>403</v>
      </c>
      <c r="C4918" t="s">
        <v>404</v>
      </c>
      <c r="D4918" t="str">
        <f>HYPERLINK("http://service.sap.com/sap/support/notes/1664767","1664767")</f>
        <v>1664767</v>
      </c>
      <c r="E4918">
        <v>3</v>
      </c>
      <c r="F4918" t="s">
        <v>6405</v>
      </c>
    </row>
    <row r="4919" spans="1:6" x14ac:dyDescent="0.25">
      <c r="A4919" t="s">
        <v>6077</v>
      </c>
      <c r="B4919" t="s">
        <v>403</v>
      </c>
      <c r="C4919" t="s">
        <v>404</v>
      </c>
      <c r="D4919" t="str">
        <f>HYPERLINK("http://service.sap.com/sap/support/notes/1665010","1665010")</f>
        <v>1665010</v>
      </c>
      <c r="E4919">
        <v>2</v>
      </c>
      <c r="F4919" t="s">
        <v>6406</v>
      </c>
    </row>
    <row r="4920" spans="1:6" x14ac:dyDescent="0.25">
      <c r="A4920" t="s">
        <v>6077</v>
      </c>
      <c r="B4920" t="s">
        <v>403</v>
      </c>
      <c r="C4920" t="s">
        <v>404</v>
      </c>
      <c r="D4920" t="str">
        <f>HYPERLINK("http://service.sap.com/sap/support/notes/1667733","1667733")</f>
        <v>1667733</v>
      </c>
      <c r="E4920">
        <v>6</v>
      </c>
      <c r="F4920" t="s">
        <v>6407</v>
      </c>
    </row>
    <row r="4921" spans="1:6" x14ac:dyDescent="0.25">
      <c r="A4921" t="s">
        <v>6077</v>
      </c>
      <c r="B4921" t="s">
        <v>403</v>
      </c>
      <c r="C4921" t="s">
        <v>404</v>
      </c>
      <c r="D4921" t="str">
        <f>HYPERLINK("http://service.sap.com/sap/support/notes/1670602","1670602")</f>
        <v>1670602</v>
      </c>
      <c r="E4921">
        <v>1</v>
      </c>
      <c r="F4921" t="s">
        <v>6408</v>
      </c>
    </row>
    <row r="4922" spans="1:6" x14ac:dyDescent="0.25">
      <c r="A4922" t="s">
        <v>6077</v>
      </c>
      <c r="B4922" t="s">
        <v>403</v>
      </c>
      <c r="C4922" t="s">
        <v>404</v>
      </c>
      <c r="D4922" t="str">
        <f>HYPERLINK("http://service.sap.com/sap/support/notes/1679682","1679682")</f>
        <v>1679682</v>
      </c>
      <c r="E4922">
        <v>1</v>
      </c>
      <c r="F4922" t="s">
        <v>6409</v>
      </c>
    </row>
    <row r="4923" spans="1:6" x14ac:dyDescent="0.25">
      <c r="A4923" t="s">
        <v>6077</v>
      </c>
      <c r="B4923" t="s">
        <v>403</v>
      </c>
      <c r="C4923" t="s">
        <v>404</v>
      </c>
      <c r="D4923" t="str">
        <f>HYPERLINK("http://service.sap.com/sap/support/notes/1680114","1680114")</f>
        <v>1680114</v>
      </c>
      <c r="E4923">
        <v>3</v>
      </c>
      <c r="F4923" t="s">
        <v>6410</v>
      </c>
    </row>
    <row r="4924" spans="1:6" x14ac:dyDescent="0.25">
      <c r="A4924" t="s">
        <v>6077</v>
      </c>
      <c r="B4924" t="s">
        <v>403</v>
      </c>
      <c r="C4924" t="s">
        <v>404</v>
      </c>
      <c r="D4924" t="str">
        <f>HYPERLINK("http://service.sap.com/sap/support/notes/1680582","1680582")</f>
        <v>1680582</v>
      </c>
      <c r="E4924">
        <v>1</v>
      </c>
      <c r="F4924" t="s">
        <v>6411</v>
      </c>
    </row>
    <row r="4925" spans="1:6" x14ac:dyDescent="0.25">
      <c r="A4925" t="s">
        <v>6077</v>
      </c>
      <c r="B4925" t="s">
        <v>403</v>
      </c>
      <c r="C4925" t="s">
        <v>404</v>
      </c>
      <c r="D4925" t="str">
        <f>HYPERLINK("http://service.sap.com/sap/support/notes/1683811","1683811")</f>
        <v>1683811</v>
      </c>
      <c r="E4925">
        <v>4</v>
      </c>
      <c r="F4925" t="s">
        <v>6412</v>
      </c>
    </row>
    <row r="4926" spans="1:6" x14ac:dyDescent="0.25">
      <c r="A4926" t="s">
        <v>6077</v>
      </c>
      <c r="B4926" t="s">
        <v>403</v>
      </c>
      <c r="C4926" t="s">
        <v>404</v>
      </c>
      <c r="D4926" t="str">
        <f>HYPERLINK("http://service.sap.com/sap/support/notes/1686208","1686208")</f>
        <v>1686208</v>
      </c>
      <c r="E4926">
        <v>4</v>
      </c>
      <c r="F4926" t="s">
        <v>6413</v>
      </c>
    </row>
    <row r="4927" spans="1:6" x14ac:dyDescent="0.25">
      <c r="A4927" t="s">
        <v>6077</v>
      </c>
      <c r="B4927" t="s">
        <v>408</v>
      </c>
      <c r="C4927" t="s">
        <v>409</v>
      </c>
      <c r="D4927" t="str">
        <f>HYPERLINK("http://service.sap.com/sap/support/notes/1675276","1675276")</f>
        <v>1675276</v>
      </c>
      <c r="E4927">
        <v>1</v>
      </c>
      <c r="F4927" t="s">
        <v>6414</v>
      </c>
    </row>
    <row r="4928" spans="1:6" x14ac:dyDescent="0.25">
      <c r="A4928" t="s">
        <v>6077</v>
      </c>
      <c r="B4928" t="s">
        <v>408</v>
      </c>
      <c r="C4928" t="s">
        <v>409</v>
      </c>
      <c r="D4928" t="str">
        <f>HYPERLINK("http://service.sap.com/sap/support/notes/1676053","1676053")</f>
        <v>1676053</v>
      </c>
      <c r="E4928">
        <v>1</v>
      </c>
      <c r="F4928" t="s">
        <v>6415</v>
      </c>
    </row>
    <row r="4929" spans="1:6" x14ac:dyDescent="0.25">
      <c r="A4929" t="s">
        <v>6077</v>
      </c>
      <c r="B4929" t="s">
        <v>408</v>
      </c>
      <c r="C4929" t="s">
        <v>409</v>
      </c>
      <c r="D4929" t="str">
        <f>HYPERLINK("http://service.sap.com/sap/support/notes/1676498","1676498")</f>
        <v>1676498</v>
      </c>
      <c r="E4929">
        <v>1</v>
      </c>
      <c r="F4929" t="s">
        <v>6416</v>
      </c>
    </row>
    <row r="4930" spans="1:6" x14ac:dyDescent="0.25">
      <c r="A4930" t="s">
        <v>6077</v>
      </c>
      <c r="B4930" t="s">
        <v>408</v>
      </c>
      <c r="C4930" t="s">
        <v>409</v>
      </c>
      <c r="D4930" t="str">
        <f>HYPERLINK("http://service.sap.com/sap/support/notes/1677826","1677826")</f>
        <v>1677826</v>
      </c>
      <c r="E4930">
        <v>1</v>
      </c>
      <c r="F4930" t="s">
        <v>6417</v>
      </c>
    </row>
    <row r="4931" spans="1:6" x14ac:dyDescent="0.25">
      <c r="A4931" t="s">
        <v>6077</v>
      </c>
      <c r="B4931" t="s">
        <v>408</v>
      </c>
      <c r="C4931" t="s">
        <v>409</v>
      </c>
      <c r="D4931" t="str">
        <f>HYPERLINK("http://service.sap.com/sap/support/notes/1685600","1685600")</f>
        <v>1685600</v>
      </c>
      <c r="E4931">
        <v>2</v>
      </c>
      <c r="F4931" t="s">
        <v>6418</v>
      </c>
    </row>
    <row r="4932" spans="1:6" x14ac:dyDescent="0.25">
      <c r="A4932" t="s">
        <v>6077</v>
      </c>
      <c r="B4932" t="s">
        <v>411</v>
      </c>
      <c r="C4932" t="s">
        <v>412</v>
      </c>
    </row>
    <row r="4933" spans="1:6" x14ac:dyDescent="0.25">
      <c r="A4933" t="s">
        <v>6077</v>
      </c>
      <c r="B4933" t="s">
        <v>413</v>
      </c>
      <c r="C4933" t="s">
        <v>337</v>
      </c>
    </row>
    <row r="4934" spans="1:6" x14ac:dyDescent="0.25">
      <c r="A4934" t="s">
        <v>6077</v>
      </c>
      <c r="B4934" t="s">
        <v>414</v>
      </c>
      <c r="C4934" t="s">
        <v>359</v>
      </c>
      <c r="D4934" t="str">
        <f>HYPERLINK("http://service.sap.com/sap/support/notes/1177598","1177598")</f>
        <v>1177598</v>
      </c>
      <c r="E4934">
        <v>5</v>
      </c>
      <c r="F4934" t="s">
        <v>6419</v>
      </c>
    </row>
    <row r="4935" spans="1:6" x14ac:dyDescent="0.25">
      <c r="A4935" t="s">
        <v>6077</v>
      </c>
      <c r="B4935" t="s">
        <v>414</v>
      </c>
      <c r="C4935" t="s">
        <v>359</v>
      </c>
      <c r="D4935" t="str">
        <f>HYPERLINK("http://service.sap.com/sap/support/notes/1675488","1675488")</f>
        <v>1675488</v>
      </c>
      <c r="E4935">
        <v>2</v>
      </c>
      <c r="F4935" t="s">
        <v>6420</v>
      </c>
    </row>
    <row r="4936" spans="1:6" x14ac:dyDescent="0.25">
      <c r="A4936" t="s">
        <v>6077</v>
      </c>
      <c r="B4936" t="s">
        <v>414</v>
      </c>
      <c r="C4936" t="s">
        <v>359</v>
      </c>
      <c r="D4936" t="str">
        <f>HYPERLINK("http://service.sap.com/sap/support/notes/1688248","1688248")</f>
        <v>1688248</v>
      </c>
      <c r="E4936">
        <v>1</v>
      </c>
      <c r="F4936" t="s">
        <v>6421</v>
      </c>
    </row>
    <row r="4937" spans="1:6" x14ac:dyDescent="0.25">
      <c r="A4937" t="s">
        <v>6077</v>
      </c>
      <c r="B4937" t="s">
        <v>414</v>
      </c>
      <c r="C4937" t="s">
        <v>359</v>
      </c>
      <c r="D4937" t="str">
        <f>HYPERLINK("http://service.sap.com/sap/support/notes/1689051","1689051")</f>
        <v>1689051</v>
      </c>
      <c r="E4937">
        <v>1</v>
      </c>
      <c r="F4937" t="s">
        <v>6422</v>
      </c>
    </row>
    <row r="4938" spans="1:6" x14ac:dyDescent="0.25">
      <c r="A4938" t="s">
        <v>6077</v>
      </c>
      <c r="B4938" t="s">
        <v>414</v>
      </c>
      <c r="C4938" t="s">
        <v>359</v>
      </c>
      <c r="D4938" t="str">
        <f>HYPERLINK("http://service.sap.com/sap/support/notes/1692410","1692410")</f>
        <v>1692410</v>
      </c>
      <c r="E4938">
        <v>1</v>
      </c>
      <c r="F4938" t="s">
        <v>6423</v>
      </c>
    </row>
    <row r="4939" spans="1:6" x14ac:dyDescent="0.25">
      <c r="A4939" t="s">
        <v>6077</v>
      </c>
      <c r="B4939" t="s">
        <v>416</v>
      </c>
      <c r="C4939" t="s">
        <v>417</v>
      </c>
      <c r="D4939" t="str">
        <f>HYPERLINK("http://service.sap.com/sap/support/notes/1646191","1646191")</f>
        <v>1646191</v>
      </c>
      <c r="E4939">
        <v>2</v>
      </c>
      <c r="F4939" t="s">
        <v>6424</v>
      </c>
    </row>
    <row r="4940" spans="1:6" x14ac:dyDescent="0.25">
      <c r="A4940" t="s">
        <v>6077</v>
      </c>
      <c r="B4940" t="s">
        <v>416</v>
      </c>
      <c r="C4940" t="s">
        <v>417</v>
      </c>
      <c r="D4940" t="str">
        <f>HYPERLINK("http://service.sap.com/sap/support/notes/1666766","1666766")</f>
        <v>1666766</v>
      </c>
      <c r="E4940">
        <v>1</v>
      </c>
      <c r="F4940" t="s">
        <v>6425</v>
      </c>
    </row>
    <row r="4941" spans="1:6" x14ac:dyDescent="0.25">
      <c r="A4941" t="s">
        <v>6077</v>
      </c>
      <c r="B4941" t="s">
        <v>416</v>
      </c>
      <c r="C4941" t="s">
        <v>417</v>
      </c>
      <c r="D4941" t="str">
        <f>HYPERLINK("http://service.sap.com/sap/support/notes/1670228","1670228")</f>
        <v>1670228</v>
      </c>
      <c r="E4941">
        <v>2</v>
      </c>
      <c r="F4941" t="s">
        <v>6426</v>
      </c>
    </row>
    <row r="4942" spans="1:6" x14ac:dyDescent="0.25">
      <c r="A4942" t="s">
        <v>6077</v>
      </c>
      <c r="B4942" t="s">
        <v>416</v>
      </c>
      <c r="C4942" t="s">
        <v>417</v>
      </c>
      <c r="D4942" t="str">
        <f>HYPERLINK("http://service.sap.com/sap/support/notes/1673669","1673669")</f>
        <v>1673669</v>
      </c>
      <c r="E4942">
        <v>2</v>
      </c>
      <c r="F4942" t="s">
        <v>6427</v>
      </c>
    </row>
    <row r="4943" spans="1:6" x14ac:dyDescent="0.25">
      <c r="A4943" t="s">
        <v>6077</v>
      </c>
      <c r="B4943" t="s">
        <v>416</v>
      </c>
      <c r="C4943" t="s">
        <v>417</v>
      </c>
      <c r="D4943" t="str">
        <f>HYPERLINK("http://service.sap.com/sap/support/notes/1678140","1678140")</f>
        <v>1678140</v>
      </c>
      <c r="E4943">
        <v>2</v>
      </c>
      <c r="F4943" t="s">
        <v>6428</v>
      </c>
    </row>
    <row r="4944" spans="1:6" x14ac:dyDescent="0.25">
      <c r="A4944" t="s">
        <v>6077</v>
      </c>
      <c r="B4944" t="s">
        <v>416</v>
      </c>
      <c r="C4944" t="s">
        <v>417</v>
      </c>
      <c r="D4944" t="str">
        <f>HYPERLINK("http://service.sap.com/sap/support/notes/1692382","1692382")</f>
        <v>1692382</v>
      </c>
      <c r="E4944">
        <v>1</v>
      </c>
      <c r="F4944" t="s">
        <v>6429</v>
      </c>
    </row>
    <row r="4945" spans="1:6" x14ac:dyDescent="0.25">
      <c r="A4945" t="s">
        <v>6077</v>
      </c>
      <c r="B4945" t="s">
        <v>2533</v>
      </c>
      <c r="C4945" t="s">
        <v>389</v>
      </c>
      <c r="D4945" t="str">
        <f>HYPERLINK("http://service.sap.com/sap/support/notes/1672993","1672993")</f>
        <v>1672993</v>
      </c>
      <c r="E4945">
        <v>1</v>
      </c>
      <c r="F4945" t="s">
        <v>6430</v>
      </c>
    </row>
    <row r="4946" spans="1:6" x14ac:dyDescent="0.25">
      <c r="A4946" t="s">
        <v>6077</v>
      </c>
      <c r="B4946" t="s">
        <v>2533</v>
      </c>
      <c r="C4946" t="s">
        <v>389</v>
      </c>
      <c r="D4946" t="str">
        <f>HYPERLINK("http://service.sap.com/sap/support/notes/1676890","1676890")</f>
        <v>1676890</v>
      </c>
      <c r="E4946">
        <v>2</v>
      </c>
      <c r="F4946" t="s">
        <v>6431</v>
      </c>
    </row>
    <row r="4947" spans="1:6" x14ac:dyDescent="0.25">
      <c r="A4947" t="s">
        <v>6077</v>
      </c>
      <c r="B4947" t="s">
        <v>2533</v>
      </c>
      <c r="C4947" t="s">
        <v>389</v>
      </c>
      <c r="D4947" t="str">
        <f>HYPERLINK("http://service.sap.com/sap/support/notes/1679300","1679300")</f>
        <v>1679300</v>
      </c>
      <c r="E4947">
        <v>1</v>
      </c>
      <c r="F4947" t="s">
        <v>6432</v>
      </c>
    </row>
    <row r="4948" spans="1:6" x14ac:dyDescent="0.25">
      <c r="A4948" t="s">
        <v>6077</v>
      </c>
      <c r="B4948" t="s">
        <v>2533</v>
      </c>
      <c r="C4948" t="s">
        <v>389</v>
      </c>
      <c r="D4948" t="str">
        <f>HYPERLINK("http://service.sap.com/sap/support/notes/1685606","1685606")</f>
        <v>1685606</v>
      </c>
      <c r="E4948">
        <v>1</v>
      </c>
      <c r="F4948" t="s">
        <v>6433</v>
      </c>
    </row>
    <row r="4949" spans="1:6" x14ac:dyDescent="0.25">
      <c r="A4949" t="s">
        <v>6077</v>
      </c>
      <c r="B4949" t="s">
        <v>2533</v>
      </c>
      <c r="C4949" t="s">
        <v>389</v>
      </c>
      <c r="D4949" t="str">
        <f>HYPERLINK("http://service.sap.com/sap/support/notes/1686182","1686182")</f>
        <v>1686182</v>
      </c>
      <c r="E4949">
        <v>1</v>
      </c>
      <c r="F4949" t="s">
        <v>6434</v>
      </c>
    </row>
    <row r="4950" spans="1:6" x14ac:dyDescent="0.25">
      <c r="A4950" t="s">
        <v>6077</v>
      </c>
      <c r="B4950" t="s">
        <v>2533</v>
      </c>
      <c r="C4950" t="s">
        <v>389</v>
      </c>
      <c r="D4950" t="str">
        <f>HYPERLINK("http://service.sap.com/sap/support/notes/1689441","1689441")</f>
        <v>1689441</v>
      </c>
      <c r="E4950">
        <v>1</v>
      </c>
      <c r="F4950" t="s">
        <v>6435</v>
      </c>
    </row>
    <row r="4951" spans="1:6" x14ac:dyDescent="0.25">
      <c r="A4951" t="s">
        <v>6077</v>
      </c>
      <c r="B4951" t="s">
        <v>424</v>
      </c>
      <c r="C4951" t="s">
        <v>425</v>
      </c>
      <c r="D4951" t="str">
        <f>HYPERLINK("http://service.sap.com/sap/support/notes/1678263","1678263")</f>
        <v>1678263</v>
      </c>
      <c r="E4951">
        <v>3</v>
      </c>
      <c r="F4951" t="s">
        <v>6436</v>
      </c>
    </row>
    <row r="4952" spans="1:6" x14ac:dyDescent="0.25">
      <c r="A4952" t="s">
        <v>6077</v>
      </c>
      <c r="B4952" t="s">
        <v>424</v>
      </c>
      <c r="C4952" t="s">
        <v>425</v>
      </c>
      <c r="D4952" t="str">
        <f>HYPERLINK("http://service.sap.com/sap/support/notes/1678960","1678960")</f>
        <v>1678960</v>
      </c>
      <c r="E4952">
        <v>3</v>
      </c>
      <c r="F4952" t="s">
        <v>6437</v>
      </c>
    </row>
    <row r="4953" spans="1:6" x14ac:dyDescent="0.25">
      <c r="A4953" t="s">
        <v>6077</v>
      </c>
      <c r="B4953" t="s">
        <v>428</v>
      </c>
      <c r="C4953" t="s">
        <v>394</v>
      </c>
      <c r="D4953" t="str">
        <f>HYPERLINK("http://service.sap.com/sap/support/notes/1670486","1670486")</f>
        <v>1670486</v>
      </c>
      <c r="E4953">
        <v>3</v>
      </c>
      <c r="F4953" t="s">
        <v>6438</v>
      </c>
    </row>
    <row r="4954" spans="1:6" x14ac:dyDescent="0.25">
      <c r="A4954" t="s">
        <v>6077</v>
      </c>
      <c r="B4954" t="s">
        <v>428</v>
      </c>
      <c r="C4954" t="s">
        <v>394</v>
      </c>
      <c r="D4954" t="str">
        <f>HYPERLINK("http://service.sap.com/sap/support/notes/1687528","1687528")</f>
        <v>1687528</v>
      </c>
      <c r="E4954">
        <v>2</v>
      </c>
      <c r="F4954" t="s">
        <v>6439</v>
      </c>
    </row>
    <row r="4955" spans="1:6" x14ac:dyDescent="0.25">
      <c r="A4955" t="s">
        <v>6077</v>
      </c>
      <c r="B4955" t="s">
        <v>2550</v>
      </c>
      <c r="C4955" t="s">
        <v>14</v>
      </c>
      <c r="D4955" t="str">
        <f>HYPERLINK("http://service.sap.com/sap/support/notes/1649681","1649681")</f>
        <v>1649681</v>
      </c>
      <c r="E4955">
        <v>1</v>
      </c>
      <c r="F4955" t="s">
        <v>6440</v>
      </c>
    </row>
    <row r="4956" spans="1:6" x14ac:dyDescent="0.25">
      <c r="A4956" t="s">
        <v>6077</v>
      </c>
      <c r="B4956" t="s">
        <v>2550</v>
      </c>
      <c r="C4956" t="s">
        <v>14</v>
      </c>
      <c r="D4956" t="str">
        <f>HYPERLINK("http://service.sap.com/sap/support/notes/1683979","1683979")</f>
        <v>1683979</v>
      </c>
      <c r="E4956">
        <v>2</v>
      </c>
      <c r="F4956" t="s">
        <v>6441</v>
      </c>
    </row>
    <row r="4957" spans="1:6" x14ac:dyDescent="0.25">
      <c r="A4957" t="s">
        <v>6077</v>
      </c>
      <c r="B4957" t="s">
        <v>431</v>
      </c>
      <c r="C4957" t="s">
        <v>432</v>
      </c>
    </row>
    <row r="4958" spans="1:6" x14ac:dyDescent="0.25">
      <c r="A4958" t="s">
        <v>6077</v>
      </c>
      <c r="B4958" t="s">
        <v>6442</v>
      </c>
      <c r="C4958" t="s">
        <v>14</v>
      </c>
      <c r="D4958" t="str">
        <f>HYPERLINK("http://service.sap.com/sap/support/notes/1690148","1690148")</f>
        <v>1690148</v>
      </c>
      <c r="E4958">
        <v>3</v>
      </c>
      <c r="F4958" t="s">
        <v>6443</v>
      </c>
    </row>
    <row r="4959" spans="1:6" x14ac:dyDescent="0.25">
      <c r="A4959" t="s">
        <v>6077</v>
      </c>
      <c r="B4959" t="s">
        <v>433</v>
      </c>
      <c r="C4959" t="s">
        <v>434</v>
      </c>
    </row>
    <row r="4960" spans="1:6" x14ac:dyDescent="0.25">
      <c r="A4960" t="s">
        <v>6077</v>
      </c>
      <c r="B4960" t="s">
        <v>2565</v>
      </c>
      <c r="C4960" t="s">
        <v>2566</v>
      </c>
      <c r="D4960" t="str">
        <f>HYPERLINK("http://service.sap.com/sap/support/notes/1677918","1677918")</f>
        <v>1677918</v>
      </c>
      <c r="E4960">
        <v>2</v>
      </c>
      <c r="F4960" t="s">
        <v>6444</v>
      </c>
    </row>
    <row r="4961" spans="1:6" x14ac:dyDescent="0.25">
      <c r="A4961" t="s">
        <v>6077</v>
      </c>
      <c r="B4961" t="s">
        <v>435</v>
      </c>
      <c r="C4961" t="s">
        <v>436</v>
      </c>
      <c r="D4961" t="str">
        <f>HYPERLINK("http://service.sap.com/sap/support/notes/1674774","1674774")</f>
        <v>1674774</v>
      </c>
      <c r="E4961">
        <v>1</v>
      </c>
      <c r="F4961" t="s">
        <v>6445</v>
      </c>
    </row>
    <row r="4962" spans="1:6" x14ac:dyDescent="0.25">
      <c r="A4962" t="s">
        <v>6077</v>
      </c>
      <c r="B4962" t="s">
        <v>435</v>
      </c>
      <c r="C4962" t="s">
        <v>436</v>
      </c>
      <c r="D4962" t="str">
        <f>HYPERLINK("http://service.sap.com/sap/support/notes/1675388","1675388")</f>
        <v>1675388</v>
      </c>
      <c r="E4962">
        <v>1</v>
      </c>
      <c r="F4962" t="s">
        <v>6446</v>
      </c>
    </row>
    <row r="4963" spans="1:6" x14ac:dyDescent="0.25">
      <c r="A4963" t="s">
        <v>6077</v>
      </c>
      <c r="B4963" t="s">
        <v>435</v>
      </c>
      <c r="C4963" t="s">
        <v>436</v>
      </c>
      <c r="D4963" t="str">
        <f>HYPERLINK("http://service.sap.com/sap/support/notes/1676231","1676231")</f>
        <v>1676231</v>
      </c>
      <c r="E4963">
        <v>2</v>
      </c>
      <c r="F4963" t="s">
        <v>6447</v>
      </c>
    </row>
    <row r="4964" spans="1:6" x14ac:dyDescent="0.25">
      <c r="A4964" t="s">
        <v>6077</v>
      </c>
      <c r="B4964" t="s">
        <v>435</v>
      </c>
      <c r="C4964" t="s">
        <v>436</v>
      </c>
      <c r="D4964" t="str">
        <f>HYPERLINK("http://service.sap.com/sap/support/notes/1676745","1676745")</f>
        <v>1676745</v>
      </c>
      <c r="E4964">
        <v>2</v>
      </c>
      <c r="F4964" t="s">
        <v>6448</v>
      </c>
    </row>
    <row r="4965" spans="1:6" x14ac:dyDescent="0.25">
      <c r="A4965" t="s">
        <v>6077</v>
      </c>
      <c r="B4965" t="s">
        <v>435</v>
      </c>
      <c r="C4965" t="s">
        <v>436</v>
      </c>
      <c r="D4965" t="str">
        <f>HYPERLINK("http://service.sap.com/sap/support/notes/1679883","1679883")</f>
        <v>1679883</v>
      </c>
      <c r="E4965">
        <v>2</v>
      </c>
      <c r="F4965" t="s">
        <v>6449</v>
      </c>
    </row>
    <row r="4966" spans="1:6" x14ac:dyDescent="0.25">
      <c r="A4966" t="s">
        <v>6077</v>
      </c>
      <c r="B4966" t="s">
        <v>435</v>
      </c>
      <c r="C4966" t="s">
        <v>436</v>
      </c>
      <c r="D4966" t="str">
        <f>HYPERLINK("http://service.sap.com/sap/support/notes/1682848","1682848")</f>
        <v>1682848</v>
      </c>
      <c r="E4966">
        <v>2</v>
      </c>
      <c r="F4966" t="s">
        <v>6450</v>
      </c>
    </row>
    <row r="4967" spans="1:6" x14ac:dyDescent="0.25">
      <c r="A4967" t="s">
        <v>6077</v>
      </c>
      <c r="B4967" t="s">
        <v>435</v>
      </c>
      <c r="C4967" t="s">
        <v>436</v>
      </c>
      <c r="D4967" t="str">
        <f>HYPERLINK("http://service.sap.com/sap/support/notes/1686118","1686118")</f>
        <v>1686118</v>
      </c>
      <c r="E4967">
        <v>4</v>
      </c>
      <c r="F4967" t="s">
        <v>6451</v>
      </c>
    </row>
    <row r="4968" spans="1:6" x14ac:dyDescent="0.25">
      <c r="A4968" t="s">
        <v>6077</v>
      </c>
      <c r="B4968" t="s">
        <v>435</v>
      </c>
      <c r="C4968" t="s">
        <v>436</v>
      </c>
      <c r="D4968" t="str">
        <f>HYPERLINK("http://service.sap.com/sap/support/notes/1686695","1686695")</f>
        <v>1686695</v>
      </c>
      <c r="E4968">
        <v>1</v>
      </c>
      <c r="F4968" t="s">
        <v>6452</v>
      </c>
    </row>
    <row r="4969" spans="1:6" x14ac:dyDescent="0.25">
      <c r="A4969" t="s">
        <v>6077</v>
      </c>
      <c r="B4969" t="s">
        <v>435</v>
      </c>
      <c r="C4969" t="s">
        <v>436</v>
      </c>
      <c r="D4969" t="str">
        <f>HYPERLINK("http://service.sap.com/sap/support/notes/1687734","1687734")</f>
        <v>1687734</v>
      </c>
      <c r="E4969">
        <v>2</v>
      </c>
      <c r="F4969" t="s">
        <v>6453</v>
      </c>
    </row>
    <row r="4970" spans="1:6" x14ac:dyDescent="0.25">
      <c r="A4970" t="s">
        <v>6077</v>
      </c>
      <c r="B4970" t="s">
        <v>435</v>
      </c>
      <c r="C4970" t="s">
        <v>436</v>
      </c>
      <c r="D4970" t="str">
        <f>HYPERLINK("http://service.sap.com/sap/support/notes/1690669","1690669")</f>
        <v>1690669</v>
      </c>
      <c r="E4970">
        <v>1</v>
      </c>
      <c r="F4970" t="s">
        <v>6454</v>
      </c>
    </row>
    <row r="4971" spans="1:6" x14ac:dyDescent="0.25">
      <c r="A4971" t="s">
        <v>6077</v>
      </c>
      <c r="B4971" t="s">
        <v>435</v>
      </c>
      <c r="C4971" t="s">
        <v>436</v>
      </c>
      <c r="D4971" t="str">
        <f>HYPERLINK("http://service.sap.com/sap/support/notes/1695086","1695086")</f>
        <v>1695086</v>
      </c>
      <c r="E4971">
        <v>2</v>
      </c>
      <c r="F4971" t="s">
        <v>6455</v>
      </c>
    </row>
    <row r="4972" spans="1:6" x14ac:dyDescent="0.25">
      <c r="A4972" t="s">
        <v>6077</v>
      </c>
      <c r="B4972" t="s">
        <v>441</v>
      </c>
      <c r="C4972" t="s">
        <v>442</v>
      </c>
      <c r="D4972" t="str">
        <f>HYPERLINK("http://service.sap.com/sap/support/notes/1565265","1565265")</f>
        <v>1565265</v>
      </c>
      <c r="E4972">
        <v>5</v>
      </c>
      <c r="F4972" t="s">
        <v>6456</v>
      </c>
    </row>
    <row r="4973" spans="1:6" x14ac:dyDescent="0.25">
      <c r="A4973" t="s">
        <v>6077</v>
      </c>
      <c r="B4973" t="s">
        <v>441</v>
      </c>
      <c r="C4973" t="s">
        <v>442</v>
      </c>
      <c r="D4973" t="str">
        <f>HYPERLINK("http://service.sap.com/sap/support/notes/1677415","1677415")</f>
        <v>1677415</v>
      </c>
      <c r="E4973">
        <v>1</v>
      </c>
      <c r="F4973" t="s">
        <v>6457</v>
      </c>
    </row>
    <row r="4974" spans="1:6" x14ac:dyDescent="0.25">
      <c r="A4974" t="s">
        <v>6077</v>
      </c>
      <c r="B4974" t="s">
        <v>445</v>
      </c>
      <c r="C4974" t="s">
        <v>446</v>
      </c>
      <c r="D4974" t="str">
        <f>HYPERLINK("http://service.sap.com/sap/support/notes/1579341","1579341")</f>
        <v>1579341</v>
      </c>
      <c r="E4974">
        <v>2</v>
      </c>
      <c r="F4974" t="s">
        <v>6458</v>
      </c>
    </row>
    <row r="4975" spans="1:6" x14ac:dyDescent="0.25">
      <c r="A4975" t="s">
        <v>6077</v>
      </c>
      <c r="B4975" t="s">
        <v>445</v>
      </c>
      <c r="C4975" t="s">
        <v>446</v>
      </c>
      <c r="D4975" t="str">
        <f>HYPERLINK("http://service.sap.com/sap/support/notes/1596263","1596263")</f>
        <v>1596263</v>
      </c>
      <c r="E4975">
        <v>3</v>
      </c>
      <c r="F4975" t="s">
        <v>6459</v>
      </c>
    </row>
    <row r="4976" spans="1:6" x14ac:dyDescent="0.25">
      <c r="A4976" t="s">
        <v>6077</v>
      </c>
      <c r="B4976" t="s">
        <v>445</v>
      </c>
      <c r="C4976" t="s">
        <v>446</v>
      </c>
      <c r="D4976" t="str">
        <f>HYPERLINK("http://service.sap.com/sap/support/notes/1613028","1613028")</f>
        <v>1613028</v>
      </c>
      <c r="E4976">
        <v>2</v>
      </c>
      <c r="F4976" t="s">
        <v>6460</v>
      </c>
    </row>
    <row r="4977" spans="1:6" x14ac:dyDescent="0.25">
      <c r="A4977" t="s">
        <v>6077</v>
      </c>
      <c r="B4977" t="s">
        <v>445</v>
      </c>
      <c r="C4977" t="s">
        <v>446</v>
      </c>
      <c r="D4977" t="str">
        <f>HYPERLINK("http://service.sap.com/sap/support/notes/1665847","1665847")</f>
        <v>1665847</v>
      </c>
      <c r="E4977">
        <v>1</v>
      </c>
      <c r="F4977" t="s">
        <v>6461</v>
      </c>
    </row>
    <row r="4978" spans="1:6" x14ac:dyDescent="0.25">
      <c r="A4978" t="s">
        <v>6077</v>
      </c>
      <c r="B4978" t="s">
        <v>445</v>
      </c>
      <c r="C4978" t="s">
        <v>446</v>
      </c>
      <c r="D4978" t="str">
        <f>HYPERLINK("http://service.sap.com/sap/support/notes/1672929","1672929")</f>
        <v>1672929</v>
      </c>
      <c r="E4978">
        <v>2</v>
      </c>
      <c r="F4978" t="s">
        <v>6462</v>
      </c>
    </row>
    <row r="4979" spans="1:6" x14ac:dyDescent="0.25">
      <c r="A4979" t="s">
        <v>6077</v>
      </c>
      <c r="B4979" t="s">
        <v>445</v>
      </c>
      <c r="C4979" t="s">
        <v>446</v>
      </c>
      <c r="D4979" t="str">
        <f>HYPERLINK("http://service.sap.com/sap/support/notes/1683025","1683025")</f>
        <v>1683025</v>
      </c>
      <c r="E4979">
        <v>1</v>
      </c>
      <c r="F4979" t="s">
        <v>6463</v>
      </c>
    </row>
    <row r="4980" spans="1:6" x14ac:dyDescent="0.25">
      <c r="A4980" t="s">
        <v>6077</v>
      </c>
      <c r="B4980" t="s">
        <v>445</v>
      </c>
      <c r="C4980" t="s">
        <v>446</v>
      </c>
      <c r="D4980" t="str">
        <f>HYPERLINK("http://service.sap.com/sap/support/notes/1690175","1690175")</f>
        <v>1690175</v>
      </c>
      <c r="E4980">
        <v>1</v>
      </c>
      <c r="F4980" t="s">
        <v>6464</v>
      </c>
    </row>
    <row r="4981" spans="1:6" x14ac:dyDescent="0.25">
      <c r="A4981" t="s">
        <v>6077</v>
      </c>
      <c r="B4981" t="s">
        <v>445</v>
      </c>
      <c r="C4981" t="s">
        <v>446</v>
      </c>
      <c r="D4981" t="str">
        <f>HYPERLINK("http://service.sap.com/sap/support/notes/1691335","1691335")</f>
        <v>1691335</v>
      </c>
      <c r="E4981">
        <v>4</v>
      </c>
      <c r="F4981" t="s">
        <v>6465</v>
      </c>
    </row>
    <row r="4982" spans="1:6" x14ac:dyDescent="0.25">
      <c r="A4982" t="s">
        <v>6077</v>
      </c>
      <c r="B4982" t="s">
        <v>2616</v>
      </c>
      <c r="C4982" t="s">
        <v>2617</v>
      </c>
      <c r="D4982" t="str">
        <f>HYPERLINK("http://service.sap.com/sap/support/notes/1672532","1672532")</f>
        <v>1672532</v>
      </c>
      <c r="E4982">
        <v>2</v>
      </c>
      <c r="F4982" t="s">
        <v>6466</v>
      </c>
    </row>
    <row r="4983" spans="1:6" x14ac:dyDescent="0.25">
      <c r="A4983" t="s">
        <v>6077</v>
      </c>
      <c r="B4983" t="s">
        <v>451</v>
      </c>
      <c r="C4983" t="s">
        <v>2619</v>
      </c>
      <c r="D4983" t="str">
        <f>HYPERLINK("http://service.sap.com/sap/support/notes/1532895","1532895")</f>
        <v>1532895</v>
      </c>
      <c r="E4983">
        <v>1</v>
      </c>
      <c r="F4983" t="s">
        <v>6467</v>
      </c>
    </row>
    <row r="4984" spans="1:6" x14ac:dyDescent="0.25">
      <c r="A4984" t="s">
        <v>6077</v>
      </c>
      <c r="B4984" t="s">
        <v>451</v>
      </c>
      <c r="C4984" t="s">
        <v>2619</v>
      </c>
      <c r="D4984" t="str">
        <f>HYPERLINK("http://service.sap.com/sap/support/notes/1620213","1620213")</f>
        <v>1620213</v>
      </c>
      <c r="E4984">
        <v>5</v>
      </c>
      <c r="F4984" t="s">
        <v>2625</v>
      </c>
    </row>
    <row r="4985" spans="1:6" x14ac:dyDescent="0.25">
      <c r="A4985" t="s">
        <v>6077</v>
      </c>
      <c r="B4985" t="s">
        <v>451</v>
      </c>
      <c r="C4985" t="s">
        <v>2619</v>
      </c>
      <c r="D4985" t="str">
        <f>HYPERLINK("http://service.sap.com/sap/support/notes/1649083","1649083")</f>
        <v>1649083</v>
      </c>
      <c r="E4985">
        <v>1</v>
      </c>
      <c r="F4985" t="s">
        <v>6468</v>
      </c>
    </row>
    <row r="4986" spans="1:6" x14ac:dyDescent="0.25">
      <c r="A4986" t="s">
        <v>6077</v>
      </c>
      <c r="B4986" t="s">
        <v>451</v>
      </c>
      <c r="C4986" t="s">
        <v>2619</v>
      </c>
      <c r="D4986" t="str">
        <f>HYPERLINK("http://service.sap.com/sap/support/notes/1677874","1677874")</f>
        <v>1677874</v>
      </c>
      <c r="E4986">
        <v>1</v>
      </c>
      <c r="F4986" t="s">
        <v>6469</v>
      </c>
    </row>
    <row r="4987" spans="1:6" x14ac:dyDescent="0.25">
      <c r="A4987" t="s">
        <v>6077</v>
      </c>
      <c r="B4987" t="s">
        <v>451</v>
      </c>
      <c r="C4987" t="s">
        <v>2619</v>
      </c>
      <c r="D4987" t="str">
        <f>HYPERLINK("http://service.sap.com/sap/support/notes/1682094","1682094")</f>
        <v>1682094</v>
      </c>
      <c r="E4987">
        <v>9</v>
      </c>
      <c r="F4987" t="s">
        <v>6470</v>
      </c>
    </row>
    <row r="4988" spans="1:6" x14ac:dyDescent="0.25">
      <c r="A4988" t="s">
        <v>6077</v>
      </c>
      <c r="B4988" t="s">
        <v>451</v>
      </c>
      <c r="C4988" t="s">
        <v>2619</v>
      </c>
      <c r="D4988" t="str">
        <f>HYPERLINK("http://service.sap.com/sap/support/notes/1694131","1694131")</f>
        <v>1694131</v>
      </c>
      <c r="E4988">
        <v>3</v>
      </c>
      <c r="F4988" t="s">
        <v>6471</v>
      </c>
    </row>
    <row r="4989" spans="1:6" x14ac:dyDescent="0.25">
      <c r="A4989" t="s">
        <v>6077</v>
      </c>
      <c r="B4989" t="s">
        <v>453</v>
      </c>
      <c r="C4989" t="s">
        <v>454</v>
      </c>
    </row>
    <row r="4990" spans="1:6" x14ac:dyDescent="0.25">
      <c r="A4990" t="s">
        <v>6077</v>
      </c>
      <c r="B4990" t="s">
        <v>455</v>
      </c>
      <c r="C4990" t="s">
        <v>456</v>
      </c>
      <c r="D4990" t="str">
        <f>HYPERLINK("http://service.sap.com/sap/support/notes/1663455","1663455")</f>
        <v>1663455</v>
      </c>
      <c r="E4990">
        <v>3</v>
      </c>
      <c r="F4990" t="s">
        <v>6472</v>
      </c>
    </row>
    <row r="4991" spans="1:6" x14ac:dyDescent="0.25">
      <c r="A4991" t="s">
        <v>6077</v>
      </c>
      <c r="B4991" t="s">
        <v>455</v>
      </c>
      <c r="C4991" t="s">
        <v>456</v>
      </c>
      <c r="D4991" t="str">
        <f>HYPERLINK("http://service.sap.com/sap/support/notes/1666986","1666986")</f>
        <v>1666986</v>
      </c>
      <c r="E4991">
        <v>2</v>
      </c>
      <c r="F4991" t="s">
        <v>6473</v>
      </c>
    </row>
    <row r="4992" spans="1:6" x14ac:dyDescent="0.25">
      <c r="A4992" t="s">
        <v>6077</v>
      </c>
      <c r="B4992" t="s">
        <v>455</v>
      </c>
      <c r="C4992" t="s">
        <v>456</v>
      </c>
      <c r="D4992" t="str">
        <f>HYPERLINK("http://service.sap.com/sap/support/notes/1667536","1667536")</f>
        <v>1667536</v>
      </c>
      <c r="E4992">
        <v>5</v>
      </c>
      <c r="F4992" t="s">
        <v>2646</v>
      </c>
    </row>
    <row r="4993" spans="1:6" x14ac:dyDescent="0.25">
      <c r="A4993" t="s">
        <v>6077</v>
      </c>
      <c r="B4993" t="s">
        <v>455</v>
      </c>
      <c r="C4993" t="s">
        <v>456</v>
      </c>
      <c r="D4993" t="str">
        <f>HYPERLINK("http://service.sap.com/sap/support/notes/1667629","1667629")</f>
        <v>1667629</v>
      </c>
      <c r="E4993">
        <v>4</v>
      </c>
      <c r="F4993" t="s">
        <v>6474</v>
      </c>
    </row>
    <row r="4994" spans="1:6" x14ac:dyDescent="0.25">
      <c r="A4994" t="s">
        <v>6077</v>
      </c>
      <c r="B4994" t="s">
        <v>455</v>
      </c>
      <c r="C4994" t="s">
        <v>456</v>
      </c>
      <c r="D4994" t="str">
        <f>HYPERLINK("http://service.sap.com/sap/support/notes/1670732","1670732")</f>
        <v>1670732</v>
      </c>
      <c r="E4994">
        <v>2</v>
      </c>
      <c r="F4994" t="s">
        <v>6475</v>
      </c>
    </row>
    <row r="4995" spans="1:6" x14ac:dyDescent="0.25">
      <c r="A4995" t="s">
        <v>6077</v>
      </c>
      <c r="B4995" t="s">
        <v>455</v>
      </c>
      <c r="C4995" t="s">
        <v>456</v>
      </c>
      <c r="D4995" t="str">
        <f>HYPERLINK("http://service.sap.com/sap/support/notes/1675467","1675467")</f>
        <v>1675467</v>
      </c>
      <c r="E4995">
        <v>1</v>
      </c>
      <c r="F4995" t="s">
        <v>6476</v>
      </c>
    </row>
    <row r="4996" spans="1:6" x14ac:dyDescent="0.25">
      <c r="A4996" t="s">
        <v>6077</v>
      </c>
      <c r="B4996" t="s">
        <v>455</v>
      </c>
      <c r="C4996" t="s">
        <v>456</v>
      </c>
      <c r="D4996" t="str">
        <f>HYPERLINK("http://service.sap.com/sap/support/notes/1675527","1675527")</f>
        <v>1675527</v>
      </c>
      <c r="E4996">
        <v>3</v>
      </c>
      <c r="F4996" t="s">
        <v>6477</v>
      </c>
    </row>
    <row r="4997" spans="1:6" x14ac:dyDescent="0.25">
      <c r="A4997" t="s">
        <v>6077</v>
      </c>
      <c r="B4997" t="s">
        <v>455</v>
      </c>
      <c r="C4997" t="s">
        <v>456</v>
      </c>
      <c r="D4997" t="str">
        <f>HYPERLINK("http://service.sap.com/sap/support/notes/1675909","1675909")</f>
        <v>1675909</v>
      </c>
      <c r="E4997">
        <v>1</v>
      </c>
      <c r="F4997" t="s">
        <v>6478</v>
      </c>
    </row>
    <row r="4998" spans="1:6" x14ac:dyDescent="0.25">
      <c r="A4998" t="s">
        <v>6077</v>
      </c>
      <c r="B4998" t="s">
        <v>455</v>
      </c>
      <c r="C4998" t="s">
        <v>456</v>
      </c>
      <c r="D4998" t="str">
        <f>HYPERLINK("http://service.sap.com/sap/support/notes/1683561","1683561")</f>
        <v>1683561</v>
      </c>
      <c r="E4998">
        <v>1</v>
      </c>
      <c r="F4998" t="s">
        <v>6479</v>
      </c>
    </row>
    <row r="4999" spans="1:6" x14ac:dyDescent="0.25">
      <c r="A4999" t="s">
        <v>6077</v>
      </c>
      <c r="B4999" t="s">
        <v>455</v>
      </c>
      <c r="C4999" t="s">
        <v>456</v>
      </c>
      <c r="D4999" t="str">
        <f>HYPERLINK("http://service.sap.com/sap/support/notes/1685148","1685148")</f>
        <v>1685148</v>
      </c>
      <c r="E4999">
        <v>1</v>
      </c>
      <c r="F4999" t="s">
        <v>6480</v>
      </c>
    </row>
    <row r="5000" spans="1:6" x14ac:dyDescent="0.25">
      <c r="A5000" t="s">
        <v>6077</v>
      </c>
      <c r="B5000" t="s">
        <v>455</v>
      </c>
      <c r="C5000" t="s">
        <v>456</v>
      </c>
      <c r="D5000" t="str">
        <f>HYPERLINK("http://service.sap.com/sap/support/notes/1694284","1694284")</f>
        <v>1694284</v>
      </c>
      <c r="E5000">
        <v>1</v>
      </c>
      <c r="F5000" t="s">
        <v>6481</v>
      </c>
    </row>
    <row r="5001" spans="1:6" x14ac:dyDescent="0.25">
      <c r="A5001" t="s">
        <v>6077</v>
      </c>
      <c r="B5001" t="s">
        <v>461</v>
      </c>
      <c r="C5001" t="s">
        <v>462</v>
      </c>
      <c r="D5001" t="str">
        <f>HYPERLINK("http://service.sap.com/sap/support/notes/855538","855538")</f>
        <v>855538</v>
      </c>
      <c r="E5001">
        <v>1</v>
      </c>
      <c r="F5001" t="s">
        <v>2648</v>
      </c>
    </row>
    <row r="5002" spans="1:6" x14ac:dyDescent="0.25">
      <c r="A5002" t="s">
        <v>6077</v>
      </c>
      <c r="B5002" t="s">
        <v>461</v>
      </c>
      <c r="C5002" t="s">
        <v>462</v>
      </c>
      <c r="D5002" t="str">
        <f>HYPERLINK("http://service.sap.com/sap/support/notes/1628626","1628626")</f>
        <v>1628626</v>
      </c>
      <c r="E5002">
        <v>2</v>
      </c>
      <c r="F5002" t="s">
        <v>6482</v>
      </c>
    </row>
    <row r="5003" spans="1:6" x14ac:dyDescent="0.25">
      <c r="A5003" t="s">
        <v>6077</v>
      </c>
      <c r="B5003" t="s">
        <v>461</v>
      </c>
      <c r="C5003" t="s">
        <v>462</v>
      </c>
      <c r="D5003" t="str">
        <f>HYPERLINK("http://service.sap.com/sap/support/notes/1635116","1635116")</f>
        <v>1635116</v>
      </c>
      <c r="E5003">
        <v>3</v>
      </c>
      <c r="F5003" t="s">
        <v>6483</v>
      </c>
    </row>
    <row r="5004" spans="1:6" x14ac:dyDescent="0.25">
      <c r="A5004" t="s">
        <v>6077</v>
      </c>
      <c r="B5004" t="s">
        <v>461</v>
      </c>
      <c r="C5004" t="s">
        <v>462</v>
      </c>
      <c r="D5004" t="str">
        <f>HYPERLINK("http://service.sap.com/sap/support/notes/1652065","1652065")</f>
        <v>1652065</v>
      </c>
      <c r="E5004">
        <v>1</v>
      </c>
      <c r="F5004" t="s">
        <v>6484</v>
      </c>
    </row>
    <row r="5005" spans="1:6" x14ac:dyDescent="0.25">
      <c r="A5005" t="s">
        <v>6077</v>
      </c>
      <c r="B5005" t="s">
        <v>461</v>
      </c>
      <c r="C5005" t="s">
        <v>462</v>
      </c>
      <c r="D5005" t="str">
        <f>HYPERLINK("http://service.sap.com/sap/support/notes/1652947","1652947")</f>
        <v>1652947</v>
      </c>
      <c r="E5005">
        <v>3</v>
      </c>
      <c r="F5005" t="s">
        <v>6485</v>
      </c>
    </row>
    <row r="5006" spans="1:6" x14ac:dyDescent="0.25">
      <c r="A5006" t="s">
        <v>6077</v>
      </c>
      <c r="B5006" t="s">
        <v>461</v>
      </c>
      <c r="C5006" t="s">
        <v>462</v>
      </c>
      <c r="D5006" t="str">
        <f>HYPERLINK("http://service.sap.com/sap/support/notes/1665402","1665402")</f>
        <v>1665402</v>
      </c>
      <c r="E5006">
        <v>1</v>
      </c>
      <c r="F5006" t="s">
        <v>6486</v>
      </c>
    </row>
    <row r="5007" spans="1:6" x14ac:dyDescent="0.25">
      <c r="A5007" t="s">
        <v>6077</v>
      </c>
      <c r="B5007" t="s">
        <v>461</v>
      </c>
      <c r="C5007" t="s">
        <v>462</v>
      </c>
      <c r="D5007" t="str">
        <f>HYPERLINK("http://service.sap.com/sap/support/notes/1670406","1670406")</f>
        <v>1670406</v>
      </c>
      <c r="E5007">
        <v>1</v>
      </c>
      <c r="F5007" t="s">
        <v>6487</v>
      </c>
    </row>
    <row r="5008" spans="1:6" x14ac:dyDescent="0.25">
      <c r="A5008" t="s">
        <v>6077</v>
      </c>
      <c r="B5008" t="s">
        <v>461</v>
      </c>
      <c r="C5008" t="s">
        <v>462</v>
      </c>
      <c r="D5008" t="str">
        <f>HYPERLINK("http://service.sap.com/sap/support/notes/1672716","1672716")</f>
        <v>1672716</v>
      </c>
      <c r="E5008">
        <v>2</v>
      </c>
      <c r="F5008" t="s">
        <v>6488</v>
      </c>
    </row>
    <row r="5009" spans="1:6" x14ac:dyDescent="0.25">
      <c r="A5009" t="s">
        <v>6077</v>
      </c>
      <c r="B5009" t="s">
        <v>461</v>
      </c>
      <c r="C5009" t="s">
        <v>462</v>
      </c>
      <c r="D5009" t="str">
        <f>HYPERLINK("http://service.sap.com/sap/support/notes/1674772","1674772")</f>
        <v>1674772</v>
      </c>
      <c r="E5009">
        <v>3</v>
      </c>
      <c r="F5009" t="s">
        <v>6489</v>
      </c>
    </row>
    <row r="5010" spans="1:6" x14ac:dyDescent="0.25">
      <c r="A5010" t="s">
        <v>6077</v>
      </c>
      <c r="B5010" t="s">
        <v>461</v>
      </c>
      <c r="C5010" t="s">
        <v>462</v>
      </c>
      <c r="D5010" t="str">
        <f>HYPERLINK("http://service.sap.com/sap/support/notes/1677366","1677366")</f>
        <v>1677366</v>
      </c>
      <c r="E5010">
        <v>2</v>
      </c>
      <c r="F5010" t="s">
        <v>6490</v>
      </c>
    </row>
    <row r="5011" spans="1:6" x14ac:dyDescent="0.25">
      <c r="A5011" t="s">
        <v>6077</v>
      </c>
      <c r="B5011" t="s">
        <v>461</v>
      </c>
      <c r="C5011" t="s">
        <v>462</v>
      </c>
      <c r="D5011" t="str">
        <f>HYPERLINK("http://service.sap.com/sap/support/notes/1677483","1677483")</f>
        <v>1677483</v>
      </c>
      <c r="E5011">
        <v>2</v>
      </c>
      <c r="F5011" t="s">
        <v>6491</v>
      </c>
    </row>
    <row r="5012" spans="1:6" x14ac:dyDescent="0.25">
      <c r="A5012" t="s">
        <v>6077</v>
      </c>
      <c r="B5012" t="s">
        <v>461</v>
      </c>
      <c r="C5012" t="s">
        <v>462</v>
      </c>
      <c r="D5012" t="str">
        <f>HYPERLINK("http://service.sap.com/sap/support/notes/1680008","1680008")</f>
        <v>1680008</v>
      </c>
      <c r="E5012">
        <v>2</v>
      </c>
      <c r="F5012" t="s">
        <v>6492</v>
      </c>
    </row>
    <row r="5013" spans="1:6" x14ac:dyDescent="0.25">
      <c r="A5013" t="s">
        <v>6077</v>
      </c>
      <c r="B5013" t="s">
        <v>461</v>
      </c>
      <c r="C5013" t="s">
        <v>462</v>
      </c>
      <c r="D5013" t="str">
        <f>HYPERLINK("http://service.sap.com/sap/support/notes/1680512","1680512")</f>
        <v>1680512</v>
      </c>
      <c r="E5013">
        <v>1</v>
      </c>
      <c r="F5013" t="s">
        <v>6493</v>
      </c>
    </row>
    <row r="5014" spans="1:6" x14ac:dyDescent="0.25">
      <c r="A5014" t="s">
        <v>6077</v>
      </c>
      <c r="B5014" t="s">
        <v>461</v>
      </c>
      <c r="C5014" t="s">
        <v>462</v>
      </c>
      <c r="D5014" t="str">
        <f>HYPERLINK("http://service.sap.com/sap/support/notes/1683982","1683982")</f>
        <v>1683982</v>
      </c>
      <c r="E5014">
        <v>2</v>
      </c>
      <c r="F5014" t="s">
        <v>6494</v>
      </c>
    </row>
    <row r="5015" spans="1:6" x14ac:dyDescent="0.25">
      <c r="A5015" t="s">
        <v>6077</v>
      </c>
      <c r="B5015" t="s">
        <v>461</v>
      </c>
      <c r="C5015" t="s">
        <v>462</v>
      </c>
      <c r="D5015" t="str">
        <f>HYPERLINK("http://service.sap.com/sap/support/notes/1688261","1688261")</f>
        <v>1688261</v>
      </c>
      <c r="E5015">
        <v>1</v>
      </c>
      <c r="F5015" t="s">
        <v>6495</v>
      </c>
    </row>
    <row r="5016" spans="1:6" x14ac:dyDescent="0.25">
      <c r="A5016" t="s">
        <v>6077</v>
      </c>
      <c r="B5016" t="s">
        <v>461</v>
      </c>
      <c r="C5016" t="s">
        <v>462</v>
      </c>
      <c r="D5016" t="str">
        <f>HYPERLINK("http://service.sap.com/sap/support/notes/1689452","1689452")</f>
        <v>1689452</v>
      </c>
      <c r="E5016">
        <v>1</v>
      </c>
      <c r="F5016" t="s">
        <v>6496</v>
      </c>
    </row>
    <row r="5017" spans="1:6" x14ac:dyDescent="0.25">
      <c r="A5017" t="s">
        <v>6077</v>
      </c>
      <c r="B5017" t="s">
        <v>461</v>
      </c>
      <c r="C5017" t="s">
        <v>462</v>
      </c>
      <c r="D5017" t="str">
        <f>HYPERLINK("http://service.sap.com/sap/support/notes/1692977","1692977")</f>
        <v>1692977</v>
      </c>
      <c r="E5017">
        <v>1</v>
      </c>
      <c r="F5017" t="s">
        <v>6497</v>
      </c>
    </row>
    <row r="5018" spans="1:6" x14ac:dyDescent="0.25">
      <c r="A5018" t="s">
        <v>6077</v>
      </c>
      <c r="B5018" t="s">
        <v>461</v>
      </c>
      <c r="C5018" t="s">
        <v>462</v>
      </c>
      <c r="D5018" t="str">
        <f>HYPERLINK("http://service.sap.com/sap/support/notes/1693481","1693481")</f>
        <v>1693481</v>
      </c>
      <c r="E5018">
        <v>1</v>
      </c>
      <c r="F5018" t="s">
        <v>6498</v>
      </c>
    </row>
    <row r="5019" spans="1:6" x14ac:dyDescent="0.25">
      <c r="A5019" t="s">
        <v>6077</v>
      </c>
      <c r="B5019" t="s">
        <v>466</v>
      </c>
      <c r="C5019" t="s">
        <v>337</v>
      </c>
    </row>
    <row r="5020" spans="1:6" x14ac:dyDescent="0.25">
      <c r="A5020" t="s">
        <v>6077</v>
      </c>
      <c r="B5020" t="s">
        <v>468</v>
      </c>
      <c r="C5020" t="s">
        <v>469</v>
      </c>
      <c r="D5020" t="str">
        <f>HYPERLINK("http://service.sap.com/sap/support/notes/1548583","1548583")</f>
        <v>1548583</v>
      </c>
      <c r="E5020">
        <v>1</v>
      </c>
      <c r="F5020" t="s">
        <v>6499</v>
      </c>
    </row>
    <row r="5021" spans="1:6" x14ac:dyDescent="0.25">
      <c r="A5021" t="s">
        <v>6077</v>
      </c>
      <c r="B5021" t="s">
        <v>468</v>
      </c>
      <c r="C5021" t="s">
        <v>469</v>
      </c>
      <c r="D5021" t="str">
        <f>HYPERLINK("http://service.sap.com/sap/support/notes/1672859","1672859")</f>
        <v>1672859</v>
      </c>
      <c r="E5021">
        <v>1</v>
      </c>
      <c r="F5021" t="s">
        <v>6500</v>
      </c>
    </row>
    <row r="5022" spans="1:6" x14ac:dyDescent="0.25">
      <c r="A5022" t="s">
        <v>6077</v>
      </c>
      <c r="B5022" t="s">
        <v>468</v>
      </c>
      <c r="C5022" t="s">
        <v>469</v>
      </c>
      <c r="D5022" t="str">
        <f>HYPERLINK("http://service.sap.com/sap/support/notes/1673394","1673394")</f>
        <v>1673394</v>
      </c>
      <c r="E5022">
        <v>1</v>
      </c>
      <c r="F5022" t="s">
        <v>6501</v>
      </c>
    </row>
    <row r="5023" spans="1:6" x14ac:dyDescent="0.25">
      <c r="A5023" t="s">
        <v>6077</v>
      </c>
      <c r="B5023" t="s">
        <v>468</v>
      </c>
      <c r="C5023" t="s">
        <v>469</v>
      </c>
      <c r="D5023" t="str">
        <f>HYPERLINK("http://service.sap.com/sap/support/notes/1673662","1673662")</f>
        <v>1673662</v>
      </c>
      <c r="E5023">
        <v>2</v>
      </c>
      <c r="F5023" t="s">
        <v>6502</v>
      </c>
    </row>
    <row r="5024" spans="1:6" x14ac:dyDescent="0.25">
      <c r="A5024" t="s">
        <v>6077</v>
      </c>
      <c r="B5024" t="s">
        <v>468</v>
      </c>
      <c r="C5024" t="s">
        <v>469</v>
      </c>
      <c r="D5024" t="str">
        <f>HYPERLINK("http://service.sap.com/sap/support/notes/1674008","1674008")</f>
        <v>1674008</v>
      </c>
      <c r="E5024">
        <v>1</v>
      </c>
      <c r="F5024" t="s">
        <v>6503</v>
      </c>
    </row>
    <row r="5025" spans="1:6" x14ac:dyDescent="0.25">
      <c r="A5025" t="s">
        <v>6077</v>
      </c>
      <c r="B5025" t="s">
        <v>468</v>
      </c>
      <c r="C5025" t="s">
        <v>469</v>
      </c>
      <c r="D5025" t="str">
        <f>HYPERLINK("http://service.sap.com/sap/support/notes/1675805","1675805")</f>
        <v>1675805</v>
      </c>
      <c r="E5025">
        <v>1</v>
      </c>
      <c r="F5025" t="s">
        <v>6504</v>
      </c>
    </row>
    <row r="5026" spans="1:6" x14ac:dyDescent="0.25">
      <c r="A5026" t="s">
        <v>6077</v>
      </c>
      <c r="B5026" t="s">
        <v>468</v>
      </c>
      <c r="C5026" t="s">
        <v>469</v>
      </c>
      <c r="D5026" t="str">
        <f>HYPERLINK("http://service.sap.com/sap/support/notes/1676998","1676998")</f>
        <v>1676998</v>
      </c>
      <c r="E5026">
        <v>2</v>
      </c>
      <c r="F5026" t="s">
        <v>6505</v>
      </c>
    </row>
    <row r="5027" spans="1:6" x14ac:dyDescent="0.25">
      <c r="A5027" t="s">
        <v>6077</v>
      </c>
      <c r="B5027" t="s">
        <v>468</v>
      </c>
      <c r="C5027" t="s">
        <v>469</v>
      </c>
      <c r="D5027" t="str">
        <f>HYPERLINK("http://service.sap.com/sap/support/notes/1678673","1678673")</f>
        <v>1678673</v>
      </c>
      <c r="E5027">
        <v>1</v>
      </c>
      <c r="F5027" t="s">
        <v>6506</v>
      </c>
    </row>
    <row r="5028" spans="1:6" x14ac:dyDescent="0.25">
      <c r="A5028" t="s">
        <v>6077</v>
      </c>
      <c r="B5028" t="s">
        <v>468</v>
      </c>
      <c r="C5028" t="s">
        <v>469</v>
      </c>
      <c r="D5028" t="str">
        <f>HYPERLINK("http://service.sap.com/sap/support/notes/1679862","1679862")</f>
        <v>1679862</v>
      </c>
      <c r="E5028">
        <v>1</v>
      </c>
      <c r="F5028" t="s">
        <v>6507</v>
      </c>
    </row>
    <row r="5029" spans="1:6" x14ac:dyDescent="0.25">
      <c r="A5029" t="s">
        <v>6077</v>
      </c>
      <c r="B5029" t="s">
        <v>468</v>
      </c>
      <c r="C5029" t="s">
        <v>469</v>
      </c>
      <c r="D5029" t="str">
        <f>HYPERLINK("http://service.sap.com/sap/support/notes/1680422","1680422")</f>
        <v>1680422</v>
      </c>
      <c r="E5029">
        <v>1</v>
      </c>
      <c r="F5029" t="s">
        <v>6508</v>
      </c>
    </row>
    <row r="5030" spans="1:6" x14ac:dyDescent="0.25">
      <c r="A5030" t="s">
        <v>6077</v>
      </c>
      <c r="B5030" t="s">
        <v>468</v>
      </c>
      <c r="C5030" t="s">
        <v>469</v>
      </c>
      <c r="D5030" t="str">
        <f>HYPERLINK("http://service.sap.com/sap/support/notes/1681924","1681924")</f>
        <v>1681924</v>
      </c>
      <c r="E5030">
        <v>1</v>
      </c>
      <c r="F5030" t="s">
        <v>6509</v>
      </c>
    </row>
    <row r="5031" spans="1:6" x14ac:dyDescent="0.25">
      <c r="A5031" t="s">
        <v>6077</v>
      </c>
      <c r="B5031" t="s">
        <v>468</v>
      </c>
      <c r="C5031" t="s">
        <v>469</v>
      </c>
      <c r="D5031" t="str">
        <f>HYPERLINK("http://service.sap.com/sap/support/notes/1683354","1683354")</f>
        <v>1683354</v>
      </c>
      <c r="E5031">
        <v>1</v>
      </c>
      <c r="F5031" t="s">
        <v>6510</v>
      </c>
    </row>
    <row r="5032" spans="1:6" x14ac:dyDescent="0.25">
      <c r="A5032" t="s">
        <v>6077</v>
      </c>
      <c r="B5032" t="s">
        <v>468</v>
      </c>
      <c r="C5032" t="s">
        <v>469</v>
      </c>
      <c r="D5032" t="str">
        <f>HYPERLINK("http://service.sap.com/sap/support/notes/1683807","1683807")</f>
        <v>1683807</v>
      </c>
      <c r="E5032">
        <v>1</v>
      </c>
      <c r="F5032" t="s">
        <v>6511</v>
      </c>
    </row>
    <row r="5033" spans="1:6" x14ac:dyDescent="0.25">
      <c r="A5033" t="s">
        <v>6077</v>
      </c>
      <c r="B5033" t="s">
        <v>468</v>
      </c>
      <c r="C5033" t="s">
        <v>469</v>
      </c>
      <c r="D5033" t="str">
        <f>HYPERLINK("http://service.sap.com/sap/support/notes/1684887","1684887")</f>
        <v>1684887</v>
      </c>
      <c r="E5033">
        <v>2</v>
      </c>
      <c r="F5033" t="s">
        <v>6512</v>
      </c>
    </row>
    <row r="5034" spans="1:6" x14ac:dyDescent="0.25">
      <c r="A5034" t="s">
        <v>6077</v>
      </c>
      <c r="B5034" t="s">
        <v>468</v>
      </c>
      <c r="C5034" t="s">
        <v>469</v>
      </c>
      <c r="D5034" t="str">
        <f>HYPERLINK("http://service.sap.com/sap/support/notes/1685736","1685736")</f>
        <v>1685736</v>
      </c>
      <c r="E5034">
        <v>1</v>
      </c>
      <c r="F5034" t="s">
        <v>6513</v>
      </c>
    </row>
    <row r="5035" spans="1:6" x14ac:dyDescent="0.25">
      <c r="A5035" t="s">
        <v>6077</v>
      </c>
      <c r="B5035" t="s">
        <v>468</v>
      </c>
      <c r="C5035" t="s">
        <v>469</v>
      </c>
      <c r="D5035" t="str">
        <f>HYPERLINK("http://service.sap.com/sap/support/notes/1686055","1686055")</f>
        <v>1686055</v>
      </c>
      <c r="E5035">
        <v>2</v>
      </c>
      <c r="F5035" t="s">
        <v>6514</v>
      </c>
    </row>
    <row r="5036" spans="1:6" x14ac:dyDescent="0.25">
      <c r="A5036" t="s">
        <v>6077</v>
      </c>
      <c r="B5036" t="s">
        <v>468</v>
      </c>
      <c r="C5036" t="s">
        <v>469</v>
      </c>
      <c r="D5036" t="str">
        <f>HYPERLINK("http://service.sap.com/sap/support/notes/1686211","1686211")</f>
        <v>1686211</v>
      </c>
      <c r="E5036">
        <v>1</v>
      </c>
      <c r="F5036" t="s">
        <v>6515</v>
      </c>
    </row>
    <row r="5037" spans="1:6" x14ac:dyDescent="0.25">
      <c r="A5037" t="s">
        <v>6077</v>
      </c>
      <c r="B5037" t="s">
        <v>468</v>
      </c>
      <c r="C5037" t="s">
        <v>469</v>
      </c>
      <c r="D5037" t="str">
        <f>HYPERLINK("http://service.sap.com/sap/support/notes/1686590","1686590")</f>
        <v>1686590</v>
      </c>
      <c r="E5037">
        <v>1</v>
      </c>
      <c r="F5037" t="s">
        <v>6516</v>
      </c>
    </row>
    <row r="5038" spans="1:6" x14ac:dyDescent="0.25">
      <c r="A5038" t="s">
        <v>6077</v>
      </c>
      <c r="B5038" t="s">
        <v>468</v>
      </c>
      <c r="C5038" t="s">
        <v>469</v>
      </c>
      <c r="D5038" t="str">
        <f>HYPERLINK("http://service.sap.com/sap/support/notes/1686950","1686950")</f>
        <v>1686950</v>
      </c>
      <c r="E5038">
        <v>1</v>
      </c>
      <c r="F5038" t="s">
        <v>6517</v>
      </c>
    </row>
    <row r="5039" spans="1:6" x14ac:dyDescent="0.25">
      <c r="A5039" t="s">
        <v>6077</v>
      </c>
      <c r="B5039" t="s">
        <v>468</v>
      </c>
      <c r="C5039" t="s">
        <v>469</v>
      </c>
      <c r="D5039" t="str">
        <f>HYPERLINK("http://service.sap.com/sap/support/notes/1687307","1687307")</f>
        <v>1687307</v>
      </c>
      <c r="E5039">
        <v>1</v>
      </c>
      <c r="F5039" t="s">
        <v>6518</v>
      </c>
    </row>
    <row r="5040" spans="1:6" x14ac:dyDescent="0.25">
      <c r="A5040" t="s">
        <v>6077</v>
      </c>
      <c r="B5040" t="s">
        <v>468</v>
      </c>
      <c r="C5040" t="s">
        <v>469</v>
      </c>
      <c r="D5040" t="str">
        <f>HYPERLINK("http://service.sap.com/sap/support/notes/1689422","1689422")</f>
        <v>1689422</v>
      </c>
      <c r="E5040">
        <v>4</v>
      </c>
      <c r="F5040" t="s">
        <v>6519</v>
      </c>
    </row>
    <row r="5041" spans="1:6" x14ac:dyDescent="0.25">
      <c r="A5041" t="s">
        <v>6077</v>
      </c>
      <c r="B5041" t="s">
        <v>468</v>
      </c>
      <c r="C5041" t="s">
        <v>469</v>
      </c>
      <c r="D5041" t="str">
        <f>HYPERLINK("http://service.sap.com/sap/support/notes/1690730","1690730")</f>
        <v>1690730</v>
      </c>
      <c r="E5041">
        <v>3</v>
      </c>
      <c r="F5041" t="s">
        <v>6520</v>
      </c>
    </row>
    <row r="5042" spans="1:6" x14ac:dyDescent="0.25">
      <c r="A5042" t="s">
        <v>6077</v>
      </c>
      <c r="B5042" t="s">
        <v>468</v>
      </c>
      <c r="C5042" t="s">
        <v>469</v>
      </c>
      <c r="D5042" t="str">
        <f>HYPERLINK("http://service.sap.com/sap/support/notes/1691361","1691361")</f>
        <v>1691361</v>
      </c>
      <c r="E5042">
        <v>1</v>
      </c>
      <c r="F5042" t="s">
        <v>6521</v>
      </c>
    </row>
    <row r="5043" spans="1:6" x14ac:dyDescent="0.25">
      <c r="A5043" t="s">
        <v>6077</v>
      </c>
      <c r="B5043" t="s">
        <v>468</v>
      </c>
      <c r="C5043" t="s">
        <v>469</v>
      </c>
      <c r="D5043" t="str">
        <f>HYPERLINK("http://service.sap.com/sap/support/notes/1691829","1691829")</f>
        <v>1691829</v>
      </c>
      <c r="E5043">
        <v>1</v>
      </c>
      <c r="F5043" t="s">
        <v>6522</v>
      </c>
    </row>
    <row r="5044" spans="1:6" x14ac:dyDescent="0.25">
      <c r="A5044" t="s">
        <v>6077</v>
      </c>
      <c r="B5044" t="s">
        <v>468</v>
      </c>
      <c r="C5044" t="s">
        <v>469</v>
      </c>
      <c r="D5044" t="str">
        <f>HYPERLINK("http://service.sap.com/sap/support/notes/1693604","1693604")</f>
        <v>1693604</v>
      </c>
      <c r="E5044">
        <v>1</v>
      </c>
      <c r="F5044" t="s">
        <v>6523</v>
      </c>
    </row>
    <row r="5045" spans="1:6" x14ac:dyDescent="0.25">
      <c r="A5045" t="s">
        <v>6077</v>
      </c>
      <c r="B5045" t="s">
        <v>468</v>
      </c>
      <c r="C5045" t="s">
        <v>469</v>
      </c>
      <c r="D5045" t="str">
        <f>HYPERLINK("http://service.sap.com/sap/support/notes/1694558","1694558")</f>
        <v>1694558</v>
      </c>
      <c r="E5045">
        <v>1</v>
      </c>
      <c r="F5045" t="s">
        <v>6524</v>
      </c>
    </row>
    <row r="5046" spans="1:6" x14ac:dyDescent="0.25">
      <c r="A5046" t="s">
        <v>6077</v>
      </c>
      <c r="B5046" t="s">
        <v>468</v>
      </c>
      <c r="C5046" t="s">
        <v>469</v>
      </c>
      <c r="D5046" t="str">
        <f>HYPERLINK("http://service.sap.com/sap/support/notes/1695155","1695155")</f>
        <v>1695155</v>
      </c>
      <c r="E5046">
        <v>1</v>
      </c>
      <c r="F5046" t="s">
        <v>6525</v>
      </c>
    </row>
    <row r="5047" spans="1:6" x14ac:dyDescent="0.25">
      <c r="A5047" t="s">
        <v>6077</v>
      </c>
      <c r="B5047" t="s">
        <v>2700</v>
      </c>
      <c r="C5047" t="s">
        <v>2701</v>
      </c>
      <c r="D5047" t="str">
        <f>HYPERLINK("http://service.sap.com/sap/support/notes/1684361","1684361")</f>
        <v>1684361</v>
      </c>
      <c r="E5047">
        <v>1</v>
      </c>
      <c r="F5047" t="s">
        <v>6526</v>
      </c>
    </row>
    <row r="5048" spans="1:6" x14ac:dyDescent="0.25">
      <c r="A5048" t="s">
        <v>6077</v>
      </c>
      <c r="B5048" t="s">
        <v>478</v>
      </c>
      <c r="C5048" t="s">
        <v>389</v>
      </c>
      <c r="D5048" t="str">
        <f>HYPERLINK("http://service.sap.com/sap/support/notes/1095427","1095427")</f>
        <v>1095427</v>
      </c>
      <c r="E5048">
        <v>4</v>
      </c>
      <c r="F5048" t="s">
        <v>6527</v>
      </c>
    </row>
    <row r="5049" spans="1:6" x14ac:dyDescent="0.25">
      <c r="A5049" t="s">
        <v>6077</v>
      </c>
      <c r="B5049" t="s">
        <v>478</v>
      </c>
      <c r="C5049" t="s">
        <v>389</v>
      </c>
      <c r="D5049" t="str">
        <f>HYPERLINK("http://service.sap.com/sap/support/notes/1649564","1649564")</f>
        <v>1649564</v>
      </c>
      <c r="E5049">
        <v>2</v>
      </c>
      <c r="F5049" t="s">
        <v>6528</v>
      </c>
    </row>
    <row r="5050" spans="1:6" x14ac:dyDescent="0.25">
      <c r="A5050" t="s">
        <v>6077</v>
      </c>
      <c r="B5050" t="s">
        <v>478</v>
      </c>
      <c r="C5050" t="s">
        <v>389</v>
      </c>
      <c r="D5050" t="str">
        <f>HYPERLINK("http://service.sap.com/sap/support/notes/1655522","1655522")</f>
        <v>1655522</v>
      </c>
      <c r="E5050">
        <v>1</v>
      </c>
      <c r="F5050" t="s">
        <v>6529</v>
      </c>
    </row>
    <row r="5051" spans="1:6" x14ac:dyDescent="0.25">
      <c r="A5051" t="s">
        <v>6077</v>
      </c>
      <c r="B5051" t="s">
        <v>478</v>
      </c>
      <c r="C5051" t="s">
        <v>389</v>
      </c>
      <c r="D5051" t="str">
        <f>HYPERLINK("http://service.sap.com/sap/support/notes/1673248","1673248")</f>
        <v>1673248</v>
      </c>
      <c r="E5051">
        <v>1</v>
      </c>
      <c r="F5051" t="s">
        <v>6530</v>
      </c>
    </row>
    <row r="5052" spans="1:6" x14ac:dyDescent="0.25">
      <c r="A5052" t="s">
        <v>6077</v>
      </c>
      <c r="B5052" t="s">
        <v>478</v>
      </c>
      <c r="C5052" t="s">
        <v>389</v>
      </c>
      <c r="D5052" t="str">
        <f>HYPERLINK("http://service.sap.com/sap/support/notes/1677519","1677519")</f>
        <v>1677519</v>
      </c>
      <c r="E5052">
        <v>1</v>
      </c>
      <c r="F5052" t="s">
        <v>6531</v>
      </c>
    </row>
    <row r="5053" spans="1:6" x14ac:dyDescent="0.25">
      <c r="A5053" t="s">
        <v>6077</v>
      </c>
      <c r="B5053" t="s">
        <v>478</v>
      </c>
      <c r="C5053" t="s">
        <v>389</v>
      </c>
      <c r="D5053" t="str">
        <f>HYPERLINK("http://service.sap.com/sap/support/notes/1684657","1684657")</f>
        <v>1684657</v>
      </c>
      <c r="E5053">
        <v>1</v>
      </c>
      <c r="F5053" t="s">
        <v>6532</v>
      </c>
    </row>
    <row r="5054" spans="1:6" x14ac:dyDescent="0.25">
      <c r="A5054" t="s">
        <v>6077</v>
      </c>
      <c r="B5054" t="s">
        <v>478</v>
      </c>
      <c r="C5054" t="s">
        <v>389</v>
      </c>
      <c r="D5054" t="str">
        <f>HYPERLINK("http://service.sap.com/sap/support/notes/1684946","1684946")</f>
        <v>1684946</v>
      </c>
      <c r="E5054">
        <v>2</v>
      </c>
      <c r="F5054" t="s">
        <v>6533</v>
      </c>
    </row>
    <row r="5055" spans="1:6" x14ac:dyDescent="0.25">
      <c r="A5055" t="s">
        <v>6077</v>
      </c>
      <c r="B5055" t="s">
        <v>478</v>
      </c>
      <c r="C5055" t="s">
        <v>389</v>
      </c>
      <c r="D5055" t="str">
        <f>HYPERLINK("http://service.sap.com/sap/support/notes/1687347","1687347")</f>
        <v>1687347</v>
      </c>
      <c r="E5055">
        <v>1</v>
      </c>
      <c r="F5055" t="s">
        <v>6534</v>
      </c>
    </row>
    <row r="5056" spans="1:6" x14ac:dyDescent="0.25">
      <c r="A5056" t="s">
        <v>6077</v>
      </c>
      <c r="B5056" t="s">
        <v>478</v>
      </c>
      <c r="C5056" t="s">
        <v>389</v>
      </c>
      <c r="D5056" t="str">
        <f>HYPERLINK("http://service.sap.com/sap/support/notes/1688568","1688568")</f>
        <v>1688568</v>
      </c>
      <c r="E5056">
        <v>1</v>
      </c>
      <c r="F5056" t="s">
        <v>6535</v>
      </c>
    </row>
    <row r="5057" spans="1:6" x14ac:dyDescent="0.25">
      <c r="A5057" t="s">
        <v>6077</v>
      </c>
      <c r="B5057" t="s">
        <v>478</v>
      </c>
      <c r="C5057" t="s">
        <v>389</v>
      </c>
      <c r="D5057" t="str">
        <f>HYPERLINK("http://service.sap.com/sap/support/notes/1690295","1690295")</f>
        <v>1690295</v>
      </c>
      <c r="E5057">
        <v>1</v>
      </c>
      <c r="F5057" t="s">
        <v>6536</v>
      </c>
    </row>
    <row r="5058" spans="1:6" x14ac:dyDescent="0.25">
      <c r="A5058" t="s">
        <v>6077</v>
      </c>
      <c r="B5058" t="s">
        <v>2712</v>
      </c>
      <c r="C5058" t="s">
        <v>2440</v>
      </c>
      <c r="D5058" t="str">
        <f>HYPERLINK("http://service.sap.com/sap/support/notes/1674165","1674165")</f>
        <v>1674165</v>
      </c>
      <c r="E5058">
        <v>3</v>
      </c>
      <c r="F5058" t="s">
        <v>6537</v>
      </c>
    </row>
    <row r="5059" spans="1:6" x14ac:dyDescent="0.25">
      <c r="A5059" t="s">
        <v>6077</v>
      </c>
      <c r="B5059" t="s">
        <v>481</v>
      </c>
      <c r="C5059" t="s">
        <v>482</v>
      </c>
      <c r="D5059" t="str">
        <f>HYPERLINK("http://service.sap.com/sap/support/notes/1595604","1595604")</f>
        <v>1595604</v>
      </c>
      <c r="E5059">
        <v>4</v>
      </c>
      <c r="F5059" t="s">
        <v>6538</v>
      </c>
    </row>
    <row r="5060" spans="1:6" x14ac:dyDescent="0.25">
      <c r="A5060" t="s">
        <v>6077</v>
      </c>
      <c r="B5060" t="s">
        <v>481</v>
      </c>
      <c r="C5060" t="s">
        <v>482</v>
      </c>
      <c r="D5060" t="str">
        <f>HYPERLINK("http://service.sap.com/sap/support/notes/1619358","1619358")</f>
        <v>1619358</v>
      </c>
      <c r="E5060">
        <v>1</v>
      </c>
      <c r="F5060" t="s">
        <v>6539</v>
      </c>
    </row>
    <row r="5061" spans="1:6" x14ac:dyDescent="0.25">
      <c r="A5061" t="s">
        <v>6077</v>
      </c>
      <c r="B5061" t="s">
        <v>481</v>
      </c>
      <c r="C5061" t="s">
        <v>482</v>
      </c>
      <c r="D5061" t="str">
        <f>HYPERLINK("http://service.sap.com/sap/support/notes/1663813","1663813")</f>
        <v>1663813</v>
      </c>
      <c r="E5061">
        <v>2</v>
      </c>
      <c r="F5061" t="s">
        <v>2749</v>
      </c>
    </row>
    <row r="5062" spans="1:6" x14ac:dyDescent="0.25">
      <c r="A5062" t="s">
        <v>6077</v>
      </c>
      <c r="B5062" t="s">
        <v>481</v>
      </c>
      <c r="C5062" t="s">
        <v>482</v>
      </c>
      <c r="D5062" t="str">
        <f>HYPERLINK("http://service.sap.com/sap/support/notes/1672922","1672922")</f>
        <v>1672922</v>
      </c>
      <c r="E5062">
        <v>1</v>
      </c>
      <c r="F5062" t="s">
        <v>6540</v>
      </c>
    </row>
    <row r="5063" spans="1:6" x14ac:dyDescent="0.25">
      <c r="A5063" t="s">
        <v>6077</v>
      </c>
      <c r="B5063" t="s">
        <v>481</v>
      </c>
      <c r="C5063" t="s">
        <v>482</v>
      </c>
      <c r="D5063" t="str">
        <f>HYPERLINK("http://service.sap.com/sap/support/notes/1673439","1673439")</f>
        <v>1673439</v>
      </c>
      <c r="E5063">
        <v>3</v>
      </c>
      <c r="F5063" t="s">
        <v>6541</v>
      </c>
    </row>
    <row r="5064" spans="1:6" x14ac:dyDescent="0.25">
      <c r="A5064" t="s">
        <v>6077</v>
      </c>
      <c r="B5064" t="s">
        <v>481</v>
      </c>
      <c r="C5064" t="s">
        <v>482</v>
      </c>
      <c r="D5064" t="str">
        <f>HYPERLINK("http://service.sap.com/sap/support/notes/1673949","1673949")</f>
        <v>1673949</v>
      </c>
      <c r="E5064">
        <v>1</v>
      </c>
      <c r="F5064" t="s">
        <v>6542</v>
      </c>
    </row>
    <row r="5065" spans="1:6" x14ac:dyDescent="0.25">
      <c r="A5065" t="s">
        <v>6077</v>
      </c>
      <c r="B5065" t="s">
        <v>481</v>
      </c>
      <c r="C5065" t="s">
        <v>482</v>
      </c>
      <c r="D5065" t="str">
        <f>HYPERLINK("http://service.sap.com/sap/support/notes/1676155","1676155")</f>
        <v>1676155</v>
      </c>
      <c r="E5065">
        <v>2</v>
      </c>
      <c r="F5065" t="s">
        <v>6543</v>
      </c>
    </row>
    <row r="5066" spans="1:6" x14ac:dyDescent="0.25">
      <c r="A5066" t="s">
        <v>6077</v>
      </c>
      <c r="B5066" t="s">
        <v>481</v>
      </c>
      <c r="C5066" t="s">
        <v>482</v>
      </c>
      <c r="D5066" t="str">
        <f>HYPERLINK("http://service.sap.com/sap/support/notes/1677276","1677276")</f>
        <v>1677276</v>
      </c>
      <c r="E5066">
        <v>7</v>
      </c>
      <c r="F5066" t="s">
        <v>6544</v>
      </c>
    </row>
    <row r="5067" spans="1:6" x14ac:dyDescent="0.25">
      <c r="A5067" t="s">
        <v>6077</v>
      </c>
      <c r="B5067" t="s">
        <v>481</v>
      </c>
      <c r="C5067" t="s">
        <v>482</v>
      </c>
      <c r="D5067" t="str">
        <f>HYPERLINK("http://service.sap.com/sap/support/notes/1677447","1677447")</f>
        <v>1677447</v>
      </c>
      <c r="E5067">
        <v>3</v>
      </c>
      <c r="F5067" t="s">
        <v>6545</v>
      </c>
    </row>
    <row r="5068" spans="1:6" x14ac:dyDescent="0.25">
      <c r="A5068" t="s">
        <v>6077</v>
      </c>
      <c r="B5068" t="s">
        <v>481</v>
      </c>
      <c r="C5068" t="s">
        <v>482</v>
      </c>
      <c r="D5068" t="str">
        <f>HYPERLINK("http://service.sap.com/sap/support/notes/1678981","1678981")</f>
        <v>1678981</v>
      </c>
      <c r="E5068">
        <v>3</v>
      </c>
      <c r="F5068" t="s">
        <v>6546</v>
      </c>
    </row>
    <row r="5069" spans="1:6" x14ac:dyDescent="0.25">
      <c r="A5069" t="s">
        <v>6077</v>
      </c>
      <c r="B5069" t="s">
        <v>481</v>
      </c>
      <c r="C5069" t="s">
        <v>482</v>
      </c>
      <c r="D5069" t="str">
        <f>HYPERLINK("http://service.sap.com/sap/support/notes/1680334","1680334")</f>
        <v>1680334</v>
      </c>
      <c r="E5069">
        <v>1</v>
      </c>
      <c r="F5069" t="s">
        <v>6547</v>
      </c>
    </row>
    <row r="5070" spans="1:6" x14ac:dyDescent="0.25">
      <c r="A5070" t="s">
        <v>6077</v>
      </c>
      <c r="B5070" t="s">
        <v>481</v>
      </c>
      <c r="C5070" t="s">
        <v>482</v>
      </c>
      <c r="D5070" t="str">
        <f>HYPERLINK("http://service.sap.com/sap/support/notes/1680605","1680605")</f>
        <v>1680605</v>
      </c>
      <c r="E5070">
        <v>2</v>
      </c>
      <c r="F5070" t="s">
        <v>6548</v>
      </c>
    </row>
    <row r="5071" spans="1:6" x14ac:dyDescent="0.25">
      <c r="A5071" t="s">
        <v>6077</v>
      </c>
      <c r="B5071" t="s">
        <v>481</v>
      </c>
      <c r="C5071" t="s">
        <v>482</v>
      </c>
      <c r="D5071" t="str">
        <f>HYPERLINK("http://service.sap.com/sap/support/notes/1681428","1681428")</f>
        <v>1681428</v>
      </c>
      <c r="E5071">
        <v>4</v>
      </c>
      <c r="F5071" t="s">
        <v>6549</v>
      </c>
    </row>
    <row r="5072" spans="1:6" x14ac:dyDescent="0.25">
      <c r="A5072" t="s">
        <v>6077</v>
      </c>
      <c r="B5072" t="s">
        <v>481</v>
      </c>
      <c r="C5072" t="s">
        <v>482</v>
      </c>
      <c r="D5072" t="str">
        <f>HYPERLINK("http://service.sap.com/sap/support/notes/1683630","1683630")</f>
        <v>1683630</v>
      </c>
      <c r="E5072">
        <v>1</v>
      </c>
      <c r="F5072" t="s">
        <v>6550</v>
      </c>
    </row>
    <row r="5073" spans="1:6" x14ac:dyDescent="0.25">
      <c r="A5073" t="s">
        <v>6077</v>
      </c>
      <c r="B5073" t="s">
        <v>481</v>
      </c>
      <c r="C5073" t="s">
        <v>482</v>
      </c>
      <c r="D5073" t="str">
        <f>HYPERLINK("http://service.sap.com/sap/support/notes/1685539","1685539")</f>
        <v>1685539</v>
      </c>
      <c r="E5073">
        <v>1</v>
      </c>
      <c r="F5073" t="s">
        <v>6551</v>
      </c>
    </row>
    <row r="5074" spans="1:6" x14ac:dyDescent="0.25">
      <c r="A5074" t="s">
        <v>6077</v>
      </c>
      <c r="B5074" t="s">
        <v>481</v>
      </c>
      <c r="C5074" t="s">
        <v>482</v>
      </c>
      <c r="D5074" t="str">
        <f>HYPERLINK("http://service.sap.com/sap/support/notes/1685735","1685735")</f>
        <v>1685735</v>
      </c>
      <c r="E5074">
        <v>1</v>
      </c>
      <c r="F5074" t="s">
        <v>6552</v>
      </c>
    </row>
    <row r="5075" spans="1:6" x14ac:dyDescent="0.25">
      <c r="A5075" t="s">
        <v>6077</v>
      </c>
      <c r="B5075" t="s">
        <v>481</v>
      </c>
      <c r="C5075" t="s">
        <v>482</v>
      </c>
      <c r="D5075" t="str">
        <f>HYPERLINK("http://service.sap.com/sap/support/notes/1686870","1686870")</f>
        <v>1686870</v>
      </c>
      <c r="E5075">
        <v>1</v>
      </c>
      <c r="F5075" t="s">
        <v>6553</v>
      </c>
    </row>
    <row r="5076" spans="1:6" x14ac:dyDescent="0.25">
      <c r="A5076" t="s">
        <v>6077</v>
      </c>
      <c r="B5076" t="s">
        <v>481</v>
      </c>
      <c r="C5076" t="s">
        <v>482</v>
      </c>
      <c r="D5076" t="str">
        <f>HYPERLINK("http://service.sap.com/sap/support/notes/1688470","1688470")</f>
        <v>1688470</v>
      </c>
      <c r="E5076">
        <v>4</v>
      </c>
      <c r="F5076" t="s">
        <v>6554</v>
      </c>
    </row>
    <row r="5077" spans="1:6" x14ac:dyDescent="0.25">
      <c r="A5077" t="s">
        <v>6077</v>
      </c>
      <c r="B5077" t="s">
        <v>481</v>
      </c>
      <c r="C5077" t="s">
        <v>482</v>
      </c>
      <c r="D5077" t="str">
        <f>HYPERLINK("http://service.sap.com/sap/support/notes/1688519","1688519")</f>
        <v>1688519</v>
      </c>
      <c r="E5077">
        <v>6</v>
      </c>
      <c r="F5077" t="s">
        <v>6555</v>
      </c>
    </row>
    <row r="5078" spans="1:6" x14ac:dyDescent="0.25">
      <c r="A5078" t="s">
        <v>6077</v>
      </c>
      <c r="B5078" t="s">
        <v>481</v>
      </c>
      <c r="C5078" t="s">
        <v>482</v>
      </c>
      <c r="D5078" t="str">
        <f>HYPERLINK("http://service.sap.com/sap/support/notes/1689156","1689156")</f>
        <v>1689156</v>
      </c>
      <c r="E5078">
        <v>3</v>
      </c>
      <c r="F5078" t="s">
        <v>6556</v>
      </c>
    </row>
    <row r="5079" spans="1:6" x14ac:dyDescent="0.25">
      <c r="A5079" t="s">
        <v>6077</v>
      </c>
      <c r="B5079" t="s">
        <v>481</v>
      </c>
      <c r="C5079" t="s">
        <v>482</v>
      </c>
      <c r="D5079" t="str">
        <f>HYPERLINK("http://service.sap.com/sap/support/notes/1690841","1690841")</f>
        <v>1690841</v>
      </c>
      <c r="E5079">
        <v>5</v>
      </c>
      <c r="F5079" t="s">
        <v>6557</v>
      </c>
    </row>
    <row r="5080" spans="1:6" x14ac:dyDescent="0.25">
      <c r="A5080" t="s">
        <v>6077</v>
      </c>
      <c r="B5080" t="s">
        <v>2754</v>
      </c>
      <c r="C5080" t="s">
        <v>2755</v>
      </c>
      <c r="D5080" t="str">
        <f>HYPERLINK("http://service.sap.com/sap/support/notes/1533999","1533999")</f>
        <v>1533999</v>
      </c>
      <c r="E5080">
        <v>3</v>
      </c>
      <c r="F5080" t="s">
        <v>6558</v>
      </c>
    </row>
    <row r="5081" spans="1:6" x14ac:dyDescent="0.25">
      <c r="A5081" t="s">
        <v>6077</v>
      </c>
      <c r="B5081" t="s">
        <v>2754</v>
      </c>
      <c r="C5081" t="s">
        <v>2755</v>
      </c>
      <c r="D5081" t="str">
        <f>HYPERLINK("http://service.sap.com/sap/support/notes/1573720","1573720")</f>
        <v>1573720</v>
      </c>
      <c r="E5081">
        <v>2</v>
      </c>
      <c r="F5081" t="s">
        <v>6559</v>
      </c>
    </row>
    <row r="5082" spans="1:6" x14ac:dyDescent="0.25">
      <c r="A5082" t="s">
        <v>6077</v>
      </c>
      <c r="B5082" t="s">
        <v>2754</v>
      </c>
      <c r="C5082" t="s">
        <v>2755</v>
      </c>
      <c r="D5082" t="str">
        <f>HYPERLINK("http://service.sap.com/sap/support/notes/1600150","1600150")</f>
        <v>1600150</v>
      </c>
      <c r="E5082">
        <v>2</v>
      </c>
      <c r="F5082" t="s">
        <v>6560</v>
      </c>
    </row>
    <row r="5083" spans="1:6" x14ac:dyDescent="0.25">
      <c r="A5083" t="s">
        <v>6077</v>
      </c>
      <c r="B5083" t="s">
        <v>2754</v>
      </c>
      <c r="C5083" t="s">
        <v>2755</v>
      </c>
      <c r="D5083" t="str">
        <f>HYPERLINK("http://service.sap.com/sap/support/notes/1637478","1637478")</f>
        <v>1637478</v>
      </c>
      <c r="E5083">
        <v>1</v>
      </c>
      <c r="F5083" t="s">
        <v>6561</v>
      </c>
    </row>
    <row r="5084" spans="1:6" x14ac:dyDescent="0.25">
      <c r="A5084" t="s">
        <v>6077</v>
      </c>
      <c r="B5084" t="s">
        <v>2754</v>
      </c>
      <c r="C5084" t="s">
        <v>2755</v>
      </c>
      <c r="D5084" t="str">
        <f>HYPERLINK("http://service.sap.com/sap/support/notes/1657669","1657669")</f>
        <v>1657669</v>
      </c>
      <c r="E5084">
        <v>4</v>
      </c>
      <c r="F5084" t="s">
        <v>6562</v>
      </c>
    </row>
    <row r="5085" spans="1:6" x14ac:dyDescent="0.25">
      <c r="A5085" t="s">
        <v>6077</v>
      </c>
      <c r="B5085" t="s">
        <v>2754</v>
      </c>
      <c r="C5085" t="s">
        <v>2755</v>
      </c>
      <c r="D5085" t="str">
        <f>HYPERLINK("http://service.sap.com/sap/support/notes/1672115","1672115")</f>
        <v>1672115</v>
      </c>
      <c r="E5085">
        <v>1</v>
      </c>
      <c r="F5085" t="s">
        <v>6563</v>
      </c>
    </row>
    <row r="5086" spans="1:6" x14ac:dyDescent="0.25">
      <c r="A5086" t="s">
        <v>6077</v>
      </c>
      <c r="B5086" t="s">
        <v>2754</v>
      </c>
      <c r="C5086" t="s">
        <v>2755</v>
      </c>
      <c r="D5086" t="str">
        <f>HYPERLINK("http://service.sap.com/sap/support/notes/1673307","1673307")</f>
        <v>1673307</v>
      </c>
      <c r="E5086">
        <v>1</v>
      </c>
      <c r="F5086" t="s">
        <v>6564</v>
      </c>
    </row>
    <row r="5087" spans="1:6" x14ac:dyDescent="0.25">
      <c r="A5087" t="s">
        <v>6077</v>
      </c>
      <c r="B5087" t="s">
        <v>2754</v>
      </c>
      <c r="C5087" t="s">
        <v>2755</v>
      </c>
      <c r="D5087" t="str">
        <f>HYPERLINK("http://service.sap.com/sap/support/notes/1673660","1673660")</f>
        <v>1673660</v>
      </c>
      <c r="E5087">
        <v>3</v>
      </c>
      <c r="F5087" t="s">
        <v>6565</v>
      </c>
    </row>
    <row r="5088" spans="1:6" x14ac:dyDescent="0.25">
      <c r="A5088" t="s">
        <v>6077</v>
      </c>
      <c r="B5088" t="s">
        <v>2754</v>
      </c>
      <c r="C5088" t="s">
        <v>2755</v>
      </c>
      <c r="D5088" t="str">
        <f>HYPERLINK("http://service.sap.com/sap/support/notes/1673758","1673758")</f>
        <v>1673758</v>
      </c>
      <c r="E5088">
        <v>1</v>
      </c>
      <c r="F5088" t="s">
        <v>6566</v>
      </c>
    </row>
    <row r="5089" spans="1:6" x14ac:dyDescent="0.25">
      <c r="A5089" t="s">
        <v>6077</v>
      </c>
      <c r="B5089" t="s">
        <v>2754</v>
      </c>
      <c r="C5089" t="s">
        <v>2755</v>
      </c>
      <c r="D5089" t="str">
        <f>HYPERLINK("http://service.sap.com/sap/support/notes/1673866","1673866")</f>
        <v>1673866</v>
      </c>
      <c r="E5089">
        <v>1</v>
      </c>
      <c r="F5089" t="s">
        <v>2776</v>
      </c>
    </row>
    <row r="5090" spans="1:6" x14ac:dyDescent="0.25">
      <c r="A5090" t="s">
        <v>6077</v>
      </c>
      <c r="B5090" t="s">
        <v>2754</v>
      </c>
      <c r="C5090" t="s">
        <v>2755</v>
      </c>
      <c r="D5090" t="str">
        <f>HYPERLINK("http://service.sap.com/sap/support/notes/1674626","1674626")</f>
        <v>1674626</v>
      </c>
      <c r="E5090">
        <v>1</v>
      </c>
      <c r="F5090" t="s">
        <v>6567</v>
      </c>
    </row>
    <row r="5091" spans="1:6" x14ac:dyDescent="0.25">
      <c r="A5091" t="s">
        <v>6077</v>
      </c>
      <c r="B5091" t="s">
        <v>2754</v>
      </c>
      <c r="C5091" t="s">
        <v>2755</v>
      </c>
      <c r="D5091" t="str">
        <f>HYPERLINK("http://service.sap.com/sap/support/notes/1675203","1675203")</f>
        <v>1675203</v>
      </c>
      <c r="E5091">
        <v>1</v>
      </c>
      <c r="F5091" t="s">
        <v>2776</v>
      </c>
    </row>
    <row r="5092" spans="1:6" x14ac:dyDescent="0.25">
      <c r="A5092" t="s">
        <v>6077</v>
      </c>
      <c r="B5092" t="s">
        <v>2754</v>
      </c>
      <c r="C5092" t="s">
        <v>2755</v>
      </c>
      <c r="D5092" t="str">
        <f>HYPERLINK("http://service.sap.com/sap/support/notes/1677234","1677234")</f>
        <v>1677234</v>
      </c>
      <c r="E5092">
        <v>2</v>
      </c>
      <c r="F5092" t="s">
        <v>2776</v>
      </c>
    </row>
    <row r="5093" spans="1:6" x14ac:dyDescent="0.25">
      <c r="A5093" t="s">
        <v>6077</v>
      </c>
      <c r="B5093" t="s">
        <v>2754</v>
      </c>
      <c r="C5093" t="s">
        <v>2755</v>
      </c>
      <c r="D5093" t="str">
        <f>HYPERLINK("http://service.sap.com/sap/support/notes/1678834","1678834")</f>
        <v>1678834</v>
      </c>
      <c r="E5093">
        <v>1</v>
      </c>
      <c r="F5093" t="s">
        <v>2776</v>
      </c>
    </row>
    <row r="5094" spans="1:6" x14ac:dyDescent="0.25">
      <c r="A5094" t="s">
        <v>6077</v>
      </c>
      <c r="B5094" t="s">
        <v>2754</v>
      </c>
      <c r="C5094" t="s">
        <v>2755</v>
      </c>
      <c r="D5094" t="str">
        <f>HYPERLINK("http://service.sap.com/sap/support/notes/1678872","1678872")</f>
        <v>1678872</v>
      </c>
      <c r="E5094">
        <v>1</v>
      </c>
      <c r="F5094" t="s">
        <v>6568</v>
      </c>
    </row>
    <row r="5095" spans="1:6" x14ac:dyDescent="0.25">
      <c r="A5095" t="s">
        <v>6077</v>
      </c>
      <c r="B5095" t="s">
        <v>2754</v>
      </c>
      <c r="C5095" t="s">
        <v>2755</v>
      </c>
      <c r="D5095" t="str">
        <f>HYPERLINK("http://service.sap.com/sap/support/notes/1679094","1679094")</f>
        <v>1679094</v>
      </c>
      <c r="E5095">
        <v>3</v>
      </c>
      <c r="F5095" t="s">
        <v>6569</v>
      </c>
    </row>
    <row r="5096" spans="1:6" x14ac:dyDescent="0.25">
      <c r="A5096" t="s">
        <v>6077</v>
      </c>
      <c r="B5096" t="s">
        <v>2754</v>
      </c>
      <c r="C5096" t="s">
        <v>2755</v>
      </c>
      <c r="D5096" t="str">
        <f>HYPERLINK("http://service.sap.com/sap/support/notes/1679585","1679585")</f>
        <v>1679585</v>
      </c>
      <c r="E5096">
        <v>1</v>
      </c>
      <c r="F5096" t="s">
        <v>6570</v>
      </c>
    </row>
    <row r="5097" spans="1:6" x14ac:dyDescent="0.25">
      <c r="A5097" t="s">
        <v>6077</v>
      </c>
      <c r="B5097" t="s">
        <v>2754</v>
      </c>
      <c r="C5097" t="s">
        <v>2755</v>
      </c>
      <c r="D5097" t="str">
        <f>HYPERLINK("http://service.sap.com/sap/support/notes/1681773","1681773")</f>
        <v>1681773</v>
      </c>
      <c r="E5097">
        <v>2</v>
      </c>
      <c r="F5097" t="s">
        <v>6571</v>
      </c>
    </row>
    <row r="5098" spans="1:6" x14ac:dyDescent="0.25">
      <c r="A5098" t="s">
        <v>6077</v>
      </c>
      <c r="B5098" t="s">
        <v>2754</v>
      </c>
      <c r="C5098" t="s">
        <v>2755</v>
      </c>
      <c r="D5098" t="str">
        <f>HYPERLINK("http://service.sap.com/sap/support/notes/1682691","1682691")</f>
        <v>1682691</v>
      </c>
      <c r="E5098">
        <v>1</v>
      </c>
      <c r="F5098" t="s">
        <v>6572</v>
      </c>
    </row>
    <row r="5099" spans="1:6" x14ac:dyDescent="0.25">
      <c r="A5099" t="s">
        <v>6077</v>
      </c>
      <c r="B5099" t="s">
        <v>2754</v>
      </c>
      <c r="C5099" t="s">
        <v>2755</v>
      </c>
      <c r="D5099" t="str">
        <f>HYPERLINK("http://service.sap.com/sap/support/notes/1683507","1683507")</f>
        <v>1683507</v>
      </c>
      <c r="E5099">
        <v>1</v>
      </c>
      <c r="F5099" t="s">
        <v>6573</v>
      </c>
    </row>
    <row r="5100" spans="1:6" x14ac:dyDescent="0.25">
      <c r="A5100" t="s">
        <v>6077</v>
      </c>
      <c r="B5100" t="s">
        <v>2754</v>
      </c>
      <c r="C5100" t="s">
        <v>2755</v>
      </c>
      <c r="D5100" t="str">
        <f>HYPERLINK("http://service.sap.com/sap/support/notes/1685287","1685287")</f>
        <v>1685287</v>
      </c>
      <c r="E5100">
        <v>3</v>
      </c>
      <c r="F5100" t="s">
        <v>6574</v>
      </c>
    </row>
    <row r="5101" spans="1:6" x14ac:dyDescent="0.25">
      <c r="A5101" t="s">
        <v>6077</v>
      </c>
      <c r="B5101" t="s">
        <v>2754</v>
      </c>
      <c r="C5101" t="s">
        <v>2755</v>
      </c>
      <c r="D5101" t="str">
        <f>HYPERLINK("http://service.sap.com/sap/support/notes/1687067","1687067")</f>
        <v>1687067</v>
      </c>
      <c r="E5101">
        <v>2</v>
      </c>
      <c r="F5101" t="s">
        <v>2776</v>
      </c>
    </row>
    <row r="5102" spans="1:6" x14ac:dyDescent="0.25">
      <c r="A5102" t="s">
        <v>6077</v>
      </c>
      <c r="B5102" t="s">
        <v>2754</v>
      </c>
      <c r="C5102" t="s">
        <v>2755</v>
      </c>
      <c r="D5102" t="str">
        <f>HYPERLINK("http://service.sap.com/sap/support/notes/1688260","1688260")</f>
        <v>1688260</v>
      </c>
      <c r="E5102">
        <v>1</v>
      </c>
      <c r="F5102" t="s">
        <v>6575</v>
      </c>
    </row>
    <row r="5103" spans="1:6" x14ac:dyDescent="0.25">
      <c r="A5103" t="s">
        <v>6077</v>
      </c>
      <c r="B5103" t="s">
        <v>2754</v>
      </c>
      <c r="C5103" t="s">
        <v>2755</v>
      </c>
      <c r="D5103" t="str">
        <f>HYPERLINK("http://service.sap.com/sap/support/notes/1688527","1688527")</f>
        <v>1688527</v>
      </c>
      <c r="E5103">
        <v>2</v>
      </c>
      <c r="F5103" t="s">
        <v>6576</v>
      </c>
    </row>
    <row r="5104" spans="1:6" x14ac:dyDescent="0.25">
      <c r="A5104" t="s">
        <v>6077</v>
      </c>
      <c r="B5104" t="s">
        <v>2754</v>
      </c>
      <c r="C5104" t="s">
        <v>2755</v>
      </c>
      <c r="D5104" t="str">
        <f>HYPERLINK("http://service.sap.com/sap/support/notes/1692915","1692915")</f>
        <v>1692915</v>
      </c>
      <c r="E5104">
        <v>1</v>
      </c>
      <c r="F5104" t="s">
        <v>2776</v>
      </c>
    </row>
    <row r="5105" spans="1:6" x14ac:dyDescent="0.25">
      <c r="A5105" t="s">
        <v>6077</v>
      </c>
      <c r="B5105" t="s">
        <v>2754</v>
      </c>
      <c r="C5105" t="s">
        <v>2755</v>
      </c>
      <c r="D5105" t="str">
        <f>HYPERLINK("http://service.sap.com/sap/support/notes/1694473","1694473")</f>
        <v>1694473</v>
      </c>
      <c r="E5105">
        <v>1</v>
      </c>
      <c r="F5105" t="s">
        <v>6577</v>
      </c>
    </row>
    <row r="5106" spans="1:6" x14ac:dyDescent="0.25">
      <c r="A5106" t="s">
        <v>6077</v>
      </c>
      <c r="B5106" t="s">
        <v>504</v>
      </c>
      <c r="C5106" t="s">
        <v>505</v>
      </c>
      <c r="D5106" t="str">
        <f>HYPERLINK("http://service.sap.com/sap/support/notes/1623723","1623723")</f>
        <v>1623723</v>
      </c>
      <c r="E5106">
        <v>1</v>
      </c>
      <c r="F5106" t="s">
        <v>6578</v>
      </c>
    </row>
    <row r="5107" spans="1:6" x14ac:dyDescent="0.25">
      <c r="A5107" t="s">
        <v>6077</v>
      </c>
      <c r="B5107" t="s">
        <v>504</v>
      </c>
      <c r="C5107" t="s">
        <v>505</v>
      </c>
      <c r="D5107" t="str">
        <f>HYPERLINK("http://service.sap.com/sap/support/notes/1644817","1644817")</f>
        <v>1644817</v>
      </c>
      <c r="E5107">
        <v>1</v>
      </c>
      <c r="F5107" t="s">
        <v>6579</v>
      </c>
    </row>
    <row r="5108" spans="1:6" x14ac:dyDescent="0.25">
      <c r="A5108" t="s">
        <v>6077</v>
      </c>
      <c r="B5108" t="s">
        <v>504</v>
      </c>
      <c r="C5108" t="s">
        <v>505</v>
      </c>
      <c r="D5108" t="str">
        <f>HYPERLINK("http://service.sap.com/sap/support/notes/1664662","1664662")</f>
        <v>1664662</v>
      </c>
      <c r="E5108">
        <v>2</v>
      </c>
      <c r="F5108" t="s">
        <v>6580</v>
      </c>
    </row>
    <row r="5109" spans="1:6" x14ac:dyDescent="0.25">
      <c r="A5109" t="s">
        <v>6077</v>
      </c>
      <c r="B5109" t="s">
        <v>504</v>
      </c>
      <c r="C5109" t="s">
        <v>505</v>
      </c>
      <c r="D5109" t="str">
        <f>HYPERLINK("http://service.sap.com/sap/support/notes/1665383","1665383")</f>
        <v>1665383</v>
      </c>
      <c r="E5109">
        <v>3</v>
      </c>
      <c r="F5109" t="s">
        <v>6581</v>
      </c>
    </row>
    <row r="5110" spans="1:6" x14ac:dyDescent="0.25">
      <c r="A5110" t="s">
        <v>6077</v>
      </c>
      <c r="B5110" t="s">
        <v>504</v>
      </c>
      <c r="C5110" t="s">
        <v>505</v>
      </c>
      <c r="D5110" t="str">
        <f>HYPERLINK("http://service.sap.com/sap/support/notes/1673860","1673860")</f>
        <v>1673860</v>
      </c>
      <c r="E5110">
        <v>1</v>
      </c>
      <c r="F5110" t="s">
        <v>6582</v>
      </c>
    </row>
    <row r="5111" spans="1:6" x14ac:dyDescent="0.25">
      <c r="A5111" t="s">
        <v>6077</v>
      </c>
      <c r="B5111" t="s">
        <v>504</v>
      </c>
      <c r="C5111" t="s">
        <v>505</v>
      </c>
      <c r="D5111" t="str">
        <f>HYPERLINK("http://service.sap.com/sap/support/notes/1674777","1674777")</f>
        <v>1674777</v>
      </c>
      <c r="E5111">
        <v>2</v>
      </c>
      <c r="F5111" t="s">
        <v>6583</v>
      </c>
    </row>
    <row r="5112" spans="1:6" x14ac:dyDescent="0.25">
      <c r="A5112" t="s">
        <v>6077</v>
      </c>
      <c r="B5112" t="s">
        <v>504</v>
      </c>
      <c r="C5112" t="s">
        <v>505</v>
      </c>
      <c r="D5112" t="str">
        <f>HYPERLINK("http://service.sap.com/sap/support/notes/1676044","1676044")</f>
        <v>1676044</v>
      </c>
      <c r="E5112">
        <v>2</v>
      </c>
      <c r="F5112" t="s">
        <v>6584</v>
      </c>
    </row>
    <row r="5113" spans="1:6" x14ac:dyDescent="0.25">
      <c r="A5113" t="s">
        <v>6077</v>
      </c>
      <c r="B5113" t="s">
        <v>504</v>
      </c>
      <c r="C5113" t="s">
        <v>505</v>
      </c>
      <c r="D5113" t="str">
        <f>HYPERLINK("http://service.sap.com/sap/support/notes/1676507","1676507")</f>
        <v>1676507</v>
      </c>
      <c r="E5113">
        <v>2</v>
      </c>
      <c r="F5113" t="s">
        <v>6585</v>
      </c>
    </row>
    <row r="5114" spans="1:6" x14ac:dyDescent="0.25">
      <c r="A5114" t="s">
        <v>6077</v>
      </c>
      <c r="B5114" t="s">
        <v>504</v>
      </c>
      <c r="C5114" t="s">
        <v>505</v>
      </c>
      <c r="D5114" t="str">
        <f>HYPERLINK("http://service.sap.com/sap/support/notes/1677562","1677562")</f>
        <v>1677562</v>
      </c>
      <c r="E5114">
        <v>3</v>
      </c>
      <c r="F5114" t="s">
        <v>6586</v>
      </c>
    </row>
    <row r="5115" spans="1:6" x14ac:dyDescent="0.25">
      <c r="A5115" t="s">
        <v>6077</v>
      </c>
      <c r="B5115" t="s">
        <v>504</v>
      </c>
      <c r="C5115" t="s">
        <v>505</v>
      </c>
      <c r="D5115" t="str">
        <f>HYPERLINK("http://service.sap.com/sap/support/notes/1677608","1677608")</f>
        <v>1677608</v>
      </c>
      <c r="E5115">
        <v>1</v>
      </c>
      <c r="F5115" t="s">
        <v>6587</v>
      </c>
    </row>
    <row r="5116" spans="1:6" x14ac:dyDescent="0.25">
      <c r="A5116" t="s">
        <v>6077</v>
      </c>
      <c r="B5116" t="s">
        <v>504</v>
      </c>
      <c r="C5116" t="s">
        <v>505</v>
      </c>
      <c r="D5116" t="str">
        <f>HYPERLINK("http://service.sap.com/sap/support/notes/1681513","1681513")</f>
        <v>1681513</v>
      </c>
      <c r="E5116">
        <v>5</v>
      </c>
      <c r="F5116" t="s">
        <v>6588</v>
      </c>
    </row>
    <row r="5117" spans="1:6" x14ac:dyDescent="0.25">
      <c r="A5117" t="s">
        <v>6077</v>
      </c>
      <c r="B5117" t="s">
        <v>504</v>
      </c>
      <c r="C5117" t="s">
        <v>505</v>
      </c>
      <c r="D5117" t="str">
        <f>HYPERLINK("http://service.sap.com/sap/support/notes/1682039","1682039")</f>
        <v>1682039</v>
      </c>
      <c r="E5117">
        <v>2</v>
      </c>
      <c r="F5117" t="s">
        <v>6589</v>
      </c>
    </row>
    <row r="5118" spans="1:6" x14ac:dyDescent="0.25">
      <c r="A5118" t="s">
        <v>6077</v>
      </c>
      <c r="B5118" t="s">
        <v>504</v>
      </c>
      <c r="C5118" t="s">
        <v>505</v>
      </c>
      <c r="D5118" t="str">
        <f>HYPERLINK("http://service.sap.com/sap/support/notes/1688325","1688325")</f>
        <v>1688325</v>
      </c>
      <c r="E5118">
        <v>1</v>
      </c>
      <c r="F5118" t="s">
        <v>6590</v>
      </c>
    </row>
    <row r="5119" spans="1:6" x14ac:dyDescent="0.25">
      <c r="A5119" t="s">
        <v>6077</v>
      </c>
      <c r="B5119" t="s">
        <v>511</v>
      </c>
      <c r="C5119" t="s">
        <v>394</v>
      </c>
      <c r="D5119" t="str">
        <f>HYPERLINK("http://service.sap.com/sap/support/notes/1672223","1672223")</f>
        <v>1672223</v>
      </c>
      <c r="E5119">
        <v>1</v>
      </c>
      <c r="F5119" t="s">
        <v>6591</v>
      </c>
    </row>
    <row r="5120" spans="1:6" x14ac:dyDescent="0.25">
      <c r="A5120" t="s">
        <v>6077</v>
      </c>
      <c r="B5120" t="s">
        <v>511</v>
      </c>
      <c r="C5120" t="s">
        <v>394</v>
      </c>
      <c r="D5120" t="str">
        <f>HYPERLINK("http://service.sap.com/sap/support/notes/1688422","1688422")</f>
        <v>1688422</v>
      </c>
      <c r="E5120">
        <v>1</v>
      </c>
      <c r="F5120" t="s">
        <v>6592</v>
      </c>
    </row>
    <row r="5121" spans="1:6" x14ac:dyDescent="0.25">
      <c r="A5121" t="s">
        <v>6077</v>
      </c>
      <c r="B5121" t="s">
        <v>514</v>
      </c>
      <c r="C5121" t="s">
        <v>14</v>
      </c>
      <c r="D5121" t="str">
        <f>HYPERLINK("http://service.sap.com/sap/support/notes/1655085","1655085")</f>
        <v>1655085</v>
      </c>
      <c r="E5121">
        <v>1</v>
      </c>
      <c r="F5121" t="s">
        <v>6593</v>
      </c>
    </row>
    <row r="5122" spans="1:6" x14ac:dyDescent="0.25">
      <c r="A5122" t="s">
        <v>6077</v>
      </c>
      <c r="B5122" t="s">
        <v>2853</v>
      </c>
      <c r="C5122" t="s">
        <v>2854</v>
      </c>
      <c r="D5122" t="str">
        <f>HYPERLINK("http://service.sap.com/sap/support/notes/1570831","1570831")</f>
        <v>1570831</v>
      </c>
      <c r="E5122">
        <v>2</v>
      </c>
      <c r="F5122" t="s">
        <v>6594</v>
      </c>
    </row>
    <row r="5123" spans="1:6" x14ac:dyDescent="0.25">
      <c r="A5123" t="s">
        <v>6077</v>
      </c>
      <c r="B5123" t="s">
        <v>2853</v>
      </c>
      <c r="C5123" t="s">
        <v>2854</v>
      </c>
      <c r="D5123" t="str">
        <f>HYPERLINK("http://service.sap.com/sap/support/notes/1618048","1618048")</f>
        <v>1618048</v>
      </c>
      <c r="E5123">
        <v>3</v>
      </c>
      <c r="F5123" t="s">
        <v>6595</v>
      </c>
    </row>
    <row r="5124" spans="1:6" x14ac:dyDescent="0.25">
      <c r="A5124" t="s">
        <v>6077</v>
      </c>
      <c r="B5124" t="s">
        <v>2853</v>
      </c>
      <c r="C5124" t="s">
        <v>2854</v>
      </c>
      <c r="D5124" t="str">
        <f>HYPERLINK("http://service.sap.com/sap/support/notes/1677153","1677153")</f>
        <v>1677153</v>
      </c>
      <c r="E5124">
        <v>1</v>
      </c>
      <c r="F5124" t="s">
        <v>6596</v>
      </c>
    </row>
    <row r="5125" spans="1:6" x14ac:dyDescent="0.25">
      <c r="A5125" t="s">
        <v>6077</v>
      </c>
      <c r="B5125" t="s">
        <v>2853</v>
      </c>
      <c r="C5125" t="s">
        <v>2854</v>
      </c>
      <c r="D5125" t="str">
        <f>HYPERLINK("http://service.sap.com/sap/support/notes/1678880","1678880")</f>
        <v>1678880</v>
      </c>
      <c r="E5125">
        <v>3</v>
      </c>
      <c r="F5125" t="s">
        <v>6597</v>
      </c>
    </row>
    <row r="5126" spans="1:6" x14ac:dyDescent="0.25">
      <c r="A5126" t="s">
        <v>6077</v>
      </c>
      <c r="B5126" t="s">
        <v>2853</v>
      </c>
      <c r="C5126" t="s">
        <v>2854</v>
      </c>
      <c r="D5126" t="str">
        <f>HYPERLINK("http://service.sap.com/sap/support/notes/1692619","1692619")</f>
        <v>1692619</v>
      </c>
      <c r="E5126">
        <v>2</v>
      </c>
      <c r="F5126" t="s">
        <v>6598</v>
      </c>
    </row>
    <row r="5127" spans="1:6" x14ac:dyDescent="0.25">
      <c r="A5127" t="s">
        <v>6077</v>
      </c>
      <c r="B5127" t="s">
        <v>517</v>
      </c>
      <c r="C5127" t="s">
        <v>409</v>
      </c>
      <c r="D5127" t="str">
        <f>HYPERLINK("http://service.sap.com/sap/support/notes/1689950","1689950")</f>
        <v>1689950</v>
      </c>
      <c r="E5127">
        <v>1</v>
      </c>
      <c r="F5127" t="s">
        <v>6599</v>
      </c>
    </row>
    <row r="5128" spans="1:6" x14ac:dyDescent="0.25">
      <c r="A5128" t="s">
        <v>6077</v>
      </c>
      <c r="B5128" t="s">
        <v>2869</v>
      </c>
      <c r="C5128" t="s">
        <v>350</v>
      </c>
      <c r="D5128" t="str">
        <f>HYPERLINK("http://service.sap.com/sap/support/notes/1067905","1067905")</f>
        <v>1067905</v>
      </c>
      <c r="E5128">
        <v>3</v>
      </c>
      <c r="F5128" t="s">
        <v>6600</v>
      </c>
    </row>
    <row r="5129" spans="1:6" x14ac:dyDescent="0.25">
      <c r="A5129" t="s">
        <v>6077</v>
      </c>
      <c r="B5129" t="s">
        <v>2869</v>
      </c>
      <c r="C5129" t="s">
        <v>350</v>
      </c>
      <c r="D5129" t="str">
        <f>HYPERLINK("http://service.sap.com/sap/support/notes/1616718","1616718")</f>
        <v>1616718</v>
      </c>
      <c r="E5129">
        <v>1</v>
      </c>
      <c r="F5129" t="s">
        <v>6601</v>
      </c>
    </row>
    <row r="5130" spans="1:6" x14ac:dyDescent="0.25">
      <c r="A5130" t="s">
        <v>6077</v>
      </c>
      <c r="B5130" t="s">
        <v>2869</v>
      </c>
      <c r="C5130" t="s">
        <v>350</v>
      </c>
      <c r="D5130" t="str">
        <f>HYPERLINK("http://service.sap.com/sap/support/notes/1617718","1617718")</f>
        <v>1617718</v>
      </c>
      <c r="E5130">
        <v>1</v>
      </c>
      <c r="F5130" t="s">
        <v>2871</v>
      </c>
    </row>
    <row r="5131" spans="1:6" x14ac:dyDescent="0.25">
      <c r="A5131" t="s">
        <v>6077</v>
      </c>
      <c r="B5131" t="s">
        <v>2869</v>
      </c>
      <c r="C5131" t="s">
        <v>350</v>
      </c>
      <c r="D5131" t="str">
        <f>HYPERLINK("http://service.sap.com/sap/support/notes/1626247","1626247")</f>
        <v>1626247</v>
      </c>
      <c r="E5131">
        <v>1</v>
      </c>
      <c r="F5131" t="s">
        <v>6602</v>
      </c>
    </row>
    <row r="5132" spans="1:6" x14ac:dyDescent="0.25">
      <c r="A5132" t="s">
        <v>6077</v>
      </c>
      <c r="B5132" t="s">
        <v>2869</v>
      </c>
      <c r="C5132" t="s">
        <v>350</v>
      </c>
      <c r="D5132" t="str">
        <f>HYPERLINK("http://service.sap.com/sap/support/notes/1641275","1641275")</f>
        <v>1641275</v>
      </c>
      <c r="E5132">
        <v>1</v>
      </c>
      <c r="F5132" t="s">
        <v>6603</v>
      </c>
    </row>
    <row r="5133" spans="1:6" x14ac:dyDescent="0.25">
      <c r="A5133" t="s">
        <v>6077</v>
      </c>
      <c r="B5133" t="s">
        <v>2869</v>
      </c>
      <c r="C5133" t="s">
        <v>350</v>
      </c>
      <c r="D5133" t="str">
        <f>HYPERLINK("http://service.sap.com/sap/support/notes/1660506","1660506")</f>
        <v>1660506</v>
      </c>
      <c r="E5133">
        <v>1</v>
      </c>
      <c r="F5133" t="s">
        <v>6604</v>
      </c>
    </row>
    <row r="5134" spans="1:6" x14ac:dyDescent="0.25">
      <c r="A5134" t="s">
        <v>6077</v>
      </c>
      <c r="B5134" t="s">
        <v>2869</v>
      </c>
      <c r="C5134" t="s">
        <v>350</v>
      </c>
      <c r="D5134" t="str">
        <f>HYPERLINK("http://service.sap.com/sap/support/notes/1665883","1665883")</f>
        <v>1665883</v>
      </c>
      <c r="E5134">
        <v>1</v>
      </c>
      <c r="F5134" t="s">
        <v>6605</v>
      </c>
    </row>
    <row r="5135" spans="1:6" x14ac:dyDescent="0.25">
      <c r="A5135" t="s">
        <v>6077</v>
      </c>
      <c r="B5135" t="s">
        <v>2869</v>
      </c>
      <c r="C5135" t="s">
        <v>350</v>
      </c>
      <c r="D5135" t="str">
        <f>HYPERLINK("http://service.sap.com/sap/support/notes/1666580","1666580")</f>
        <v>1666580</v>
      </c>
      <c r="E5135">
        <v>9</v>
      </c>
      <c r="F5135" t="s">
        <v>6606</v>
      </c>
    </row>
    <row r="5136" spans="1:6" x14ac:dyDescent="0.25">
      <c r="A5136" t="s">
        <v>6077</v>
      </c>
      <c r="B5136" t="s">
        <v>2869</v>
      </c>
      <c r="C5136" t="s">
        <v>350</v>
      </c>
      <c r="D5136" t="str">
        <f>HYPERLINK("http://service.sap.com/sap/support/notes/1675461","1675461")</f>
        <v>1675461</v>
      </c>
      <c r="E5136">
        <v>1</v>
      </c>
      <c r="F5136" t="s">
        <v>6607</v>
      </c>
    </row>
    <row r="5137" spans="1:6" x14ac:dyDescent="0.25">
      <c r="A5137" t="s">
        <v>6077</v>
      </c>
      <c r="B5137" t="s">
        <v>2869</v>
      </c>
      <c r="C5137" t="s">
        <v>350</v>
      </c>
      <c r="D5137" t="str">
        <f>HYPERLINK("http://service.sap.com/sap/support/notes/1679182","1679182")</f>
        <v>1679182</v>
      </c>
      <c r="E5137">
        <v>1</v>
      </c>
      <c r="F5137" t="s">
        <v>6608</v>
      </c>
    </row>
    <row r="5138" spans="1:6" x14ac:dyDescent="0.25">
      <c r="A5138" t="s">
        <v>6077</v>
      </c>
      <c r="B5138" t="s">
        <v>2869</v>
      </c>
      <c r="C5138" t="s">
        <v>350</v>
      </c>
      <c r="D5138" t="str">
        <f>HYPERLINK("http://service.sap.com/sap/support/notes/1680341","1680341")</f>
        <v>1680341</v>
      </c>
      <c r="E5138">
        <v>2</v>
      </c>
      <c r="F5138" t="s">
        <v>6609</v>
      </c>
    </row>
    <row r="5139" spans="1:6" x14ac:dyDescent="0.25">
      <c r="A5139" t="s">
        <v>6077</v>
      </c>
      <c r="B5139" t="s">
        <v>2877</v>
      </c>
      <c r="C5139" t="s">
        <v>2878</v>
      </c>
    </row>
    <row r="5140" spans="1:6" x14ac:dyDescent="0.25">
      <c r="A5140" t="s">
        <v>6077</v>
      </c>
      <c r="B5140" t="s">
        <v>2879</v>
      </c>
      <c r="C5140" t="s">
        <v>2880</v>
      </c>
      <c r="D5140" t="str">
        <f>HYPERLINK("http://service.sap.com/sap/support/notes/1651596","1651596")</f>
        <v>1651596</v>
      </c>
      <c r="E5140">
        <v>4</v>
      </c>
      <c r="F5140" t="s">
        <v>6610</v>
      </c>
    </row>
    <row r="5141" spans="1:6" x14ac:dyDescent="0.25">
      <c r="A5141" t="s">
        <v>6077</v>
      </c>
      <c r="B5141" t="s">
        <v>2879</v>
      </c>
      <c r="C5141" t="s">
        <v>2880</v>
      </c>
      <c r="D5141" t="str">
        <f>HYPERLINK("http://service.sap.com/sap/support/notes/1664591","1664591")</f>
        <v>1664591</v>
      </c>
      <c r="E5141">
        <v>1</v>
      </c>
      <c r="F5141" t="s">
        <v>6611</v>
      </c>
    </row>
    <row r="5142" spans="1:6" x14ac:dyDescent="0.25">
      <c r="A5142" t="s">
        <v>6077</v>
      </c>
      <c r="B5142" t="s">
        <v>2879</v>
      </c>
      <c r="C5142" t="s">
        <v>2880</v>
      </c>
      <c r="D5142" t="str">
        <f>HYPERLINK("http://service.sap.com/sap/support/notes/1677284","1677284")</f>
        <v>1677284</v>
      </c>
      <c r="E5142">
        <v>1</v>
      </c>
      <c r="F5142" t="s">
        <v>6612</v>
      </c>
    </row>
    <row r="5143" spans="1:6" x14ac:dyDescent="0.25">
      <c r="A5143" t="s">
        <v>6077</v>
      </c>
      <c r="B5143" t="s">
        <v>2879</v>
      </c>
      <c r="C5143" t="s">
        <v>2880</v>
      </c>
      <c r="D5143" t="str">
        <f>HYPERLINK("http://service.sap.com/sap/support/notes/1684086","1684086")</f>
        <v>1684086</v>
      </c>
      <c r="E5143">
        <v>3</v>
      </c>
      <c r="F5143" t="s">
        <v>6613</v>
      </c>
    </row>
    <row r="5144" spans="1:6" x14ac:dyDescent="0.25">
      <c r="A5144" t="s">
        <v>6077</v>
      </c>
      <c r="B5144" t="s">
        <v>2886</v>
      </c>
      <c r="C5144" t="s">
        <v>2887</v>
      </c>
      <c r="D5144" t="str">
        <f>HYPERLINK("http://service.sap.com/sap/support/notes/1629318","1629318")</f>
        <v>1629318</v>
      </c>
      <c r="E5144">
        <v>2</v>
      </c>
      <c r="F5144" t="s">
        <v>2890</v>
      </c>
    </row>
    <row r="5145" spans="1:6" x14ac:dyDescent="0.25">
      <c r="A5145" t="s">
        <v>6077</v>
      </c>
      <c r="B5145" t="s">
        <v>2886</v>
      </c>
      <c r="C5145" t="s">
        <v>2887</v>
      </c>
      <c r="D5145" t="str">
        <f>HYPERLINK("http://service.sap.com/sap/support/notes/1661117","1661117")</f>
        <v>1661117</v>
      </c>
      <c r="E5145">
        <v>1</v>
      </c>
      <c r="F5145" t="s">
        <v>6614</v>
      </c>
    </row>
    <row r="5146" spans="1:6" x14ac:dyDescent="0.25">
      <c r="A5146" t="s">
        <v>6077</v>
      </c>
      <c r="B5146" t="s">
        <v>2886</v>
      </c>
      <c r="C5146" t="s">
        <v>2887</v>
      </c>
      <c r="D5146" t="str">
        <f>HYPERLINK("http://service.sap.com/sap/support/notes/1674639","1674639")</f>
        <v>1674639</v>
      </c>
      <c r="E5146">
        <v>2</v>
      </c>
      <c r="F5146" t="s">
        <v>6615</v>
      </c>
    </row>
    <row r="5147" spans="1:6" x14ac:dyDescent="0.25">
      <c r="A5147" t="s">
        <v>6077</v>
      </c>
      <c r="B5147" t="s">
        <v>2886</v>
      </c>
      <c r="C5147" t="s">
        <v>2887</v>
      </c>
      <c r="D5147" t="str">
        <f>HYPERLINK("http://service.sap.com/sap/support/notes/1677539","1677539")</f>
        <v>1677539</v>
      </c>
      <c r="E5147">
        <v>3</v>
      </c>
      <c r="F5147" t="s">
        <v>6616</v>
      </c>
    </row>
    <row r="5148" spans="1:6" x14ac:dyDescent="0.25">
      <c r="A5148" t="s">
        <v>6077</v>
      </c>
      <c r="B5148" t="s">
        <v>2886</v>
      </c>
      <c r="C5148" t="s">
        <v>2887</v>
      </c>
      <c r="D5148" t="str">
        <f>HYPERLINK("http://service.sap.com/sap/support/notes/1683456","1683456")</f>
        <v>1683456</v>
      </c>
      <c r="E5148">
        <v>2</v>
      </c>
      <c r="F5148" t="s">
        <v>6617</v>
      </c>
    </row>
    <row r="5149" spans="1:6" x14ac:dyDescent="0.25">
      <c r="A5149" t="s">
        <v>6077</v>
      </c>
      <c r="B5149" t="s">
        <v>2886</v>
      </c>
      <c r="C5149" t="s">
        <v>2887</v>
      </c>
      <c r="D5149" t="str">
        <f>HYPERLINK("http://service.sap.com/sap/support/notes/1684679","1684679")</f>
        <v>1684679</v>
      </c>
      <c r="E5149">
        <v>1</v>
      </c>
      <c r="F5149" t="s">
        <v>6618</v>
      </c>
    </row>
    <row r="5150" spans="1:6" x14ac:dyDescent="0.25">
      <c r="A5150" t="s">
        <v>6077</v>
      </c>
      <c r="B5150" t="s">
        <v>2886</v>
      </c>
      <c r="C5150" t="s">
        <v>2887</v>
      </c>
      <c r="D5150" t="str">
        <f>HYPERLINK("http://service.sap.com/sap/support/notes/1684748","1684748")</f>
        <v>1684748</v>
      </c>
      <c r="E5150">
        <v>2</v>
      </c>
      <c r="F5150" t="s">
        <v>6619</v>
      </c>
    </row>
    <row r="5151" spans="1:6" x14ac:dyDescent="0.25">
      <c r="A5151" t="s">
        <v>6077</v>
      </c>
      <c r="B5151" t="s">
        <v>2886</v>
      </c>
      <c r="C5151" t="s">
        <v>2887</v>
      </c>
      <c r="D5151" t="str">
        <f>HYPERLINK("http://service.sap.com/sap/support/notes/1687570","1687570")</f>
        <v>1687570</v>
      </c>
      <c r="E5151">
        <v>1</v>
      </c>
      <c r="F5151" t="s">
        <v>6620</v>
      </c>
    </row>
    <row r="5152" spans="1:6" x14ac:dyDescent="0.25">
      <c r="A5152" t="s">
        <v>6077</v>
      </c>
      <c r="B5152" t="s">
        <v>2886</v>
      </c>
      <c r="C5152" t="s">
        <v>2887</v>
      </c>
      <c r="D5152" t="str">
        <f>HYPERLINK("http://service.sap.com/sap/support/notes/1694903","1694903")</f>
        <v>1694903</v>
      </c>
      <c r="E5152">
        <v>1</v>
      </c>
      <c r="F5152" t="s">
        <v>6621</v>
      </c>
    </row>
    <row r="5153" spans="1:6" x14ac:dyDescent="0.25">
      <c r="A5153" t="s">
        <v>6077</v>
      </c>
      <c r="B5153" t="s">
        <v>2897</v>
      </c>
      <c r="C5153" t="s">
        <v>2898</v>
      </c>
      <c r="D5153" t="str">
        <f>HYPERLINK("http://service.sap.com/sap/support/notes/1589176","1589176")</f>
        <v>1589176</v>
      </c>
      <c r="E5153">
        <v>2</v>
      </c>
      <c r="F5153" t="s">
        <v>6622</v>
      </c>
    </row>
    <row r="5154" spans="1:6" x14ac:dyDescent="0.25">
      <c r="A5154" t="s">
        <v>6077</v>
      </c>
      <c r="B5154" t="s">
        <v>2900</v>
      </c>
      <c r="C5154" t="s">
        <v>2887</v>
      </c>
      <c r="D5154" t="str">
        <f>HYPERLINK("http://service.sap.com/sap/support/notes/1674191","1674191")</f>
        <v>1674191</v>
      </c>
      <c r="E5154">
        <v>2</v>
      </c>
      <c r="F5154" t="s">
        <v>6623</v>
      </c>
    </row>
    <row r="5155" spans="1:6" x14ac:dyDescent="0.25">
      <c r="A5155" t="s">
        <v>6077</v>
      </c>
      <c r="B5155" t="s">
        <v>2900</v>
      </c>
      <c r="C5155" t="s">
        <v>2887</v>
      </c>
      <c r="D5155" t="str">
        <f>HYPERLINK("http://service.sap.com/sap/support/notes/1686832","1686832")</f>
        <v>1686832</v>
      </c>
      <c r="E5155">
        <v>2</v>
      </c>
      <c r="F5155" t="s">
        <v>6624</v>
      </c>
    </row>
    <row r="5156" spans="1:6" x14ac:dyDescent="0.25">
      <c r="A5156" t="s">
        <v>6077</v>
      </c>
      <c r="B5156" t="s">
        <v>2900</v>
      </c>
      <c r="C5156" t="s">
        <v>2887</v>
      </c>
      <c r="D5156" t="str">
        <f>HYPERLINK("http://service.sap.com/sap/support/notes/1693664","1693664")</f>
        <v>1693664</v>
      </c>
      <c r="E5156">
        <v>1</v>
      </c>
      <c r="F5156" t="s">
        <v>6625</v>
      </c>
    </row>
    <row r="5157" spans="1:6" x14ac:dyDescent="0.25">
      <c r="A5157" t="s">
        <v>6077</v>
      </c>
      <c r="B5157" t="s">
        <v>2900</v>
      </c>
      <c r="C5157" t="s">
        <v>2887</v>
      </c>
      <c r="D5157" t="str">
        <f>HYPERLINK("http://service.sap.com/sap/support/notes/1693804","1693804")</f>
        <v>1693804</v>
      </c>
      <c r="E5157">
        <v>2</v>
      </c>
      <c r="F5157" t="s">
        <v>6626</v>
      </c>
    </row>
    <row r="5158" spans="1:6" x14ac:dyDescent="0.25">
      <c r="A5158" t="s">
        <v>6077</v>
      </c>
      <c r="B5158" t="s">
        <v>2909</v>
      </c>
      <c r="C5158" t="s">
        <v>2887</v>
      </c>
      <c r="D5158" t="str">
        <f>HYPERLINK("http://service.sap.com/sap/support/notes/1659618","1659618")</f>
        <v>1659618</v>
      </c>
      <c r="E5158">
        <v>3</v>
      </c>
      <c r="F5158" t="s">
        <v>6627</v>
      </c>
    </row>
    <row r="5159" spans="1:6" x14ac:dyDescent="0.25">
      <c r="A5159" t="s">
        <v>6077</v>
      </c>
      <c r="B5159" t="s">
        <v>2909</v>
      </c>
      <c r="C5159" t="s">
        <v>2887</v>
      </c>
      <c r="D5159" t="str">
        <f>HYPERLINK("http://service.sap.com/sap/support/notes/1663555","1663555")</f>
        <v>1663555</v>
      </c>
      <c r="E5159">
        <v>1</v>
      </c>
      <c r="F5159" t="s">
        <v>2925</v>
      </c>
    </row>
    <row r="5160" spans="1:6" x14ac:dyDescent="0.25">
      <c r="A5160" t="s">
        <v>6077</v>
      </c>
      <c r="B5160" t="s">
        <v>2909</v>
      </c>
      <c r="C5160" t="s">
        <v>2887</v>
      </c>
      <c r="D5160" t="str">
        <f>HYPERLINK("http://service.sap.com/sap/support/notes/1677834","1677834")</f>
        <v>1677834</v>
      </c>
      <c r="E5160">
        <v>1</v>
      </c>
      <c r="F5160" t="s">
        <v>6628</v>
      </c>
    </row>
    <row r="5161" spans="1:6" x14ac:dyDescent="0.25">
      <c r="A5161" t="s">
        <v>6077</v>
      </c>
      <c r="B5161" t="s">
        <v>2909</v>
      </c>
      <c r="C5161" t="s">
        <v>2887</v>
      </c>
      <c r="D5161" t="str">
        <f>HYPERLINK("http://service.sap.com/sap/support/notes/1683439","1683439")</f>
        <v>1683439</v>
      </c>
      <c r="E5161">
        <v>1</v>
      </c>
      <c r="F5161" t="s">
        <v>6629</v>
      </c>
    </row>
    <row r="5162" spans="1:6" x14ac:dyDescent="0.25">
      <c r="A5162" t="s">
        <v>6077</v>
      </c>
      <c r="B5162" t="s">
        <v>2909</v>
      </c>
      <c r="C5162" t="s">
        <v>2887</v>
      </c>
      <c r="D5162" t="str">
        <f>HYPERLINK("http://service.sap.com/sap/support/notes/1685927","1685927")</f>
        <v>1685927</v>
      </c>
      <c r="E5162">
        <v>2</v>
      </c>
      <c r="F5162" t="s">
        <v>6630</v>
      </c>
    </row>
    <row r="5163" spans="1:6" x14ac:dyDescent="0.25">
      <c r="A5163" t="s">
        <v>6077</v>
      </c>
      <c r="B5163" t="s">
        <v>2909</v>
      </c>
      <c r="C5163" t="s">
        <v>2887</v>
      </c>
      <c r="D5163" t="str">
        <f>HYPERLINK("http://service.sap.com/sap/support/notes/1690702","1690702")</f>
        <v>1690702</v>
      </c>
      <c r="E5163">
        <v>1</v>
      </c>
      <c r="F5163" t="s">
        <v>6631</v>
      </c>
    </row>
    <row r="5164" spans="1:6" x14ac:dyDescent="0.25">
      <c r="A5164" t="s">
        <v>6077</v>
      </c>
      <c r="B5164" t="s">
        <v>2938</v>
      </c>
      <c r="C5164" t="s">
        <v>2939</v>
      </c>
    </row>
    <row r="5165" spans="1:6" x14ac:dyDescent="0.25">
      <c r="A5165" t="s">
        <v>6077</v>
      </c>
      <c r="B5165" t="s">
        <v>2940</v>
      </c>
      <c r="C5165" t="s">
        <v>350</v>
      </c>
    </row>
    <row r="5166" spans="1:6" x14ac:dyDescent="0.25">
      <c r="A5166" t="s">
        <v>6077</v>
      </c>
      <c r="B5166" t="s">
        <v>2941</v>
      </c>
      <c r="C5166" t="s">
        <v>2942</v>
      </c>
      <c r="D5166" t="str">
        <f>HYPERLINK("http://service.sap.com/sap/support/notes/1676114","1676114")</f>
        <v>1676114</v>
      </c>
      <c r="E5166">
        <v>1</v>
      </c>
      <c r="F5166" t="s">
        <v>6632</v>
      </c>
    </row>
    <row r="5167" spans="1:6" x14ac:dyDescent="0.25">
      <c r="A5167" t="s">
        <v>6077</v>
      </c>
      <c r="B5167" t="s">
        <v>2949</v>
      </c>
      <c r="C5167" t="s">
        <v>337</v>
      </c>
    </row>
    <row r="5168" spans="1:6" x14ac:dyDescent="0.25">
      <c r="A5168" t="s">
        <v>6077</v>
      </c>
      <c r="B5168" t="s">
        <v>2967</v>
      </c>
      <c r="C5168" t="s">
        <v>1845</v>
      </c>
      <c r="D5168" t="str">
        <f>HYPERLINK("http://service.sap.com/sap/support/notes/1663849","1663849")</f>
        <v>1663849</v>
      </c>
      <c r="E5168">
        <v>1</v>
      </c>
      <c r="F5168" t="s">
        <v>6633</v>
      </c>
    </row>
    <row r="5169" spans="1:6" x14ac:dyDescent="0.25">
      <c r="A5169" t="s">
        <v>6077</v>
      </c>
      <c r="B5169" t="s">
        <v>2967</v>
      </c>
      <c r="C5169" t="s">
        <v>1845</v>
      </c>
      <c r="D5169" t="str">
        <f>HYPERLINK("http://service.sap.com/sap/support/notes/1675838","1675838")</f>
        <v>1675838</v>
      </c>
      <c r="E5169">
        <v>1</v>
      </c>
      <c r="F5169" t="s">
        <v>6634</v>
      </c>
    </row>
    <row r="5170" spans="1:6" x14ac:dyDescent="0.25">
      <c r="A5170" t="s">
        <v>6077</v>
      </c>
      <c r="B5170" t="s">
        <v>2967</v>
      </c>
      <c r="C5170" t="s">
        <v>1845</v>
      </c>
      <c r="D5170" t="str">
        <f>HYPERLINK("http://service.sap.com/sap/support/notes/1695363","1695363")</f>
        <v>1695363</v>
      </c>
      <c r="E5170">
        <v>1</v>
      </c>
      <c r="F5170" t="s">
        <v>6635</v>
      </c>
    </row>
    <row r="5171" spans="1:6" x14ac:dyDescent="0.25">
      <c r="A5171" t="s">
        <v>6077</v>
      </c>
      <c r="B5171" t="s">
        <v>2972</v>
      </c>
      <c r="C5171" t="s">
        <v>2973</v>
      </c>
      <c r="D5171" t="str">
        <f>HYPERLINK("http://service.sap.com/sap/support/notes/1695350","1695350")</f>
        <v>1695350</v>
      </c>
      <c r="E5171">
        <v>1</v>
      </c>
      <c r="F5171" t="s">
        <v>6636</v>
      </c>
    </row>
    <row r="5172" spans="1:6" x14ac:dyDescent="0.25">
      <c r="A5172" t="s">
        <v>6077</v>
      </c>
      <c r="B5172" t="s">
        <v>2978</v>
      </c>
      <c r="C5172" t="s">
        <v>6637</v>
      </c>
      <c r="D5172" t="str">
        <f>HYPERLINK("http://service.sap.com/sap/support/notes/1673997","1673997")</f>
        <v>1673997</v>
      </c>
      <c r="E5172">
        <v>8</v>
      </c>
      <c r="F5172" t="s">
        <v>6638</v>
      </c>
    </row>
    <row r="5173" spans="1:6" x14ac:dyDescent="0.25">
      <c r="A5173" t="s">
        <v>6077</v>
      </c>
      <c r="B5173" t="s">
        <v>2978</v>
      </c>
      <c r="C5173" t="s">
        <v>6637</v>
      </c>
      <c r="D5173" t="str">
        <f>HYPERLINK("http://service.sap.com/sap/support/notes/1681013","1681013")</f>
        <v>1681013</v>
      </c>
      <c r="E5173">
        <v>1</v>
      </c>
      <c r="F5173" t="s">
        <v>6639</v>
      </c>
    </row>
    <row r="5174" spans="1:6" x14ac:dyDescent="0.25">
      <c r="A5174" t="s">
        <v>6077</v>
      </c>
      <c r="B5174" t="s">
        <v>2980</v>
      </c>
      <c r="C5174" t="s">
        <v>2981</v>
      </c>
      <c r="D5174" t="str">
        <f>HYPERLINK("http://service.sap.com/sap/support/notes/1652992","1652992")</f>
        <v>1652992</v>
      </c>
      <c r="E5174">
        <v>12</v>
      </c>
      <c r="F5174" t="s">
        <v>6640</v>
      </c>
    </row>
    <row r="5175" spans="1:6" x14ac:dyDescent="0.25">
      <c r="A5175" t="s">
        <v>6077</v>
      </c>
      <c r="B5175" t="s">
        <v>2980</v>
      </c>
      <c r="C5175" t="s">
        <v>2981</v>
      </c>
      <c r="D5175" t="str">
        <f>HYPERLINK("http://service.sap.com/sap/support/notes/1673011","1673011")</f>
        <v>1673011</v>
      </c>
      <c r="E5175">
        <v>2</v>
      </c>
      <c r="F5175" t="s">
        <v>6641</v>
      </c>
    </row>
    <row r="5176" spans="1:6" x14ac:dyDescent="0.25">
      <c r="A5176" t="s">
        <v>6077</v>
      </c>
      <c r="B5176" t="s">
        <v>2980</v>
      </c>
      <c r="C5176" t="s">
        <v>2981</v>
      </c>
      <c r="D5176" t="str">
        <f>HYPERLINK("http://service.sap.com/sap/support/notes/1684432","1684432")</f>
        <v>1684432</v>
      </c>
      <c r="E5176">
        <v>8</v>
      </c>
      <c r="F5176" t="s">
        <v>6642</v>
      </c>
    </row>
    <row r="5177" spans="1:6" x14ac:dyDescent="0.25">
      <c r="A5177" t="s">
        <v>6077</v>
      </c>
      <c r="B5177" t="s">
        <v>522</v>
      </c>
      <c r="C5177" t="s">
        <v>523</v>
      </c>
    </row>
    <row r="5178" spans="1:6" x14ac:dyDescent="0.25">
      <c r="A5178" t="s">
        <v>6077</v>
      </c>
      <c r="B5178" t="s">
        <v>524</v>
      </c>
      <c r="C5178" t="s">
        <v>525</v>
      </c>
      <c r="D5178" t="str">
        <f>HYPERLINK("http://service.sap.com/sap/support/notes/1610148","1610148")</f>
        <v>1610148</v>
      </c>
      <c r="E5178">
        <v>1</v>
      </c>
      <c r="F5178" t="s">
        <v>526</v>
      </c>
    </row>
    <row r="5179" spans="1:6" x14ac:dyDescent="0.25">
      <c r="A5179" t="s">
        <v>6077</v>
      </c>
      <c r="B5179" t="s">
        <v>527</v>
      </c>
      <c r="C5179" t="s">
        <v>528</v>
      </c>
    </row>
    <row r="5180" spans="1:6" x14ac:dyDescent="0.25">
      <c r="A5180" t="s">
        <v>6077</v>
      </c>
      <c r="B5180" t="s">
        <v>529</v>
      </c>
      <c r="C5180" t="s">
        <v>530</v>
      </c>
    </row>
    <row r="5181" spans="1:6" x14ac:dyDescent="0.25">
      <c r="A5181" t="s">
        <v>6077</v>
      </c>
      <c r="B5181" t="s">
        <v>531</v>
      </c>
      <c r="C5181" t="s">
        <v>532</v>
      </c>
      <c r="D5181" t="str">
        <f>HYPERLINK("http://service.sap.com/sap/support/notes/1680470","1680470")</f>
        <v>1680470</v>
      </c>
      <c r="E5181">
        <v>1</v>
      </c>
      <c r="F5181" t="s">
        <v>6643</v>
      </c>
    </row>
    <row r="5182" spans="1:6" x14ac:dyDescent="0.25">
      <c r="A5182" t="s">
        <v>6077</v>
      </c>
      <c r="B5182" t="s">
        <v>531</v>
      </c>
      <c r="C5182" t="s">
        <v>532</v>
      </c>
      <c r="D5182" t="str">
        <f>HYPERLINK("http://service.sap.com/sap/support/notes/1693263","1693263")</f>
        <v>1693263</v>
      </c>
      <c r="E5182">
        <v>1</v>
      </c>
      <c r="F5182" t="s">
        <v>6644</v>
      </c>
    </row>
    <row r="5183" spans="1:6" x14ac:dyDescent="0.25">
      <c r="A5183" t="s">
        <v>6077</v>
      </c>
      <c r="B5183" t="s">
        <v>531</v>
      </c>
      <c r="C5183" t="s">
        <v>532</v>
      </c>
      <c r="D5183" t="str">
        <f>HYPERLINK("http://service.sap.com/sap/support/notes/1693725","1693725")</f>
        <v>1693725</v>
      </c>
      <c r="E5183">
        <v>1</v>
      </c>
      <c r="F5183" t="s">
        <v>6645</v>
      </c>
    </row>
    <row r="5184" spans="1:6" x14ac:dyDescent="0.25">
      <c r="A5184" t="s">
        <v>6077</v>
      </c>
      <c r="B5184" t="s">
        <v>531</v>
      </c>
      <c r="C5184" t="s">
        <v>532</v>
      </c>
      <c r="D5184" t="str">
        <f>HYPERLINK("http://service.sap.com/sap/support/notes/1693992","1693992")</f>
        <v>1693992</v>
      </c>
      <c r="E5184">
        <v>2</v>
      </c>
      <c r="F5184" t="s">
        <v>6646</v>
      </c>
    </row>
    <row r="5185" spans="1:6" x14ac:dyDescent="0.25">
      <c r="A5185" t="s">
        <v>6077</v>
      </c>
      <c r="B5185" t="s">
        <v>3008</v>
      </c>
      <c r="C5185" t="s">
        <v>3009</v>
      </c>
    </row>
    <row r="5186" spans="1:6" x14ac:dyDescent="0.25">
      <c r="A5186" t="s">
        <v>6077</v>
      </c>
      <c r="B5186" t="s">
        <v>3010</v>
      </c>
      <c r="C5186" t="s">
        <v>3011</v>
      </c>
      <c r="D5186" t="str">
        <f>HYPERLINK("http://service.sap.com/sap/support/notes/1680934","1680934")</f>
        <v>1680934</v>
      </c>
      <c r="E5186">
        <v>2</v>
      </c>
      <c r="F5186" t="s">
        <v>6647</v>
      </c>
    </row>
    <row r="5187" spans="1:6" x14ac:dyDescent="0.25">
      <c r="A5187" t="s">
        <v>6077</v>
      </c>
      <c r="B5187" t="s">
        <v>3010</v>
      </c>
      <c r="C5187" t="s">
        <v>3011</v>
      </c>
      <c r="D5187" t="str">
        <f>HYPERLINK("http://service.sap.com/sap/support/notes/1685489","1685489")</f>
        <v>1685489</v>
      </c>
      <c r="E5187">
        <v>1</v>
      </c>
      <c r="F5187" t="s">
        <v>6648</v>
      </c>
    </row>
    <row r="5188" spans="1:6" x14ac:dyDescent="0.25">
      <c r="A5188" t="s">
        <v>6077</v>
      </c>
      <c r="B5188" t="s">
        <v>539</v>
      </c>
      <c r="C5188" t="s">
        <v>540</v>
      </c>
      <c r="D5188" t="str">
        <f>HYPERLINK("http://service.sap.com/sap/support/notes/1659373","1659373")</f>
        <v>1659373</v>
      </c>
      <c r="E5188">
        <v>2</v>
      </c>
      <c r="F5188" t="s">
        <v>6649</v>
      </c>
    </row>
    <row r="5189" spans="1:6" x14ac:dyDescent="0.25">
      <c r="A5189" t="s">
        <v>6077</v>
      </c>
      <c r="B5189" t="s">
        <v>539</v>
      </c>
      <c r="C5189" t="s">
        <v>540</v>
      </c>
      <c r="D5189" t="str">
        <f>HYPERLINK("http://service.sap.com/sap/support/notes/1661874","1661874")</f>
        <v>1661874</v>
      </c>
      <c r="E5189">
        <v>1</v>
      </c>
      <c r="F5189" t="s">
        <v>6650</v>
      </c>
    </row>
    <row r="5190" spans="1:6" x14ac:dyDescent="0.25">
      <c r="A5190" t="s">
        <v>6077</v>
      </c>
      <c r="B5190" t="s">
        <v>539</v>
      </c>
      <c r="C5190" t="s">
        <v>540</v>
      </c>
      <c r="D5190" t="str">
        <f>HYPERLINK("http://service.sap.com/sap/support/notes/1671339","1671339")</f>
        <v>1671339</v>
      </c>
      <c r="E5190">
        <v>2</v>
      </c>
      <c r="F5190" t="s">
        <v>6651</v>
      </c>
    </row>
    <row r="5191" spans="1:6" x14ac:dyDescent="0.25">
      <c r="A5191" t="s">
        <v>6077</v>
      </c>
      <c r="B5191" t="s">
        <v>539</v>
      </c>
      <c r="C5191" t="s">
        <v>540</v>
      </c>
      <c r="D5191" t="str">
        <f>HYPERLINK("http://service.sap.com/sap/support/notes/1679089","1679089")</f>
        <v>1679089</v>
      </c>
      <c r="E5191">
        <v>3</v>
      </c>
      <c r="F5191" t="s">
        <v>6652</v>
      </c>
    </row>
    <row r="5192" spans="1:6" x14ac:dyDescent="0.25">
      <c r="A5192" t="s">
        <v>6077</v>
      </c>
      <c r="B5192" t="s">
        <v>539</v>
      </c>
      <c r="C5192" t="s">
        <v>540</v>
      </c>
      <c r="D5192" t="str">
        <f>HYPERLINK("http://service.sap.com/sap/support/notes/1680173","1680173")</f>
        <v>1680173</v>
      </c>
      <c r="E5192">
        <v>2</v>
      </c>
      <c r="F5192" t="s">
        <v>6653</v>
      </c>
    </row>
    <row r="5193" spans="1:6" x14ac:dyDescent="0.25">
      <c r="A5193" t="s">
        <v>6077</v>
      </c>
      <c r="B5193" t="s">
        <v>539</v>
      </c>
      <c r="C5193" t="s">
        <v>540</v>
      </c>
      <c r="D5193" t="str">
        <f>HYPERLINK("http://service.sap.com/sap/support/notes/1686767","1686767")</f>
        <v>1686767</v>
      </c>
      <c r="E5193">
        <v>1</v>
      </c>
      <c r="F5193" t="s">
        <v>6654</v>
      </c>
    </row>
    <row r="5194" spans="1:6" x14ac:dyDescent="0.25">
      <c r="A5194" t="s">
        <v>6077</v>
      </c>
      <c r="B5194" t="s">
        <v>553</v>
      </c>
      <c r="C5194" t="s">
        <v>554</v>
      </c>
    </row>
    <row r="5195" spans="1:6" x14ac:dyDescent="0.25">
      <c r="A5195" t="s">
        <v>6077</v>
      </c>
      <c r="B5195" t="s">
        <v>3033</v>
      </c>
      <c r="C5195" t="s">
        <v>337</v>
      </c>
      <c r="D5195" t="str">
        <f>HYPERLINK("http://service.sap.com/sap/support/notes/1661441","1661441")</f>
        <v>1661441</v>
      </c>
      <c r="E5195">
        <v>5</v>
      </c>
      <c r="F5195" t="s">
        <v>6655</v>
      </c>
    </row>
    <row r="5196" spans="1:6" x14ac:dyDescent="0.25">
      <c r="A5196" t="s">
        <v>6077</v>
      </c>
      <c r="B5196" t="s">
        <v>3033</v>
      </c>
      <c r="C5196" t="s">
        <v>337</v>
      </c>
      <c r="D5196" t="str">
        <f>HYPERLINK("http://service.sap.com/sap/support/notes/1690017","1690017")</f>
        <v>1690017</v>
      </c>
      <c r="E5196">
        <v>1</v>
      </c>
      <c r="F5196" t="s">
        <v>6656</v>
      </c>
    </row>
    <row r="5197" spans="1:6" x14ac:dyDescent="0.25">
      <c r="A5197" t="s">
        <v>6077</v>
      </c>
      <c r="B5197" t="s">
        <v>557</v>
      </c>
      <c r="C5197" t="s">
        <v>558</v>
      </c>
      <c r="D5197" t="str">
        <f>HYPERLINK("http://service.sap.com/sap/support/notes/1511254","1511254")</f>
        <v>1511254</v>
      </c>
      <c r="E5197">
        <v>6</v>
      </c>
      <c r="F5197" t="s">
        <v>6657</v>
      </c>
    </row>
    <row r="5198" spans="1:6" x14ac:dyDescent="0.25">
      <c r="A5198" t="s">
        <v>6077</v>
      </c>
      <c r="B5198" t="s">
        <v>557</v>
      </c>
      <c r="C5198" t="s">
        <v>558</v>
      </c>
      <c r="D5198" t="str">
        <f>HYPERLINK("http://service.sap.com/sap/support/notes/1673887","1673887")</f>
        <v>1673887</v>
      </c>
      <c r="E5198">
        <v>1</v>
      </c>
      <c r="F5198" t="s">
        <v>6658</v>
      </c>
    </row>
    <row r="5199" spans="1:6" x14ac:dyDescent="0.25">
      <c r="A5199" t="s">
        <v>6077</v>
      </c>
      <c r="B5199" t="s">
        <v>562</v>
      </c>
      <c r="C5199" t="s">
        <v>563</v>
      </c>
      <c r="D5199" t="str">
        <f>HYPERLINK("http://service.sap.com/sap/support/notes/1519073","1519073")</f>
        <v>1519073</v>
      </c>
      <c r="E5199">
        <v>3</v>
      </c>
      <c r="F5199" t="s">
        <v>6659</v>
      </c>
    </row>
    <row r="5200" spans="1:6" x14ac:dyDescent="0.25">
      <c r="A5200" t="s">
        <v>6077</v>
      </c>
      <c r="B5200" t="s">
        <v>6660</v>
      </c>
      <c r="C5200" t="s">
        <v>6661</v>
      </c>
      <c r="D5200" t="str">
        <f>HYPERLINK("http://service.sap.com/sap/support/notes/1363858","1363858")</f>
        <v>1363858</v>
      </c>
      <c r="E5200">
        <v>5</v>
      </c>
      <c r="F5200" t="s">
        <v>6662</v>
      </c>
    </row>
    <row r="5201" spans="1:6" x14ac:dyDescent="0.25">
      <c r="A5201" t="s">
        <v>6077</v>
      </c>
      <c r="B5201" t="s">
        <v>6660</v>
      </c>
      <c r="C5201" t="s">
        <v>6661</v>
      </c>
      <c r="D5201" t="str">
        <f>HYPERLINK("http://service.sap.com/sap/support/notes/1482056","1482056")</f>
        <v>1482056</v>
      </c>
      <c r="E5201">
        <v>2</v>
      </c>
      <c r="F5201" t="s">
        <v>6663</v>
      </c>
    </row>
    <row r="5202" spans="1:6" x14ac:dyDescent="0.25">
      <c r="A5202" t="s">
        <v>6077</v>
      </c>
      <c r="B5202" t="s">
        <v>6660</v>
      </c>
      <c r="C5202" t="s">
        <v>6661</v>
      </c>
      <c r="D5202" t="str">
        <f>HYPERLINK("http://service.sap.com/sap/support/notes/1550346","1550346")</f>
        <v>1550346</v>
      </c>
      <c r="E5202">
        <v>2</v>
      </c>
      <c r="F5202" t="s">
        <v>6664</v>
      </c>
    </row>
    <row r="5203" spans="1:6" x14ac:dyDescent="0.25">
      <c r="A5203" t="s">
        <v>6077</v>
      </c>
      <c r="B5203" t="s">
        <v>6660</v>
      </c>
      <c r="C5203" t="s">
        <v>6661</v>
      </c>
      <c r="D5203" t="str">
        <f>HYPERLINK("http://service.sap.com/sap/support/notes/1563384","1563384")</f>
        <v>1563384</v>
      </c>
      <c r="E5203">
        <v>2</v>
      </c>
      <c r="F5203" t="s">
        <v>6665</v>
      </c>
    </row>
    <row r="5204" spans="1:6" x14ac:dyDescent="0.25">
      <c r="A5204" t="s">
        <v>6077</v>
      </c>
      <c r="B5204" t="s">
        <v>6660</v>
      </c>
      <c r="C5204" t="s">
        <v>6661</v>
      </c>
      <c r="D5204" t="str">
        <f>HYPERLINK("http://service.sap.com/sap/support/notes/1568328","1568328")</f>
        <v>1568328</v>
      </c>
      <c r="E5204">
        <v>3</v>
      </c>
      <c r="F5204" t="s">
        <v>6666</v>
      </c>
    </row>
    <row r="5205" spans="1:6" x14ac:dyDescent="0.25">
      <c r="A5205" t="s">
        <v>6077</v>
      </c>
      <c r="B5205" t="s">
        <v>6660</v>
      </c>
      <c r="C5205" t="s">
        <v>6661</v>
      </c>
      <c r="D5205" t="str">
        <f>HYPERLINK("http://service.sap.com/sap/support/notes/1575091","1575091")</f>
        <v>1575091</v>
      </c>
      <c r="E5205">
        <v>3</v>
      </c>
      <c r="F5205" t="s">
        <v>6667</v>
      </c>
    </row>
    <row r="5206" spans="1:6" x14ac:dyDescent="0.25">
      <c r="A5206" t="s">
        <v>6077</v>
      </c>
      <c r="B5206" t="s">
        <v>6660</v>
      </c>
      <c r="C5206" t="s">
        <v>6661</v>
      </c>
      <c r="D5206" t="str">
        <f>HYPERLINK("http://service.sap.com/sap/support/notes/1587255","1587255")</f>
        <v>1587255</v>
      </c>
      <c r="E5206">
        <v>2</v>
      </c>
      <c r="F5206" t="s">
        <v>6668</v>
      </c>
    </row>
    <row r="5207" spans="1:6" x14ac:dyDescent="0.25">
      <c r="A5207" t="s">
        <v>6077</v>
      </c>
      <c r="B5207" t="s">
        <v>6660</v>
      </c>
      <c r="C5207" t="s">
        <v>6661</v>
      </c>
      <c r="D5207" t="str">
        <f>HYPERLINK("http://service.sap.com/sap/support/notes/1606685","1606685")</f>
        <v>1606685</v>
      </c>
      <c r="E5207">
        <v>3</v>
      </c>
      <c r="F5207" t="s">
        <v>6669</v>
      </c>
    </row>
    <row r="5208" spans="1:6" x14ac:dyDescent="0.25">
      <c r="A5208" t="s">
        <v>6077</v>
      </c>
      <c r="B5208" t="s">
        <v>6660</v>
      </c>
      <c r="C5208" t="s">
        <v>6661</v>
      </c>
      <c r="D5208" t="str">
        <f>HYPERLINK("http://service.sap.com/sap/support/notes/1629273","1629273")</f>
        <v>1629273</v>
      </c>
      <c r="E5208">
        <v>4</v>
      </c>
      <c r="F5208" t="s">
        <v>6670</v>
      </c>
    </row>
    <row r="5209" spans="1:6" x14ac:dyDescent="0.25">
      <c r="A5209" t="s">
        <v>6077</v>
      </c>
      <c r="B5209" t="s">
        <v>6660</v>
      </c>
      <c r="C5209" t="s">
        <v>6661</v>
      </c>
      <c r="D5209" t="str">
        <f>HYPERLINK("http://service.sap.com/sap/support/notes/1632792","1632792")</f>
        <v>1632792</v>
      </c>
      <c r="E5209">
        <v>1</v>
      </c>
      <c r="F5209" t="s">
        <v>6671</v>
      </c>
    </row>
    <row r="5210" spans="1:6" x14ac:dyDescent="0.25">
      <c r="A5210" t="s">
        <v>6077</v>
      </c>
      <c r="B5210" t="s">
        <v>6660</v>
      </c>
      <c r="C5210" t="s">
        <v>6661</v>
      </c>
      <c r="D5210" t="str">
        <f>HYPERLINK("http://service.sap.com/sap/support/notes/1633806","1633806")</f>
        <v>1633806</v>
      </c>
      <c r="E5210">
        <v>2</v>
      </c>
      <c r="F5210" t="s">
        <v>6672</v>
      </c>
    </row>
    <row r="5211" spans="1:6" x14ac:dyDescent="0.25">
      <c r="A5211" t="s">
        <v>6077</v>
      </c>
      <c r="B5211" t="s">
        <v>6660</v>
      </c>
      <c r="C5211" t="s">
        <v>6661</v>
      </c>
      <c r="D5211" t="str">
        <f>HYPERLINK("http://service.sap.com/sap/support/notes/1637896","1637896")</f>
        <v>1637896</v>
      </c>
      <c r="E5211">
        <v>1</v>
      </c>
      <c r="F5211" t="s">
        <v>6673</v>
      </c>
    </row>
    <row r="5212" spans="1:6" x14ac:dyDescent="0.25">
      <c r="A5212" t="s">
        <v>6077</v>
      </c>
      <c r="B5212" t="s">
        <v>6660</v>
      </c>
      <c r="C5212" t="s">
        <v>6661</v>
      </c>
      <c r="D5212" t="str">
        <f>HYPERLINK("http://service.sap.com/sap/support/notes/1650648","1650648")</f>
        <v>1650648</v>
      </c>
      <c r="E5212">
        <v>2</v>
      </c>
      <c r="F5212" t="s">
        <v>6674</v>
      </c>
    </row>
    <row r="5213" spans="1:6" x14ac:dyDescent="0.25">
      <c r="A5213" t="s">
        <v>6077</v>
      </c>
      <c r="B5213" t="s">
        <v>6660</v>
      </c>
      <c r="C5213" t="s">
        <v>6661</v>
      </c>
      <c r="D5213" t="str">
        <f>HYPERLINK("http://service.sap.com/sap/support/notes/1655468","1655468")</f>
        <v>1655468</v>
      </c>
      <c r="E5213">
        <v>2</v>
      </c>
      <c r="F5213" t="s">
        <v>6675</v>
      </c>
    </row>
    <row r="5214" spans="1:6" x14ac:dyDescent="0.25">
      <c r="A5214" t="s">
        <v>6077</v>
      </c>
      <c r="B5214" t="s">
        <v>6660</v>
      </c>
      <c r="C5214" t="s">
        <v>6661</v>
      </c>
      <c r="D5214" t="str">
        <f>HYPERLINK("http://service.sap.com/sap/support/notes/1664330","1664330")</f>
        <v>1664330</v>
      </c>
      <c r="E5214">
        <v>3</v>
      </c>
      <c r="F5214" t="s">
        <v>6676</v>
      </c>
    </row>
    <row r="5215" spans="1:6" x14ac:dyDescent="0.25">
      <c r="A5215" t="s">
        <v>6077</v>
      </c>
      <c r="B5215" t="s">
        <v>6660</v>
      </c>
      <c r="C5215" t="s">
        <v>6661</v>
      </c>
      <c r="D5215" t="str">
        <f>HYPERLINK("http://service.sap.com/sap/support/notes/1684844","1684844")</f>
        <v>1684844</v>
      </c>
      <c r="E5215">
        <v>3</v>
      </c>
      <c r="F5215" t="s">
        <v>6677</v>
      </c>
    </row>
    <row r="5216" spans="1:6" x14ac:dyDescent="0.25">
      <c r="A5216" t="s">
        <v>6077</v>
      </c>
      <c r="B5216" t="s">
        <v>569</v>
      </c>
      <c r="C5216" t="s">
        <v>570</v>
      </c>
    </row>
    <row r="5217" spans="1:6" x14ac:dyDescent="0.25">
      <c r="A5217" t="s">
        <v>6077</v>
      </c>
      <c r="B5217" t="s">
        <v>571</v>
      </c>
      <c r="C5217" t="s">
        <v>572</v>
      </c>
      <c r="D5217" t="str">
        <f>HYPERLINK("http://service.sap.com/sap/support/notes/1675535","1675535")</f>
        <v>1675535</v>
      </c>
      <c r="E5217">
        <v>2</v>
      </c>
      <c r="F5217" t="s">
        <v>6678</v>
      </c>
    </row>
    <row r="5218" spans="1:6" x14ac:dyDescent="0.25">
      <c r="A5218" t="s">
        <v>6077</v>
      </c>
      <c r="B5218" t="s">
        <v>3074</v>
      </c>
      <c r="C5218" t="s">
        <v>3075</v>
      </c>
      <c r="D5218" t="str">
        <f>HYPERLINK("http://service.sap.com/sap/support/notes/1681953","1681953")</f>
        <v>1681953</v>
      </c>
      <c r="E5218">
        <v>1</v>
      </c>
      <c r="F5218" t="s">
        <v>6679</v>
      </c>
    </row>
    <row r="5219" spans="1:6" x14ac:dyDescent="0.25">
      <c r="A5219" t="s">
        <v>6077</v>
      </c>
      <c r="B5219" t="s">
        <v>3074</v>
      </c>
      <c r="C5219" t="s">
        <v>3075</v>
      </c>
      <c r="D5219" t="str">
        <f>HYPERLINK("http://service.sap.com/sap/support/notes/1683587","1683587")</f>
        <v>1683587</v>
      </c>
      <c r="E5219">
        <v>1</v>
      </c>
      <c r="F5219" t="s">
        <v>6679</v>
      </c>
    </row>
    <row r="5220" spans="1:6" x14ac:dyDescent="0.25">
      <c r="A5220" t="s">
        <v>6077</v>
      </c>
      <c r="B5220" t="s">
        <v>583</v>
      </c>
      <c r="C5220" t="s">
        <v>584</v>
      </c>
    </row>
    <row r="5221" spans="1:6" x14ac:dyDescent="0.25">
      <c r="A5221" t="s">
        <v>6077</v>
      </c>
      <c r="B5221" t="s">
        <v>3085</v>
      </c>
      <c r="C5221" t="s">
        <v>100</v>
      </c>
      <c r="D5221" t="str">
        <f>HYPERLINK("http://service.sap.com/sap/support/notes/1636666","1636666")</f>
        <v>1636666</v>
      </c>
      <c r="E5221">
        <v>3</v>
      </c>
      <c r="F5221" t="s">
        <v>6680</v>
      </c>
    </row>
    <row r="5222" spans="1:6" x14ac:dyDescent="0.25">
      <c r="A5222" t="s">
        <v>6077</v>
      </c>
      <c r="B5222" t="s">
        <v>3085</v>
      </c>
      <c r="C5222" t="s">
        <v>100</v>
      </c>
      <c r="D5222" t="str">
        <f>HYPERLINK("http://service.sap.com/sap/support/notes/1652632","1652632")</f>
        <v>1652632</v>
      </c>
      <c r="E5222">
        <v>2</v>
      </c>
      <c r="F5222" t="s">
        <v>6681</v>
      </c>
    </row>
    <row r="5223" spans="1:6" x14ac:dyDescent="0.25">
      <c r="A5223" t="s">
        <v>6077</v>
      </c>
      <c r="B5223" t="s">
        <v>3085</v>
      </c>
      <c r="C5223" t="s">
        <v>100</v>
      </c>
      <c r="D5223" t="str">
        <f>HYPERLINK("http://service.sap.com/sap/support/notes/1660101","1660101")</f>
        <v>1660101</v>
      </c>
      <c r="E5223">
        <v>1</v>
      </c>
      <c r="F5223" t="s">
        <v>6682</v>
      </c>
    </row>
    <row r="5224" spans="1:6" x14ac:dyDescent="0.25">
      <c r="A5224" t="s">
        <v>6077</v>
      </c>
      <c r="B5224" t="s">
        <v>3085</v>
      </c>
      <c r="C5224" t="s">
        <v>100</v>
      </c>
      <c r="D5224" t="str">
        <f>HYPERLINK("http://service.sap.com/sap/support/notes/1672163","1672163")</f>
        <v>1672163</v>
      </c>
      <c r="E5224">
        <v>1</v>
      </c>
      <c r="F5224" t="s">
        <v>6683</v>
      </c>
    </row>
    <row r="5225" spans="1:6" x14ac:dyDescent="0.25">
      <c r="A5225" t="s">
        <v>6077</v>
      </c>
      <c r="B5225" t="s">
        <v>3085</v>
      </c>
      <c r="C5225" t="s">
        <v>100</v>
      </c>
      <c r="D5225" t="str">
        <f>HYPERLINK("http://service.sap.com/sap/support/notes/1672861","1672861")</f>
        <v>1672861</v>
      </c>
      <c r="E5225">
        <v>2</v>
      </c>
      <c r="F5225" t="s">
        <v>6684</v>
      </c>
    </row>
    <row r="5226" spans="1:6" x14ac:dyDescent="0.25">
      <c r="A5226" t="s">
        <v>6077</v>
      </c>
      <c r="B5226" t="s">
        <v>3085</v>
      </c>
      <c r="C5226" t="s">
        <v>100</v>
      </c>
      <c r="D5226" t="str">
        <f>HYPERLINK("http://service.sap.com/sap/support/notes/1674893","1674893")</f>
        <v>1674893</v>
      </c>
      <c r="E5226">
        <v>1</v>
      </c>
      <c r="F5226" t="s">
        <v>6685</v>
      </c>
    </row>
    <row r="5227" spans="1:6" x14ac:dyDescent="0.25">
      <c r="A5227" t="s">
        <v>6077</v>
      </c>
      <c r="B5227" t="s">
        <v>3085</v>
      </c>
      <c r="C5227" t="s">
        <v>100</v>
      </c>
      <c r="D5227" t="str">
        <f>HYPERLINK("http://service.sap.com/sap/support/notes/1678164","1678164")</f>
        <v>1678164</v>
      </c>
      <c r="E5227">
        <v>1</v>
      </c>
      <c r="F5227" t="s">
        <v>6686</v>
      </c>
    </row>
    <row r="5228" spans="1:6" x14ac:dyDescent="0.25">
      <c r="A5228" t="s">
        <v>6077</v>
      </c>
      <c r="B5228" t="s">
        <v>3085</v>
      </c>
      <c r="C5228" t="s">
        <v>100</v>
      </c>
      <c r="D5228" t="str">
        <f>HYPERLINK("http://service.sap.com/sap/support/notes/1680291","1680291")</f>
        <v>1680291</v>
      </c>
      <c r="E5228">
        <v>2</v>
      </c>
      <c r="F5228" t="s">
        <v>6687</v>
      </c>
    </row>
    <row r="5229" spans="1:6" x14ac:dyDescent="0.25">
      <c r="A5229" t="s">
        <v>6077</v>
      </c>
      <c r="B5229" t="s">
        <v>3085</v>
      </c>
      <c r="C5229" t="s">
        <v>100</v>
      </c>
      <c r="D5229" t="str">
        <f>HYPERLINK("http://service.sap.com/sap/support/notes/1684403","1684403")</f>
        <v>1684403</v>
      </c>
      <c r="E5229">
        <v>2</v>
      </c>
      <c r="F5229" t="s">
        <v>6688</v>
      </c>
    </row>
    <row r="5230" spans="1:6" x14ac:dyDescent="0.25">
      <c r="A5230" t="s">
        <v>6077</v>
      </c>
      <c r="B5230" t="s">
        <v>585</v>
      </c>
      <c r="C5230" t="s">
        <v>6689</v>
      </c>
      <c r="D5230" t="str">
        <f>HYPERLINK("http://service.sap.com/sap/support/notes/1675673","1675673")</f>
        <v>1675673</v>
      </c>
      <c r="E5230">
        <v>2</v>
      </c>
      <c r="F5230" t="s">
        <v>6690</v>
      </c>
    </row>
    <row r="5231" spans="1:6" x14ac:dyDescent="0.25">
      <c r="A5231" t="s">
        <v>6077</v>
      </c>
      <c r="B5231" t="s">
        <v>591</v>
      </c>
      <c r="C5231" t="s">
        <v>592</v>
      </c>
    </row>
    <row r="5232" spans="1:6" x14ac:dyDescent="0.25">
      <c r="A5232" t="s">
        <v>6077</v>
      </c>
      <c r="B5232" t="s">
        <v>593</v>
      </c>
      <c r="C5232" t="s">
        <v>594</v>
      </c>
    </row>
    <row r="5233" spans="1:6" x14ac:dyDescent="0.25">
      <c r="A5233" t="s">
        <v>6077</v>
      </c>
      <c r="B5233" t="s">
        <v>3093</v>
      </c>
      <c r="C5233" t="s">
        <v>3094</v>
      </c>
      <c r="D5233" t="str">
        <f>HYPERLINK("http://service.sap.com/sap/support/notes/1677373","1677373")</f>
        <v>1677373</v>
      </c>
      <c r="E5233">
        <v>1</v>
      </c>
      <c r="F5233" t="s">
        <v>6691</v>
      </c>
    </row>
    <row r="5234" spans="1:6" x14ac:dyDescent="0.25">
      <c r="A5234" t="s">
        <v>6077</v>
      </c>
      <c r="B5234" t="s">
        <v>3093</v>
      </c>
      <c r="C5234" t="s">
        <v>3094</v>
      </c>
      <c r="D5234" t="str">
        <f>HYPERLINK("http://service.sap.com/sap/support/notes/1682912","1682912")</f>
        <v>1682912</v>
      </c>
      <c r="E5234">
        <v>1</v>
      </c>
      <c r="F5234" t="s">
        <v>6692</v>
      </c>
    </row>
    <row r="5235" spans="1:6" x14ac:dyDescent="0.25">
      <c r="A5235" t="s">
        <v>6077</v>
      </c>
      <c r="B5235" t="s">
        <v>3104</v>
      </c>
      <c r="C5235" t="s">
        <v>3105</v>
      </c>
      <c r="D5235" t="str">
        <f>HYPERLINK("http://service.sap.com/sap/support/notes/1667633","1667633")</f>
        <v>1667633</v>
      </c>
      <c r="E5235">
        <v>1</v>
      </c>
      <c r="F5235" t="s">
        <v>6693</v>
      </c>
    </row>
    <row r="5236" spans="1:6" x14ac:dyDescent="0.25">
      <c r="A5236" t="s">
        <v>6077</v>
      </c>
      <c r="B5236" t="s">
        <v>3104</v>
      </c>
      <c r="C5236" t="s">
        <v>3105</v>
      </c>
      <c r="D5236" t="str">
        <f>HYPERLINK("http://service.sap.com/sap/support/notes/1673349","1673349")</f>
        <v>1673349</v>
      </c>
      <c r="E5236">
        <v>1</v>
      </c>
      <c r="F5236" t="s">
        <v>6694</v>
      </c>
    </row>
    <row r="5237" spans="1:6" x14ac:dyDescent="0.25">
      <c r="A5237" t="s">
        <v>6077</v>
      </c>
      <c r="B5237" t="s">
        <v>3104</v>
      </c>
      <c r="C5237" t="s">
        <v>3105</v>
      </c>
      <c r="D5237" t="str">
        <f>HYPERLINK("http://service.sap.com/sap/support/notes/1695182","1695182")</f>
        <v>1695182</v>
      </c>
      <c r="E5237">
        <v>1</v>
      </c>
      <c r="F5237" t="s">
        <v>6695</v>
      </c>
    </row>
    <row r="5238" spans="1:6" x14ac:dyDescent="0.25">
      <c r="A5238" t="s">
        <v>6077</v>
      </c>
      <c r="B5238" t="s">
        <v>597</v>
      </c>
      <c r="C5238" t="s">
        <v>598</v>
      </c>
    </row>
    <row r="5239" spans="1:6" x14ac:dyDescent="0.25">
      <c r="A5239" t="s">
        <v>6077</v>
      </c>
      <c r="B5239" t="s">
        <v>599</v>
      </c>
      <c r="C5239" t="s">
        <v>600</v>
      </c>
    </row>
    <row r="5240" spans="1:6" x14ac:dyDescent="0.25">
      <c r="A5240" t="s">
        <v>6077</v>
      </c>
      <c r="B5240" t="s">
        <v>601</v>
      </c>
      <c r="C5240" t="s">
        <v>602</v>
      </c>
      <c r="D5240" t="str">
        <f>HYPERLINK("http://service.sap.com/sap/support/notes/1671329","1671329")</f>
        <v>1671329</v>
      </c>
      <c r="E5240">
        <v>3</v>
      </c>
      <c r="F5240" t="s">
        <v>6696</v>
      </c>
    </row>
    <row r="5241" spans="1:6" x14ac:dyDescent="0.25">
      <c r="A5241" t="s">
        <v>6077</v>
      </c>
      <c r="B5241" t="s">
        <v>601</v>
      </c>
      <c r="C5241" t="s">
        <v>602</v>
      </c>
      <c r="D5241" t="str">
        <f>HYPERLINK("http://service.sap.com/sap/support/notes/1678301","1678301")</f>
        <v>1678301</v>
      </c>
      <c r="E5241">
        <v>1</v>
      </c>
      <c r="F5241" t="s">
        <v>6697</v>
      </c>
    </row>
    <row r="5242" spans="1:6" x14ac:dyDescent="0.25">
      <c r="A5242" t="s">
        <v>6077</v>
      </c>
      <c r="B5242" t="s">
        <v>601</v>
      </c>
      <c r="C5242" t="s">
        <v>602</v>
      </c>
      <c r="D5242" t="str">
        <f>HYPERLINK("http://service.sap.com/sap/support/notes/1679916","1679916")</f>
        <v>1679916</v>
      </c>
      <c r="E5242">
        <v>2</v>
      </c>
      <c r="F5242" t="s">
        <v>3118</v>
      </c>
    </row>
    <row r="5243" spans="1:6" x14ac:dyDescent="0.25">
      <c r="A5243" t="s">
        <v>6077</v>
      </c>
      <c r="B5243" t="s">
        <v>6698</v>
      </c>
      <c r="C5243" t="s">
        <v>6699</v>
      </c>
      <c r="D5243" t="str">
        <f>HYPERLINK("http://service.sap.com/sap/support/notes/1682798","1682798")</f>
        <v>1682798</v>
      </c>
      <c r="E5243">
        <v>1</v>
      </c>
      <c r="F5243" t="s">
        <v>6700</v>
      </c>
    </row>
    <row r="5244" spans="1:6" x14ac:dyDescent="0.25">
      <c r="A5244" t="s">
        <v>6077</v>
      </c>
      <c r="B5244" t="s">
        <v>3123</v>
      </c>
      <c r="C5244" t="s">
        <v>3124</v>
      </c>
      <c r="D5244" t="str">
        <f>HYPERLINK("http://service.sap.com/sap/support/notes/1677928","1677928")</f>
        <v>1677928</v>
      </c>
      <c r="E5244">
        <v>2</v>
      </c>
      <c r="F5244" t="s">
        <v>6701</v>
      </c>
    </row>
    <row r="5245" spans="1:6" x14ac:dyDescent="0.25">
      <c r="A5245" t="s">
        <v>6077</v>
      </c>
      <c r="B5245" t="s">
        <v>6702</v>
      </c>
      <c r="C5245" t="s">
        <v>6703</v>
      </c>
      <c r="D5245" t="str">
        <f>HYPERLINK("http://service.sap.com/sap/support/notes/1670153","1670153")</f>
        <v>1670153</v>
      </c>
      <c r="E5245">
        <v>2</v>
      </c>
      <c r="F5245" t="s">
        <v>6704</v>
      </c>
    </row>
    <row r="5246" spans="1:6" x14ac:dyDescent="0.25">
      <c r="A5246" t="s">
        <v>6077</v>
      </c>
      <c r="B5246" t="s">
        <v>604</v>
      </c>
      <c r="C5246" t="s">
        <v>605</v>
      </c>
    </row>
    <row r="5247" spans="1:6" x14ac:dyDescent="0.25">
      <c r="A5247" t="s">
        <v>6077</v>
      </c>
      <c r="B5247" t="s">
        <v>3134</v>
      </c>
      <c r="C5247" t="s">
        <v>3135</v>
      </c>
      <c r="D5247" t="str">
        <f>HYPERLINK("http://service.sap.com/sap/support/notes/1417388","1417388")</f>
        <v>1417388</v>
      </c>
      <c r="E5247">
        <v>1</v>
      </c>
      <c r="F5247" t="s">
        <v>3136</v>
      </c>
    </row>
    <row r="5248" spans="1:6" x14ac:dyDescent="0.25">
      <c r="A5248" t="s">
        <v>6077</v>
      </c>
      <c r="B5248" t="s">
        <v>606</v>
      </c>
      <c r="C5248" t="s">
        <v>607</v>
      </c>
      <c r="D5248" t="str">
        <f>HYPERLINK("http://service.sap.com/sap/support/notes/1657638","1657638")</f>
        <v>1657638</v>
      </c>
      <c r="E5248">
        <v>2</v>
      </c>
      <c r="F5248" t="s">
        <v>608</v>
      </c>
    </row>
    <row r="5249" spans="1:6" x14ac:dyDescent="0.25">
      <c r="A5249" t="s">
        <v>6077</v>
      </c>
      <c r="B5249" t="s">
        <v>6705</v>
      </c>
      <c r="C5249" t="s">
        <v>6706</v>
      </c>
      <c r="D5249" t="str">
        <f>HYPERLINK("http://service.sap.com/sap/support/notes/1697753","1697753")</f>
        <v>1697753</v>
      </c>
      <c r="E5249">
        <v>1</v>
      </c>
      <c r="F5249" t="s">
        <v>6707</v>
      </c>
    </row>
    <row r="5250" spans="1:6" x14ac:dyDescent="0.25">
      <c r="A5250" t="s">
        <v>6077</v>
      </c>
      <c r="B5250" t="s">
        <v>609</v>
      </c>
      <c r="C5250" t="s">
        <v>610</v>
      </c>
      <c r="D5250" t="str">
        <f>HYPERLINK("http://service.sap.com/sap/support/notes/1682401","1682401")</f>
        <v>1682401</v>
      </c>
      <c r="E5250">
        <v>3</v>
      </c>
      <c r="F5250" t="s">
        <v>6708</v>
      </c>
    </row>
    <row r="5251" spans="1:6" x14ac:dyDescent="0.25">
      <c r="A5251" t="s">
        <v>6077</v>
      </c>
      <c r="B5251" t="s">
        <v>609</v>
      </c>
      <c r="C5251" t="s">
        <v>610</v>
      </c>
      <c r="D5251" t="str">
        <f>HYPERLINK("http://service.sap.com/sap/support/notes/1686907","1686907")</f>
        <v>1686907</v>
      </c>
      <c r="E5251">
        <v>1</v>
      </c>
      <c r="F5251" t="s">
        <v>6709</v>
      </c>
    </row>
    <row r="5252" spans="1:6" x14ac:dyDescent="0.25">
      <c r="A5252" t="s">
        <v>6077</v>
      </c>
      <c r="B5252" t="s">
        <v>613</v>
      </c>
      <c r="C5252" t="s">
        <v>614</v>
      </c>
      <c r="D5252" t="str">
        <f>HYPERLINK("http://service.sap.com/sap/support/notes/1667053","1667053")</f>
        <v>1667053</v>
      </c>
      <c r="E5252">
        <v>4</v>
      </c>
      <c r="F5252" t="s">
        <v>3151</v>
      </c>
    </row>
    <row r="5253" spans="1:6" x14ac:dyDescent="0.25">
      <c r="A5253" t="s">
        <v>6077</v>
      </c>
      <c r="B5253" t="s">
        <v>3152</v>
      </c>
      <c r="C5253" t="s">
        <v>3153</v>
      </c>
      <c r="D5253" t="str">
        <f>HYPERLINK("http://service.sap.com/sap/support/notes/1673957","1673957")</f>
        <v>1673957</v>
      </c>
      <c r="E5253">
        <v>3</v>
      </c>
      <c r="F5253" t="s">
        <v>751</v>
      </c>
    </row>
    <row r="5254" spans="1:6" x14ac:dyDescent="0.25">
      <c r="A5254" t="s">
        <v>6077</v>
      </c>
      <c r="B5254" t="s">
        <v>6710</v>
      </c>
      <c r="C5254" t="s">
        <v>6711</v>
      </c>
    </row>
    <row r="5255" spans="1:6" x14ac:dyDescent="0.25">
      <c r="A5255" t="s">
        <v>6077</v>
      </c>
      <c r="B5255" t="s">
        <v>6712</v>
      </c>
      <c r="C5255" t="s">
        <v>14</v>
      </c>
    </row>
    <row r="5256" spans="1:6" x14ac:dyDescent="0.25">
      <c r="A5256" t="s">
        <v>6077</v>
      </c>
      <c r="B5256" t="s">
        <v>6713</v>
      </c>
      <c r="C5256" t="s">
        <v>6714</v>
      </c>
      <c r="D5256" t="str">
        <f>HYPERLINK("http://service.sap.com/sap/support/notes/1677065","1677065")</f>
        <v>1677065</v>
      </c>
      <c r="E5256">
        <v>2</v>
      </c>
      <c r="F5256" t="s">
        <v>6715</v>
      </c>
    </row>
    <row r="5257" spans="1:6" x14ac:dyDescent="0.25">
      <c r="A5257" t="s">
        <v>6077</v>
      </c>
      <c r="B5257" t="s">
        <v>616</v>
      </c>
      <c r="C5257" t="s">
        <v>3165</v>
      </c>
    </row>
    <row r="5258" spans="1:6" x14ac:dyDescent="0.25">
      <c r="A5258" t="s">
        <v>6077</v>
      </c>
      <c r="B5258" t="s">
        <v>619</v>
      </c>
      <c r="C5258" t="s">
        <v>141</v>
      </c>
      <c r="D5258" t="str">
        <f>HYPERLINK("http://service.sap.com/sap/support/notes/1685613","1685613")</f>
        <v>1685613</v>
      </c>
      <c r="E5258">
        <v>1</v>
      </c>
      <c r="F5258" t="s">
        <v>6716</v>
      </c>
    </row>
    <row r="5259" spans="1:6" x14ac:dyDescent="0.25">
      <c r="A5259" t="s">
        <v>6077</v>
      </c>
      <c r="B5259" t="s">
        <v>6717</v>
      </c>
      <c r="C5259" t="s">
        <v>165</v>
      </c>
      <c r="D5259" t="str">
        <f>HYPERLINK("http://service.sap.com/sap/support/notes/1693046","1693046")</f>
        <v>1693046</v>
      </c>
      <c r="E5259">
        <v>2</v>
      </c>
      <c r="F5259" t="s">
        <v>6718</v>
      </c>
    </row>
    <row r="5260" spans="1:6" x14ac:dyDescent="0.25">
      <c r="A5260" t="s">
        <v>6077</v>
      </c>
      <c r="B5260" t="s">
        <v>6717</v>
      </c>
      <c r="C5260" t="s">
        <v>165</v>
      </c>
      <c r="D5260" t="str">
        <f>HYPERLINK("http://service.sap.com/sap/support/notes/1694630","1694630")</f>
        <v>1694630</v>
      </c>
      <c r="E5260">
        <v>2</v>
      </c>
      <c r="F5260" t="s">
        <v>6719</v>
      </c>
    </row>
    <row r="5261" spans="1:6" x14ac:dyDescent="0.25">
      <c r="A5261" t="s">
        <v>6077</v>
      </c>
      <c r="B5261" t="s">
        <v>6717</v>
      </c>
      <c r="C5261" t="s">
        <v>165</v>
      </c>
      <c r="D5261" t="str">
        <f>HYPERLINK("http://service.sap.com/sap/support/notes/1694733","1694733")</f>
        <v>1694733</v>
      </c>
      <c r="E5261">
        <v>2</v>
      </c>
      <c r="F5261" t="s">
        <v>6720</v>
      </c>
    </row>
    <row r="5262" spans="1:6" x14ac:dyDescent="0.25">
      <c r="A5262" t="s">
        <v>6077</v>
      </c>
      <c r="B5262" t="s">
        <v>622</v>
      </c>
      <c r="C5262" t="s">
        <v>623</v>
      </c>
    </row>
    <row r="5263" spans="1:6" x14ac:dyDescent="0.25">
      <c r="A5263" t="s">
        <v>6077</v>
      </c>
      <c r="B5263" t="s">
        <v>624</v>
      </c>
      <c r="C5263" t="s">
        <v>625</v>
      </c>
      <c r="D5263" t="str">
        <f>HYPERLINK("http://service.sap.com/sap/support/notes/1674646","1674646")</f>
        <v>1674646</v>
      </c>
      <c r="E5263">
        <v>2</v>
      </c>
      <c r="F5263" t="s">
        <v>6721</v>
      </c>
    </row>
    <row r="5264" spans="1:6" x14ac:dyDescent="0.25">
      <c r="A5264" t="s">
        <v>6077</v>
      </c>
      <c r="B5264" t="s">
        <v>3173</v>
      </c>
      <c r="C5264" t="s">
        <v>3174</v>
      </c>
      <c r="D5264" t="str">
        <f>HYPERLINK("http://service.sap.com/sap/support/notes/1685412","1685412")</f>
        <v>1685412</v>
      </c>
      <c r="E5264">
        <v>1</v>
      </c>
      <c r="F5264" t="s">
        <v>6722</v>
      </c>
    </row>
    <row r="5265" spans="1:6" x14ac:dyDescent="0.25">
      <c r="A5265" t="s">
        <v>6077</v>
      </c>
      <c r="B5265" t="s">
        <v>6723</v>
      </c>
      <c r="C5265" t="s">
        <v>6724</v>
      </c>
      <c r="D5265" t="str">
        <f>HYPERLINK("http://service.sap.com/sap/support/notes/1675130","1675130")</f>
        <v>1675130</v>
      </c>
      <c r="E5265">
        <v>3</v>
      </c>
      <c r="F5265" t="s">
        <v>6725</v>
      </c>
    </row>
    <row r="5266" spans="1:6" x14ac:dyDescent="0.25">
      <c r="A5266" t="s">
        <v>6077</v>
      </c>
      <c r="B5266" t="s">
        <v>629</v>
      </c>
      <c r="C5266" t="s">
        <v>630</v>
      </c>
    </row>
    <row r="5267" spans="1:6" x14ac:dyDescent="0.25">
      <c r="A5267" t="s">
        <v>6077</v>
      </c>
      <c r="B5267" t="s">
        <v>631</v>
      </c>
      <c r="C5267" t="s">
        <v>632</v>
      </c>
    </row>
    <row r="5268" spans="1:6" x14ac:dyDescent="0.25">
      <c r="A5268" t="s">
        <v>6077</v>
      </c>
      <c r="B5268" t="s">
        <v>633</v>
      </c>
      <c r="C5268" t="s">
        <v>634</v>
      </c>
      <c r="D5268" t="str">
        <f>HYPERLINK("http://service.sap.com/sap/support/notes/1671425","1671425")</f>
        <v>1671425</v>
      </c>
      <c r="E5268">
        <v>3</v>
      </c>
      <c r="F5268" t="s">
        <v>6726</v>
      </c>
    </row>
    <row r="5269" spans="1:6" x14ac:dyDescent="0.25">
      <c r="A5269" t="s">
        <v>6077</v>
      </c>
      <c r="B5269" t="s">
        <v>633</v>
      </c>
      <c r="C5269" t="s">
        <v>634</v>
      </c>
      <c r="D5269" t="str">
        <f>HYPERLINK("http://service.sap.com/sap/support/notes/1678851","1678851")</f>
        <v>1678851</v>
      </c>
      <c r="E5269">
        <v>1</v>
      </c>
      <c r="F5269" t="s">
        <v>6727</v>
      </c>
    </row>
    <row r="5270" spans="1:6" x14ac:dyDescent="0.25">
      <c r="A5270" t="s">
        <v>6077</v>
      </c>
      <c r="B5270" t="s">
        <v>633</v>
      </c>
      <c r="C5270" t="s">
        <v>634</v>
      </c>
      <c r="D5270" t="str">
        <f>HYPERLINK("http://service.sap.com/sap/support/notes/1679629","1679629")</f>
        <v>1679629</v>
      </c>
      <c r="E5270">
        <v>3</v>
      </c>
      <c r="F5270" t="s">
        <v>6728</v>
      </c>
    </row>
    <row r="5271" spans="1:6" x14ac:dyDescent="0.25">
      <c r="A5271" t="s">
        <v>6077</v>
      </c>
      <c r="B5271" t="s">
        <v>633</v>
      </c>
      <c r="C5271" t="s">
        <v>634</v>
      </c>
      <c r="D5271" t="str">
        <f>HYPERLINK("http://service.sap.com/sap/support/notes/1680286","1680286")</f>
        <v>1680286</v>
      </c>
      <c r="E5271">
        <v>2</v>
      </c>
      <c r="F5271" t="s">
        <v>6729</v>
      </c>
    </row>
    <row r="5272" spans="1:6" x14ac:dyDescent="0.25">
      <c r="A5272" t="s">
        <v>6077</v>
      </c>
      <c r="B5272" t="s">
        <v>633</v>
      </c>
      <c r="C5272" t="s">
        <v>634</v>
      </c>
      <c r="D5272" t="str">
        <f>HYPERLINK("http://service.sap.com/sap/support/notes/1681304","1681304")</f>
        <v>1681304</v>
      </c>
      <c r="E5272">
        <v>2</v>
      </c>
      <c r="F5272" t="s">
        <v>6730</v>
      </c>
    </row>
    <row r="5273" spans="1:6" x14ac:dyDescent="0.25">
      <c r="A5273" t="s">
        <v>6077</v>
      </c>
      <c r="B5273" t="s">
        <v>633</v>
      </c>
      <c r="C5273" t="s">
        <v>634</v>
      </c>
      <c r="D5273" t="str">
        <f>HYPERLINK("http://service.sap.com/sap/support/notes/1687476","1687476")</f>
        <v>1687476</v>
      </c>
      <c r="E5273">
        <v>2</v>
      </c>
      <c r="F5273" t="s">
        <v>6731</v>
      </c>
    </row>
    <row r="5274" spans="1:6" x14ac:dyDescent="0.25">
      <c r="A5274" t="s">
        <v>6077</v>
      </c>
      <c r="B5274" t="s">
        <v>6732</v>
      </c>
      <c r="C5274" t="s">
        <v>6733</v>
      </c>
      <c r="D5274" t="str">
        <f>HYPERLINK("http://service.sap.com/sap/support/notes/1659676","1659676")</f>
        <v>1659676</v>
      </c>
      <c r="E5274">
        <v>3</v>
      </c>
      <c r="F5274" t="s">
        <v>6734</v>
      </c>
    </row>
    <row r="5275" spans="1:6" x14ac:dyDescent="0.25">
      <c r="A5275" t="s">
        <v>6077</v>
      </c>
      <c r="B5275" t="s">
        <v>3200</v>
      </c>
      <c r="C5275" t="s">
        <v>3201</v>
      </c>
    </row>
    <row r="5276" spans="1:6" x14ac:dyDescent="0.25">
      <c r="A5276" t="s">
        <v>6077</v>
      </c>
      <c r="B5276" t="s">
        <v>3202</v>
      </c>
      <c r="C5276" t="s">
        <v>3203</v>
      </c>
      <c r="D5276" t="str">
        <f>HYPERLINK("http://service.sap.com/sap/support/notes/1649537","1649537")</f>
        <v>1649537</v>
      </c>
      <c r="E5276">
        <v>4</v>
      </c>
      <c r="F5276" t="s">
        <v>6735</v>
      </c>
    </row>
    <row r="5277" spans="1:6" x14ac:dyDescent="0.25">
      <c r="A5277" t="s">
        <v>6077</v>
      </c>
      <c r="B5277" t="s">
        <v>3202</v>
      </c>
      <c r="C5277" t="s">
        <v>3203</v>
      </c>
      <c r="D5277" t="str">
        <f>HYPERLINK("http://service.sap.com/sap/support/notes/1650235","1650235")</f>
        <v>1650235</v>
      </c>
      <c r="E5277">
        <v>5</v>
      </c>
      <c r="F5277" t="s">
        <v>6736</v>
      </c>
    </row>
    <row r="5278" spans="1:6" x14ac:dyDescent="0.25">
      <c r="A5278" t="s">
        <v>6077</v>
      </c>
      <c r="B5278" t="s">
        <v>6737</v>
      </c>
      <c r="C5278" t="s">
        <v>6738</v>
      </c>
      <c r="D5278" t="str">
        <f>HYPERLINK("http://service.sap.com/sap/support/notes/1678542","1678542")</f>
        <v>1678542</v>
      </c>
      <c r="E5278">
        <v>2</v>
      </c>
      <c r="F5278" t="s">
        <v>6739</v>
      </c>
    </row>
    <row r="5279" spans="1:6" x14ac:dyDescent="0.25">
      <c r="A5279" t="s">
        <v>6077</v>
      </c>
      <c r="B5279" t="s">
        <v>639</v>
      </c>
      <c r="C5279" t="s">
        <v>640</v>
      </c>
      <c r="D5279" t="str">
        <f>HYPERLINK("http://service.sap.com/sap/support/notes/725683","725683")</f>
        <v>725683</v>
      </c>
      <c r="E5279">
        <v>5</v>
      </c>
      <c r="F5279" t="s">
        <v>6740</v>
      </c>
    </row>
    <row r="5280" spans="1:6" x14ac:dyDescent="0.25">
      <c r="A5280" t="s">
        <v>6077</v>
      </c>
      <c r="B5280" t="s">
        <v>639</v>
      </c>
      <c r="C5280" t="s">
        <v>640</v>
      </c>
      <c r="D5280" t="str">
        <f>HYPERLINK("http://service.sap.com/sap/support/notes/1607914","1607914")</f>
        <v>1607914</v>
      </c>
      <c r="E5280">
        <v>2</v>
      </c>
      <c r="F5280" t="s">
        <v>6741</v>
      </c>
    </row>
    <row r="5281" spans="1:6" x14ac:dyDescent="0.25">
      <c r="A5281" t="s">
        <v>6077</v>
      </c>
      <c r="B5281" t="s">
        <v>639</v>
      </c>
      <c r="C5281" t="s">
        <v>640</v>
      </c>
      <c r="D5281" t="str">
        <f>HYPERLINK("http://service.sap.com/sap/support/notes/1680738","1680738")</f>
        <v>1680738</v>
      </c>
      <c r="E5281">
        <v>1</v>
      </c>
      <c r="F5281" t="s">
        <v>6742</v>
      </c>
    </row>
    <row r="5282" spans="1:6" x14ac:dyDescent="0.25">
      <c r="A5282" t="s">
        <v>6077</v>
      </c>
      <c r="B5282" t="s">
        <v>639</v>
      </c>
      <c r="C5282" t="s">
        <v>640</v>
      </c>
      <c r="D5282" t="str">
        <f>HYPERLINK("http://service.sap.com/sap/support/notes/1691230","1691230")</f>
        <v>1691230</v>
      </c>
      <c r="E5282">
        <v>1</v>
      </c>
      <c r="F5282" t="s">
        <v>6743</v>
      </c>
    </row>
    <row r="5283" spans="1:6" x14ac:dyDescent="0.25">
      <c r="A5283" t="s">
        <v>6077</v>
      </c>
      <c r="B5283" t="s">
        <v>642</v>
      </c>
      <c r="C5283" t="s">
        <v>643</v>
      </c>
    </row>
    <row r="5284" spans="1:6" x14ac:dyDescent="0.25">
      <c r="A5284" t="s">
        <v>6077</v>
      </c>
      <c r="B5284" t="s">
        <v>644</v>
      </c>
      <c r="C5284" t="s">
        <v>645</v>
      </c>
      <c r="D5284" t="str">
        <f>HYPERLINK("http://service.sap.com/sap/support/notes/1668941","1668941")</f>
        <v>1668941</v>
      </c>
      <c r="E5284">
        <v>1</v>
      </c>
      <c r="F5284" t="s">
        <v>6744</v>
      </c>
    </row>
    <row r="5285" spans="1:6" x14ac:dyDescent="0.25">
      <c r="A5285" t="s">
        <v>6077</v>
      </c>
      <c r="B5285" t="s">
        <v>644</v>
      </c>
      <c r="C5285" t="s">
        <v>645</v>
      </c>
      <c r="D5285" t="str">
        <f>HYPERLINK("http://service.sap.com/sap/support/notes/1672264","1672264")</f>
        <v>1672264</v>
      </c>
      <c r="E5285">
        <v>2</v>
      </c>
      <c r="F5285" t="s">
        <v>6745</v>
      </c>
    </row>
    <row r="5286" spans="1:6" x14ac:dyDescent="0.25">
      <c r="A5286" t="s">
        <v>6077</v>
      </c>
      <c r="B5286" t="s">
        <v>6746</v>
      </c>
      <c r="C5286" t="s">
        <v>6747</v>
      </c>
      <c r="D5286" t="str">
        <f>HYPERLINK("http://service.sap.com/sap/support/notes/742900","742900")</f>
        <v>742900</v>
      </c>
      <c r="E5286">
        <v>3</v>
      </c>
      <c r="F5286" t="s">
        <v>6748</v>
      </c>
    </row>
    <row r="5287" spans="1:6" x14ac:dyDescent="0.25">
      <c r="A5287" t="s">
        <v>6077</v>
      </c>
      <c r="B5287" t="s">
        <v>650</v>
      </c>
      <c r="C5287" t="s">
        <v>651</v>
      </c>
    </row>
    <row r="5288" spans="1:6" x14ac:dyDescent="0.25">
      <c r="A5288" t="s">
        <v>6077</v>
      </c>
      <c r="B5288" t="s">
        <v>6749</v>
      </c>
      <c r="C5288" t="s">
        <v>6750</v>
      </c>
      <c r="D5288" t="str">
        <f>HYPERLINK("http://service.sap.com/sap/support/notes/1692880","1692880")</f>
        <v>1692880</v>
      </c>
      <c r="E5288">
        <v>1</v>
      </c>
      <c r="F5288" t="s">
        <v>6751</v>
      </c>
    </row>
    <row r="5289" spans="1:6" x14ac:dyDescent="0.25">
      <c r="A5289" t="s">
        <v>6077</v>
      </c>
      <c r="B5289" t="s">
        <v>6752</v>
      </c>
      <c r="C5289" t="s">
        <v>3429</v>
      </c>
      <c r="D5289" t="str">
        <f>HYPERLINK("http://service.sap.com/sap/support/notes/1677168","1677168")</f>
        <v>1677168</v>
      </c>
      <c r="E5289">
        <v>3</v>
      </c>
      <c r="F5289" t="s">
        <v>6753</v>
      </c>
    </row>
    <row r="5290" spans="1:6" x14ac:dyDescent="0.25">
      <c r="A5290" t="s">
        <v>6077</v>
      </c>
      <c r="B5290" t="s">
        <v>6752</v>
      </c>
      <c r="C5290" t="s">
        <v>3429</v>
      </c>
      <c r="D5290" t="str">
        <f>HYPERLINK("http://service.sap.com/sap/support/notes/1690417","1690417")</f>
        <v>1690417</v>
      </c>
      <c r="E5290">
        <v>1</v>
      </c>
      <c r="F5290" t="s">
        <v>6754</v>
      </c>
    </row>
    <row r="5291" spans="1:6" x14ac:dyDescent="0.25">
      <c r="A5291" t="s">
        <v>6077</v>
      </c>
      <c r="B5291" t="s">
        <v>655</v>
      </c>
      <c r="C5291" t="s">
        <v>656</v>
      </c>
    </row>
    <row r="5292" spans="1:6" x14ac:dyDescent="0.25">
      <c r="A5292" t="s">
        <v>6077</v>
      </c>
      <c r="B5292" t="s">
        <v>3233</v>
      </c>
      <c r="C5292" t="s">
        <v>3234</v>
      </c>
      <c r="D5292" t="str">
        <f>HYPERLINK("http://service.sap.com/sap/support/notes/1672907","1672907")</f>
        <v>1672907</v>
      </c>
      <c r="E5292">
        <v>3</v>
      </c>
      <c r="F5292" t="s">
        <v>6755</v>
      </c>
    </row>
    <row r="5293" spans="1:6" x14ac:dyDescent="0.25">
      <c r="A5293" t="s">
        <v>6077</v>
      </c>
      <c r="B5293" t="s">
        <v>657</v>
      </c>
      <c r="C5293" t="s">
        <v>658</v>
      </c>
    </row>
    <row r="5294" spans="1:6" x14ac:dyDescent="0.25">
      <c r="A5294" t="s">
        <v>6077</v>
      </c>
      <c r="B5294" t="s">
        <v>6756</v>
      </c>
      <c r="C5294" t="s">
        <v>778</v>
      </c>
      <c r="D5294" t="str">
        <f>HYPERLINK("http://service.sap.com/sap/support/notes/1681847","1681847")</f>
        <v>1681847</v>
      </c>
      <c r="E5294">
        <v>1</v>
      </c>
      <c r="F5294" t="s">
        <v>6757</v>
      </c>
    </row>
    <row r="5295" spans="1:6" x14ac:dyDescent="0.25">
      <c r="A5295" t="s">
        <v>6077</v>
      </c>
      <c r="B5295" t="s">
        <v>6758</v>
      </c>
      <c r="C5295" t="s">
        <v>792</v>
      </c>
      <c r="D5295" t="str">
        <f>HYPERLINK("http://service.sap.com/sap/support/notes/1686065","1686065")</f>
        <v>1686065</v>
      </c>
      <c r="E5295">
        <v>1</v>
      </c>
      <c r="F5295" t="s">
        <v>6759</v>
      </c>
    </row>
    <row r="5296" spans="1:6" x14ac:dyDescent="0.25">
      <c r="A5296" t="s">
        <v>6077</v>
      </c>
      <c r="B5296" t="s">
        <v>663</v>
      </c>
      <c r="C5296" t="s">
        <v>664</v>
      </c>
      <c r="D5296" t="str">
        <f>HYPERLINK("http://service.sap.com/sap/support/notes/1677474","1677474")</f>
        <v>1677474</v>
      </c>
      <c r="E5296">
        <v>1</v>
      </c>
      <c r="F5296" t="s">
        <v>6760</v>
      </c>
    </row>
    <row r="5297" spans="1:6" x14ac:dyDescent="0.25">
      <c r="A5297" t="s">
        <v>6077</v>
      </c>
      <c r="B5297" t="s">
        <v>663</v>
      </c>
      <c r="C5297" t="s">
        <v>664</v>
      </c>
      <c r="D5297" t="str">
        <f>HYPERLINK("http://service.sap.com/sap/support/notes/1679483","1679483")</f>
        <v>1679483</v>
      </c>
      <c r="E5297">
        <v>1</v>
      </c>
      <c r="F5297" t="s">
        <v>6761</v>
      </c>
    </row>
    <row r="5298" spans="1:6" x14ac:dyDescent="0.25">
      <c r="A5298" t="s">
        <v>6077</v>
      </c>
      <c r="B5298" t="s">
        <v>663</v>
      </c>
      <c r="C5298" t="s">
        <v>664</v>
      </c>
      <c r="D5298" t="str">
        <f>HYPERLINK("http://service.sap.com/sap/support/notes/1683117","1683117")</f>
        <v>1683117</v>
      </c>
      <c r="E5298">
        <v>3</v>
      </c>
      <c r="F5298" t="s">
        <v>6762</v>
      </c>
    </row>
    <row r="5299" spans="1:6" x14ac:dyDescent="0.25">
      <c r="A5299" t="s">
        <v>6077</v>
      </c>
      <c r="B5299" t="s">
        <v>663</v>
      </c>
      <c r="C5299" t="s">
        <v>664</v>
      </c>
      <c r="D5299" t="str">
        <f>HYPERLINK("http://service.sap.com/sap/support/notes/1685547","1685547")</f>
        <v>1685547</v>
      </c>
      <c r="E5299">
        <v>1</v>
      </c>
      <c r="F5299" t="s">
        <v>6763</v>
      </c>
    </row>
    <row r="5300" spans="1:6" x14ac:dyDescent="0.25">
      <c r="A5300" t="s">
        <v>6077</v>
      </c>
      <c r="B5300" t="s">
        <v>669</v>
      </c>
      <c r="C5300" t="s">
        <v>670</v>
      </c>
      <c r="D5300" t="str">
        <f>HYPERLINK("http://service.sap.com/sap/support/notes/1677603","1677603")</f>
        <v>1677603</v>
      </c>
      <c r="E5300">
        <v>1</v>
      </c>
      <c r="F5300" t="s">
        <v>6764</v>
      </c>
    </row>
    <row r="5301" spans="1:6" x14ac:dyDescent="0.25">
      <c r="A5301" t="s">
        <v>6077</v>
      </c>
      <c r="B5301" t="s">
        <v>671</v>
      </c>
      <c r="C5301" t="s">
        <v>672</v>
      </c>
      <c r="D5301" t="str">
        <f>HYPERLINK("http://service.sap.com/sap/support/notes/1612711","1612711")</f>
        <v>1612711</v>
      </c>
      <c r="E5301">
        <v>1</v>
      </c>
      <c r="F5301" t="s">
        <v>6765</v>
      </c>
    </row>
    <row r="5302" spans="1:6" x14ac:dyDescent="0.25">
      <c r="A5302" t="s">
        <v>6077</v>
      </c>
      <c r="B5302" t="s">
        <v>671</v>
      </c>
      <c r="C5302" t="s">
        <v>672</v>
      </c>
      <c r="D5302" t="str">
        <f>HYPERLINK("http://service.sap.com/sap/support/notes/1670294","1670294")</f>
        <v>1670294</v>
      </c>
      <c r="E5302">
        <v>1</v>
      </c>
      <c r="F5302" t="s">
        <v>6766</v>
      </c>
    </row>
    <row r="5303" spans="1:6" x14ac:dyDescent="0.25">
      <c r="A5303" t="s">
        <v>6077</v>
      </c>
      <c r="B5303" t="s">
        <v>671</v>
      </c>
      <c r="C5303" t="s">
        <v>672</v>
      </c>
      <c r="D5303" t="str">
        <f>HYPERLINK("http://service.sap.com/sap/support/notes/1674159","1674159")</f>
        <v>1674159</v>
      </c>
      <c r="E5303">
        <v>1</v>
      </c>
      <c r="F5303" t="s">
        <v>6767</v>
      </c>
    </row>
    <row r="5304" spans="1:6" x14ac:dyDescent="0.25">
      <c r="A5304" t="s">
        <v>6077</v>
      </c>
      <c r="B5304" t="s">
        <v>671</v>
      </c>
      <c r="C5304" t="s">
        <v>672</v>
      </c>
      <c r="D5304" t="str">
        <f>HYPERLINK("http://service.sap.com/sap/support/notes/1676953","1676953")</f>
        <v>1676953</v>
      </c>
      <c r="E5304">
        <v>1</v>
      </c>
      <c r="F5304" t="s">
        <v>6768</v>
      </c>
    </row>
    <row r="5305" spans="1:6" x14ac:dyDescent="0.25">
      <c r="A5305" t="s">
        <v>6077</v>
      </c>
      <c r="B5305" t="s">
        <v>671</v>
      </c>
      <c r="C5305" t="s">
        <v>672</v>
      </c>
      <c r="D5305" t="str">
        <f>HYPERLINK("http://service.sap.com/sap/support/notes/1680911","1680911")</f>
        <v>1680911</v>
      </c>
      <c r="E5305">
        <v>2</v>
      </c>
      <c r="F5305" t="s">
        <v>6769</v>
      </c>
    </row>
    <row r="5306" spans="1:6" x14ac:dyDescent="0.25">
      <c r="A5306" t="s">
        <v>6077</v>
      </c>
      <c r="B5306" t="s">
        <v>671</v>
      </c>
      <c r="C5306" t="s">
        <v>672</v>
      </c>
      <c r="D5306" t="str">
        <f>HYPERLINK("http://service.sap.com/sap/support/notes/1683772","1683772")</f>
        <v>1683772</v>
      </c>
      <c r="E5306">
        <v>1</v>
      </c>
      <c r="F5306" t="s">
        <v>6770</v>
      </c>
    </row>
    <row r="5307" spans="1:6" x14ac:dyDescent="0.25">
      <c r="A5307" t="s">
        <v>6077</v>
      </c>
      <c r="B5307" t="s">
        <v>671</v>
      </c>
      <c r="C5307" t="s">
        <v>672</v>
      </c>
      <c r="D5307" t="str">
        <f>HYPERLINK("http://service.sap.com/sap/support/notes/1685675","1685675")</f>
        <v>1685675</v>
      </c>
      <c r="E5307">
        <v>1</v>
      </c>
      <c r="F5307" t="s">
        <v>6771</v>
      </c>
    </row>
    <row r="5308" spans="1:6" x14ac:dyDescent="0.25">
      <c r="A5308" t="s">
        <v>6077</v>
      </c>
      <c r="B5308" t="s">
        <v>671</v>
      </c>
      <c r="C5308" t="s">
        <v>672</v>
      </c>
      <c r="D5308" t="str">
        <f>HYPERLINK("http://service.sap.com/sap/support/notes/1689935","1689935")</f>
        <v>1689935</v>
      </c>
      <c r="E5308">
        <v>1</v>
      </c>
      <c r="F5308" t="s">
        <v>6772</v>
      </c>
    </row>
    <row r="5309" spans="1:6" x14ac:dyDescent="0.25">
      <c r="A5309" t="s">
        <v>6077</v>
      </c>
      <c r="B5309" t="s">
        <v>3288</v>
      </c>
      <c r="C5309" t="s">
        <v>3289</v>
      </c>
      <c r="D5309" t="str">
        <f>HYPERLINK("http://service.sap.com/sap/support/notes/1605463","1605463")</f>
        <v>1605463</v>
      </c>
      <c r="E5309">
        <v>2</v>
      </c>
      <c r="F5309" t="s">
        <v>6773</v>
      </c>
    </row>
    <row r="5310" spans="1:6" x14ac:dyDescent="0.25">
      <c r="A5310" t="s">
        <v>6077</v>
      </c>
      <c r="B5310" t="s">
        <v>3288</v>
      </c>
      <c r="C5310" t="s">
        <v>3289</v>
      </c>
      <c r="D5310" t="str">
        <f>HYPERLINK("http://service.sap.com/sap/support/notes/1675498","1675498")</f>
        <v>1675498</v>
      </c>
      <c r="E5310">
        <v>2</v>
      </c>
      <c r="F5310" t="s">
        <v>6774</v>
      </c>
    </row>
    <row r="5311" spans="1:6" x14ac:dyDescent="0.25">
      <c r="A5311" t="s">
        <v>6077</v>
      </c>
      <c r="B5311" t="s">
        <v>3288</v>
      </c>
      <c r="C5311" t="s">
        <v>3289</v>
      </c>
      <c r="D5311" t="str">
        <f>HYPERLINK("http://service.sap.com/sap/support/notes/1677079","1677079")</f>
        <v>1677079</v>
      </c>
      <c r="E5311">
        <v>1</v>
      </c>
      <c r="F5311" t="s">
        <v>6775</v>
      </c>
    </row>
    <row r="5312" spans="1:6" x14ac:dyDescent="0.25">
      <c r="A5312" t="s">
        <v>6077</v>
      </c>
      <c r="B5312" t="s">
        <v>3294</v>
      </c>
      <c r="C5312" t="s">
        <v>3295</v>
      </c>
      <c r="D5312" t="str">
        <f>HYPERLINK("http://service.sap.com/sap/support/notes/1672509","1672509")</f>
        <v>1672509</v>
      </c>
      <c r="E5312">
        <v>3</v>
      </c>
      <c r="F5312" t="s">
        <v>6776</v>
      </c>
    </row>
    <row r="5313" spans="1:6" x14ac:dyDescent="0.25">
      <c r="A5313" t="s">
        <v>6077</v>
      </c>
      <c r="B5313" t="s">
        <v>3294</v>
      </c>
      <c r="C5313" t="s">
        <v>3295</v>
      </c>
      <c r="D5313" t="str">
        <f>HYPERLINK("http://service.sap.com/sap/support/notes/1675536","1675536")</f>
        <v>1675536</v>
      </c>
      <c r="E5313">
        <v>2</v>
      </c>
      <c r="F5313" t="s">
        <v>6777</v>
      </c>
    </row>
    <row r="5314" spans="1:6" x14ac:dyDescent="0.25">
      <c r="A5314" t="s">
        <v>6077</v>
      </c>
      <c r="B5314" t="s">
        <v>3294</v>
      </c>
      <c r="C5314" t="s">
        <v>3295</v>
      </c>
      <c r="D5314" t="str">
        <f>HYPERLINK("http://service.sap.com/sap/support/notes/1675991","1675991")</f>
        <v>1675991</v>
      </c>
      <c r="E5314">
        <v>1</v>
      </c>
      <c r="F5314" t="s">
        <v>6778</v>
      </c>
    </row>
    <row r="5315" spans="1:6" x14ac:dyDescent="0.25">
      <c r="A5315" t="s">
        <v>6077</v>
      </c>
      <c r="B5315" t="s">
        <v>3294</v>
      </c>
      <c r="C5315" t="s">
        <v>3295</v>
      </c>
      <c r="D5315" t="str">
        <f>HYPERLINK("http://service.sap.com/sap/support/notes/1679467","1679467")</f>
        <v>1679467</v>
      </c>
      <c r="E5315">
        <v>2</v>
      </c>
      <c r="F5315" t="s">
        <v>6779</v>
      </c>
    </row>
    <row r="5316" spans="1:6" x14ac:dyDescent="0.25">
      <c r="A5316" t="s">
        <v>6077</v>
      </c>
      <c r="B5316" t="s">
        <v>3294</v>
      </c>
      <c r="C5316" t="s">
        <v>3295</v>
      </c>
      <c r="D5316" t="str">
        <f>HYPERLINK("http://service.sap.com/sap/support/notes/1683944","1683944")</f>
        <v>1683944</v>
      </c>
      <c r="E5316">
        <v>1</v>
      </c>
      <c r="F5316" t="s">
        <v>6780</v>
      </c>
    </row>
    <row r="5317" spans="1:6" x14ac:dyDescent="0.25">
      <c r="A5317" t="s">
        <v>6077</v>
      </c>
      <c r="B5317" t="s">
        <v>3294</v>
      </c>
      <c r="C5317" t="s">
        <v>3295</v>
      </c>
      <c r="D5317" t="str">
        <f>HYPERLINK("http://service.sap.com/sap/support/notes/1684181","1684181")</f>
        <v>1684181</v>
      </c>
      <c r="E5317">
        <v>1</v>
      </c>
      <c r="F5317" t="s">
        <v>6781</v>
      </c>
    </row>
    <row r="5318" spans="1:6" x14ac:dyDescent="0.25">
      <c r="A5318" t="s">
        <v>6077</v>
      </c>
      <c r="B5318" t="s">
        <v>3294</v>
      </c>
      <c r="C5318" t="s">
        <v>3295</v>
      </c>
      <c r="D5318" t="str">
        <f>HYPERLINK("http://service.sap.com/sap/support/notes/1685177","1685177")</f>
        <v>1685177</v>
      </c>
      <c r="E5318">
        <v>2</v>
      </c>
      <c r="F5318" t="s">
        <v>6782</v>
      </c>
    </row>
    <row r="5319" spans="1:6" x14ac:dyDescent="0.25">
      <c r="A5319" t="s">
        <v>6077</v>
      </c>
      <c r="B5319" t="s">
        <v>3307</v>
      </c>
      <c r="C5319" t="s">
        <v>3308</v>
      </c>
      <c r="D5319" t="str">
        <f>HYPERLINK("http://service.sap.com/sap/support/notes/1675763","1675763")</f>
        <v>1675763</v>
      </c>
      <c r="E5319">
        <v>1</v>
      </c>
      <c r="F5319" t="s">
        <v>6783</v>
      </c>
    </row>
    <row r="5320" spans="1:6" x14ac:dyDescent="0.25">
      <c r="A5320" t="s">
        <v>6077</v>
      </c>
      <c r="B5320" t="s">
        <v>3307</v>
      </c>
      <c r="C5320" t="s">
        <v>3308</v>
      </c>
      <c r="D5320" t="str">
        <f>HYPERLINK("http://service.sap.com/sap/support/notes/1677883","1677883")</f>
        <v>1677883</v>
      </c>
      <c r="E5320">
        <v>1</v>
      </c>
      <c r="F5320" t="s">
        <v>6784</v>
      </c>
    </row>
    <row r="5321" spans="1:6" x14ac:dyDescent="0.25">
      <c r="A5321" t="s">
        <v>6077</v>
      </c>
      <c r="B5321" t="s">
        <v>3307</v>
      </c>
      <c r="C5321" t="s">
        <v>3308</v>
      </c>
      <c r="D5321" t="str">
        <f>HYPERLINK("http://service.sap.com/sap/support/notes/1679167","1679167")</f>
        <v>1679167</v>
      </c>
      <c r="E5321">
        <v>1</v>
      </c>
      <c r="F5321" t="s">
        <v>6785</v>
      </c>
    </row>
    <row r="5322" spans="1:6" x14ac:dyDescent="0.25">
      <c r="A5322" t="s">
        <v>6077</v>
      </c>
      <c r="B5322" t="s">
        <v>687</v>
      </c>
      <c r="C5322" t="s">
        <v>337</v>
      </c>
      <c r="D5322" t="str">
        <f>HYPERLINK("http://service.sap.com/sap/support/notes/1677594","1677594")</f>
        <v>1677594</v>
      </c>
      <c r="E5322">
        <v>1</v>
      </c>
      <c r="F5322" t="s">
        <v>6786</v>
      </c>
    </row>
    <row r="5323" spans="1:6" x14ac:dyDescent="0.25">
      <c r="A5323" t="s">
        <v>6077</v>
      </c>
      <c r="B5323" t="s">
        <v>3323</v>
      </c>
      <c r="C5323" t="s">
        <v>3324</v>
      </c>
      <c r="D5323" t="str">
        <f>HYPERLINK("http://service.sap.com/sap/support/notes/1677595","1677595")</f>
        <v>1677595</v>
      </c>
      <c r="E5323">
        <v>1</v>
      </c>
      <c r="F5323" t="s">
        <v>6787</v>
      </c>
    </row>
    <row r="5324" spans="1:6" x14ac:dyDescent="0.25">
      <c r="A5324" t="s">
        <v>6077</v>
      </c>
      <c r="B5324" t="s">
        <v>3329</v>
      </c>
      <c r="C5324" t="s">
        <v>3330</v>
      </c>
      <c r="D5324" t="str">
        <f>HYPERLINK("http://service.sap.com/sap/support/notes/1653024","1653024")</f>
        <v>1653024</v>
      </c>
      <c r="E5324">
        <v>2</v>
      </c>
      <c r="F5324" t="s">
        <v>6788</v>
      </c>
    </row>
    <row r="5325" spans="1:6" x14ac:dyDescent="0.25">
      <c r="A5325" t="s">
        <v>6077</v>
      </c>
      <c r="B5325" t="s">
        <v>3329</v>
      </c>
      <c r="C5325" t="s">
        <v>3330</v>
      </c>
      <c r="D5325" t="str">
        <f>HYPERLINK("http://service.sap.com/sap/support/notes/1679857","1679857")</f>
        <v>1679857</v>
      </c>
      <c r="E5325">
        <v>1</v>
      </c>
      <c r="F5325" t="s">
        <v>6789</v>
      </c>
    </row>
    <row r="5326" spans="1:6" x14ac:dyDescent="0.25">
      <c r="A5326" t="s">
        <v>6077</v>
      </c>
      <c r="B5326" t="s">
        <v>3332</v>
      </c>
      <c r="C5326" t="s">
        <v>3333</v>
      </c>
      <c r="D5326" t="str">
        <f>HYPERLINK("http://service.sap.com/sap/support/notes/1663707","1663707")</f>
        <v>1663707</v>
      </c>
      <c r="E5326">
        <v>2</v>
      </c>
      <c r="F5326" t="s">
        <v>6790</v>
      </c>
    </row>
    <row r="5327" spans="1:6" x14ac:dyDescent="0.25">
      <c r="A5327" t="s">
        <v>6077</v>
      </c>
      <c r="B5327" t="s">
        <v>3339</v>
      </c>
      <c r="C5327" t="s">
        <v>3340</v>
      </c>
      <c r="D5327" t="str">
        <f>HYPERLINK("http://service.sap.com/sap/support/notes/1676779","1676779")</f>
        <v>1676779</v>
      </c>
      <c r="E5327">
        <v>2</v>
      </c>
      <c r="F5327" t="s">
        <v>6791</v>
      </c>
    </row>
    <row r="5328" spans="1:6" x14ac:dyDescent="0.25">
      <c r="A5328" t="s">
        <v>6077</v>
      </c>
      <c r="B5328" t="s">
        <v>3339</v>
      </c>
      <c r="C5328" t="s">
        <v>3340</v>
      </c>
      <c r="D5328" t="str">
        <f>HYPERLINK("http://service.sap.com/sap/support/notes/1694356","1694356")</f>
        <v>1694356</v>
      </c>
      <c r="E5328">
        <v>1</v>
      </c>
      <c r="F5328" t="s">
        <v>6792</v>
      </c>
    </row>
    <row r="5329" spans="1:6" x14ac:dyDescent="0.25">
      <c r="A5329" t="s">
        <v>6077</v>
      </c>
      <c r="B5329" t="s">
        <v>3349</v>
      </c>
      <c r="C5329" t="s">
        <v>3350</v>
      </c>
      <c r="D5329" t="str">
        <f>HYPERLINK("http://service.sap.com/sap/support/notes/1677911","1677911")</f>
        <v>1677911</v>
      </c>
      <c r="E5329">
        <v>1</v>
      </c>
      <c r="F5329" t="s">
        <v>6793</v>
      </c>
    </row>
    <row r="5330" spans="1:6" x14ac:dyDescent="0.25">
      <c r="A5330" t="s">
        <v>6077</v>
      </c>
      <c r="B5330" t="s">
        <v>3349</v>
      </c>
      <c r="C5330" t="s">
        <v>3350</v>
      </c>
      <c r="D5330" t="str">
        <f>HYPERLINK("http://service.sap.com/sap/support/notes/1686881","1686881")</f>
        <v>1686881</v>
      </c>
      <c r="E5330">
        <v>1</v>
      </c>
      <c r="F5330" t="s">
        <v>6794</v>
      </c>
    </row>
    <row r="5331" spans="1:6" x14ac:dyDescent="0.25">
      <c r="A5331" t="s">
        <v>6077</v>
      </c>
      <c r="B5331" t="s">
        <v>691</v>
      </c>
      <c r="C5331" t="s">
        <v>692</v>
      </c>
      <c r="D5331" t="str">
        <f>HYPERLINK("http://service.sap.com/sap/support/notes/1667576","1667576")</f>
        <v>1667576</v>
      </c>
      <c r="E5331">
        <v>1</v>
      </c>
      <c r="F5331" t="s">
        <v>6795</v>
      </c>
    </row>
    <row r="5332" spans="1:6" x14ac:dyDescent="0.25">
      <c r="A5332" t="s">
        <v>6077</v>
      </c>
      <c r="B5332" t="s">
        <v>691</v>
      </c>
      <c r="C5332" t="s">
        <v>692</v>
      </c>
      <c r="D5332" t="str">
        <f>HYPERLINK("http://service.sap.com/sap/support/notes/1668429","1668429")</f>
        <v>1668429</v>
      </c>
      <c r="E5332">
        <v>1</v>
      </c>
      <c r="F5332" t="s">
        <v>6796</v>
      </c>
    </row>
    <row r="5333" spans="1:6" x14ac:dyDescent="0.25">
      <c r="A5333" t="s">
        <v>6077</v>
      </c>
      <c r="B5333" t="s">
        <v>691</v>
      </c>
      <c r="C5333" t="s">
        <v>692</v>
      </c>
      <c r="D5333" t="str">
        <f>HYPERLINK("http://service.sap.com/sap/support/notes/1669664","1669664")</f>
        <v>1669664</v>
      </c>
      <c r="E5333">
        <v>1</v>
      </c>
      <c r="F5333" t="s">
        <v>6797</v>
      </c>
    </row>
    <row r="5334" spans="1:6" x14ac:dyDescent="0.25">
      <c r="A5334" t="s">
        <v>6077</v>
      </c>
      <c r="B5334" t="s">
        <v>691</v>
      </c>
      <c r="C5334" t="s">
        <v>692</v>
      </c>
      <c r="D5334" t="str">
        <f>HYPERLINK("http://service.sap.com/sap/support/notes/1670408","1670408")</f>
        <v>1670408</v>
      </c>
      <c r="E5334">
        <v>1</v>
      </c>
      <c r="F5334" t="s">
        <v>6798</v>
      </c>
    </row>
    <row r="5335" spans="1:6" x14ac:dyDescent="0.25">
      <c r="A5335" t="s">
        <v>6077</v>
      </c>
      <c r="B5335" t="s">
        <v>691</v>
      </c>
      <c r="C5335" t="s">
        <v>692</v>
      </c>
      <c r="D5335" t="str">
        <f>HYPERLINK("http://service.sap.com/sap/support/notes/1677500","1677500")</f>
        <v>1677500</v>
      </c>
      <c r="E5335">
        <v>2</v>
      </c>
      <c r="F5335" t="s">
        <v>6799</v>
      </c>
    </row>
    <row r="5336" spans="1:6" x14ac:dyDescent="0.25">
      <c r="A5336" t="s">
        <v>6077</v>
      </c>
      <c r="B5336" t="s">
        <v>691</v>
      </c>
      <c r="C5336" t="s">
        <v>692</v>
      </c>
      <c r="D5336" t="str">
        <f>HYPERLINK("http://service.sap.com/sap/support/notes/1682012","1682012")</f>
        <v>1682012</v>
      </c>
      <c r="E5336">
        <v>1</v>
      </c>
      <c r="F5336" t="s">
        <v>6800</v>
      </c>
    </row>
    <row r="5337" spans="1:6" x14ac:dyDescent="0.25">
      <c r="A5337" t="s">
        <v>6077</v>
      </c>
      <c r="B5337" t="s">
        <v>691</v>
      </c>
      <c r="C5337" t="s">
        <v>692</v>
      </c>
      <c r="D5337" t="str">
        <f>HYPERLINK("http://service.sap.com/sap/support/notes/1682493","1682493")</f>
        <v>1682493</v>
      </c>
      <c r="E5337">
        <v>2</v>
      </c>
      <c r="F5337" t="s">
        <v>6801</v>
      </c>
    </row>
    <row r="5338" spans="1:6" x14ac:dyDescent="0.25">
      <c r="A5338" t="s">
        <v>6077</v>
      </c>
      <c r="B5338" t="s">
        <v>694</v>
      </c>
      <c r="C5338" t="s">
        <v>695</v>
      </c>
    </row>
    <row r="5339" spans="1:6" x14ac:dyDescent="0.25">
      <c r="A5339" t="s">
        <v>6077</v>
      </c>
      <c r="B5339" t="s">
        <v>696</v>
      </c>
      <c r="C5339" t="s">
        <v>33</v>
      </c>
      <c r="D5339" t="str">
        <f>HYPERLINK("http://service.sap.com/sap/support/notes/1668235","1668235")</f>
        <v>1668235</v>
      </c>
      <c r="E5339">
        <v>4</v>
      </c>
      <c r="F5339" t="s">
        <v>6802</v>
      </c>
    </row>
    <row r="5340" spans="1:6" x14ac:dyDescent="0.25">
      <c r="A5340" t="s">
        <v>6077</v>
      </c>
      <c r="B5340" t="s">
        <v>3374</v>
      </c>
      <c r="C5340" t="s">
        <v>3375</v>
      </c>
    </row>
    <row r="5341" spans="1:6" x14ac:dyDescent="0.25">
      <c r="A5341" t="s">
        <v>6077</v>
      </c>
      <c r="B5341" t="s">
        <v>3376</v>
      </c>
      <c r="C5341" t="s">
        <v>3377</v>
      </c>
      <c r="D5341" t="str">
        <f>HYPERLINK("http://service.sap.com/sap/support/notes/1661048","1661048")</f>
        <v>1661048</v>
      </c>
      <c r="E5341">
        <v>2</v>
      </c>
      <c r="F5341" t="s">
        <v>6803</v>
      </c>
    </row>
    <row r="5342" spans="1:6" x14ac:dyDescent="0.25">
      <c r="A5342" t="s">
        <v>6077</v>
      </c>
      <c r="B5342" t="s">
        <v>3376</v>
      </c>
      <c r="C5342" t="s">
        <v>3377</v>
      </c>
      <c r="D5342" t="str">
        <f>HYPERLINK("http://service.sap.com/sap/support/notes/1664724","1664724")</f>
        <v>1664724</v>
      </c>
      <c r="E5342">
        <v>3</v>
      </c>
      <c r="F5342" t="s">
        <v>6804</v>
      </c>
    </row>
    <row r="5343" spans="1:6" x14ac:dyDescent="0.25">
      <c r="A5343" t="s">
        <v>6077</v>
      </c>
      <c r="B5343" t="s">
        <v>698</v>
      </c>
      <c r="C5343" t="s">
        <v>699</v>
      </c>
    </row>
    <row r="5344" spans="1:6" x14ac:dyDescent="0.25">
      <c r="A5344" t="s">
        <v>6077</v>
      </c>
      <c r="B5344" t="s">
        <v>3413</v>
      </c>
      <c r="C5344" t="s">
        <v>14</v>
      </c>
      <c r="D5344" t="str">
        <f>HYPERLINK("http://service.sap.com/sap/support/notes/1687687","1687687")</f>
        <v>1687687</v>
      </c>
      <c r="E5344">
        <v>2</v>
      </c>
      <c r="F5344" t="s">
        <v>6805</v>
      </c>
    </row>
    <row r="5345" spans="1:6" x14ac:dyDescent="0.25">
      <c r="A5345" t="s">
        <v>6077</v>
      </c>
      <c r="B5345" t="s">
        <v>3413</v>
      </c>
      <c r="C5345" t="s">
        <v>14</v>
      </c>
      <c r="D5345" t="str">
        <f>HYPERLINK("http://service.sap.com/sap/support/notes/1691167","1691167")</f>
        <v>1691167</v>
      </c>
      <c r="E5345">
        <v>1</v>
      </c>
      <c r="F5345" t="s">
        <v>6805</v>
      </c>
    </row>
    <row r="5346" spans="1:6" x14ac:dyDescent="0.25">
      <c r="A5346" t="s">
        <v>6077</v>
      </c>
      <c r="B5346" t="s">
        <v>3416</v>
      </c>
      <c r="C5346" t="s">
        <v>3417</v>
      </c>
      <c r="D5346" t="str">
        <f>HYPERLINK("http://service.sap.com/sap/support/notes/1682703","1682703")</f>
        <v>1682703</v>
      </c>
      <c r="E5346">
        <v>2</v>
      </c>
      <c r="F5346" t="s">
        <v>6806</v>
      </c>
    </row>
    <row r="5347" spans="1:6" x14ac:dyDescent="0.25">
      <c r="A5347" t="s">
        <v>6077</v>
      </c>
      <c r="B5347" t="s">
        <v>3416</v>
      </c>
      <c r="C5347" t="s">
        <v>3417</v>
      </c>
      <c r="D5347" t="str">
        <f>HYPERLINK("http://service.sap.com/sap/support/notes/1691267","1691267")</f>
        <v>1691267</v>
      </c>
      <c r="E5347">
        <v>3</v>
      </c>
      <c r="F5347" t="s">
        <v>6807</v>
      </c>
    </row>
    <row r="5348" spans="1:6" x14ac:dyDescent="0.25">
      <c r="A5348" t="s">
        <v>6077</v>
      </c>
      <c r="B5348" t="s">
        <v>24</v>
      </c>
      <c r="C5348" t="s">
        <v>25</v>
      </c>
    </row>
    <row r="5349" spans="1:6" x14ac:dyDescent="0.25">
      <c r="A5349" t="s">
        <v>6077</v>
      </c>
      <c r="B5349" t="s">
        <v>703</v>
      </c>
      <c r="C5349" t="s">
        <v>704</v>
      </c>
      <c r="D5349" t="str">
        <f>HYPERLINK("http://service.sap.com/sap/support/notes/1653743","1653743")</f>
        <v>1653743</v>
      </c>
      <c r="E5349">
        <v>1</v>
      </c>
      <c r="F5349" t="s">
        <v>6808</v>
      </c>
    </row>
    <row r="5350" spans="1:6" x14ac:dyDescent="0.25">
      <c r="A5350" t="s">
        <v>6077</v>
      </c>
      <c r="B5350" t="s">
        <v>703</v>
      </c>
      <c r="C5350" t="s">
        <v>704</v>
      </c>
      <c r="D5350" t="str">
        <f>HYPERLINK("http://service.sap.com/sap/support/notes/1660077","1660077")</f>
        <v>1660077</v>
      </c>
      <c r="E5350">
        <v>4</v>
      </c>
      <c r="F5350" t="s">
        <v>6809</v>
      </c>
    </row>
    <row r="5351" spans="1:6" x14ac:dyDescent="0.25">
      <c r="A5351" t="s">
        <v>6077</v>
      </c>
      <c r="B5351" t="s">
        <v>703</v>
      </c>
      <c r="C5351" t="s">
        <v>704</v>
      </c>
      <c r="D5351" t="str">
        <f>HYPERLINK("http://service.sap.com/sap/support/notes/1661253","1661253")</f>
        <v>1661253</v>
      </c>
      <c r="E5351">
        <v>4</v>
      </c>
      <c r="F5351" t="s">
        <v>3466</v>
      </c>
    </row>
    <row r="5352" spans="1:6" x14ac:dyDescent="0.25">
      <c r="A5352" t="s">
        <v>6077</v>
      </c>
      <c r="B5352" t="s">
        <v>703</v>
      </c>
      <c r="C5352" t="s">
        <v>704</v>
      </c>
      <c r="D5352" t="str">
        <f>HYPERLINK("http://service.sap.com/sap/support/notes/1667674","1667674")</f>
        <v>1667674</v>
      </c>
      <c r="E5352">
        <v>1</v>
      </c>
      <c r="F5352" t="s">
        <v>6810</v>
      </c>
    </row>
    <row r="5353" spans="1:6" x14ac:dyDescent="0.25">
      <c r="A5353" t="s">
        <v>6077</v>
      </c>
      <c r="B5353" t="s">
        <v>703</v>
      </c>
      <c r="C5353" t="s">
        <v>704</v>
      </c>
      <c r="D5353" t="str">
        <f>HYPERLINK("http://service.sap.com/sap/support/notes/1673981","1673981")</f>
        <v>1673981</v>
      </c>
      <c r="E5353">
        <v>2</v>
      </c>
      <c r="F5353" t="s">
        <v>6811</v>
      </c>
    </row>
    <row r="5354" spans="1:6" x14ac:dyDescent="0.25">
      <c r="A5354" t="s">
        <v>6077</v>
      </c>
      <c r="B5354" t="s">
        <v>703</v>
      </c>
      <c r="C5354" t="s">
        <v>704</v>
      </c>
      <c r="D5354" t="str">
        <f>HYPERLINK("http://service.sap.com/sap/support/notes/1674744","1674744")</f>
        <v>1674744</v>
      </c>
      <c r="E5354">
        <v>2</v>
      </c>
      <c r="F5354" t="s">
        <v>6812</v>
      </c>
    </row>
    <row r="5355" spans="1:6" x14ac:dyDescent="0.25">
      <c r="A5355" t="s">
        <v>6077</v>
      </c>
      <c r="B5355" t="s">
        <v>703</v>
      </c>
      <c r="C5355" t="s">
        <v>704</v>
      </c>
      <c r="D5355" t="str">
        <f>HYPERLINK("http://service.sap.com/sap/support/notes/1674937","1674937")</f>
        <v>1674937</v>
      </c>
      <c r="E5355">
        <v>1</v>
      </c>
      <c r="F5355" t="s">
        <v>6813</v>
      </c>
    </row>
    <row r="5356" spans="1:6" x14ac:dyDescent="0.25">
      <c r="A5356" t="s">
        <v>6077</v>
      </c>
      <c r="B5356" t="s">
        <v>703</v>
      </c>
      <c r="C5356" t="s">
        <v>704</v>
      </c>
      <c r="D5356" t="str">
        <f>HYPERLINK("http://service.sap.com/sap/support/notes/1674945","1674945")</f>
        <v>1674945</v>
      </c>
      <c r="E5356">
        <v>2</v>
      </c>
      <c r="F5356" t="s">
        <v>6814</v>
      </c>
    </row>
    <row r="5357" spans="1:6" x14ac:dyDescent="0.25">
      <c r="A5357" t="s">
        <v>6077</v>
      </c>
      <c r="B5357" t="s">
        <v>703</v>
      </c>
      <c r="C5357" t="s">
        <v>704</v>
      </c>
      <c r="D5357" t="str">
        <f>HYPERLINK("http://service.sap.com/sap/support/notes/1674952","1674952")</f>
        <v>1674952</v>
      </c>
      <c r="E5357">
        <v>1</v>
      </c>
      <c r="F5357" t="s">
        <v>6815</v>
      </c>
    </row>
    <row r="5358" spans="1:6" x14ac:dyDescent="0.25">
      <c r="A5358" t="s">
        <v>6077</v>
      </c>
      <c r="B5358" t="s">
        <v>703</v>
      </c>
      <c r="C5358" t="s">
        <v>704</v>
      </c>
      <c r="D5358" t="str">
        <f>HYPERLINK("http://service.sap.com/sap/support/notes/1675269","1675269")</f>
        <v>1675269</v>
      </c>
      <c r="E5358">
        <v>2</v>
      </c>
      <c r="F5358" t="s">
        <v>6816</v>
      </c>
    </row>
    <row r="5359" spans="1:6" x14ac:dyDescent="0.25">
      <c r="A5359" t="s">
        <v>6077</v>
      </c>
      <c r="B5359" t="s">
        <v>703</v>
      </c>
      <c r="C5359" t="s">
        <v>704</v>
      </c>
      <c r="D5359" t="str">
        <f>HYPERLINK("http://service.sap.com/sap/support/notes/1675436","1675436")</f>
        <v>1675436</v>
      </c>
      <c r="E5359">
        <v>2</v>
      </c>
      <c r="F5359" t="s">
        <v>6817</v>
      </c>
    </row>
    <row r="5360" spans="1:6" x14ac:dyDescent="0.25">
      <c r="A5360" t="s">
        <v>6077</v>
      </c>
      <c r="B5360" t="s">
        <v>703</v>
      </c>
      <c r="C5360" t="s">
        <v>704</v>
      </c>
      <c r="D5360" t="str">
        <f>HYPERLINK("http://service.sap.com/sap/support/notes/1675619","1675619")</f>
        <v>1675619</v>
      </c>
      <c r="E5360">
        <v>1</v>
      </c>
      <c r="F5360" t="s">
        <v>3451</v>
      </c>
    </row>
    <row r="5361" spans="1:6" x14ac:dyDescent="0.25">
      <c r="A5361" t="s">
        <v>6077</v>
      </c>
      <c r="B5361" t="s">
        <v>703</v>
      </c>
      <c r="C5361" t="s">
        <v>704</v>
      </c>
      <c r="D5361" t="str">
        <f>HYPERLINK("http://service.sap.com/sap/support/notes/1676563","1676563")</f>
        <v>1676563</v>
      </c>
      <c r="E5361">
        <v>1</v>
      </c>
      <c r="F5361" t="s">
        <v>6818</v>
      </c>
    </row>
    <row r="5362" spans="1:6" x14ac:dyDescent="0.25">
      <c r="A5362" t="s">
        <v>6077</v>
      </c>
      <c r="B5362" t="s">
        <v>703</v>
      </c>
      <c r="C5362" t="s">
        <v>704</v>
      </c>
      <c r="D5362" t="str">
        <f>HYPERLINK("http://service.sap.com/sap/support/notes/1676999","1676999")</f>
        <v>1676999</v>
      </c>
      <c r="E5362">
        <v>2</v>
      </c>
      <c r="F5362" t="s">
        <v>6819</v>
      </c>
    </row>
    <row r="5363" spans="1:6" x14ac:dyDescent="0.25">
      <c r="A5363" t="s">
        <v>6077</v>
      </c>
      <c r="B5363" t="s">
        <v>703</v>
      </c>
      <c r="C5363" t="s">
        <v>704</v>
      </c>
      <c r="D5363" t="str">
        <f>HYPERLINK("http://service.sap.com/sap/support/notes/1677064","1677064")</f>
        <v>1677064</v>
      </c>
      <c r="E5363">
        <v>2</v>
      </c>
      <c r="F5363" t="s">
        <v>6820</v>
      </c>
    </row>
    <row r="5364" spans="1:6" x14ac:dyDescent="0.25">
      <c r="A5364" t="s">
        <v>6077</v>
      </c>
      <c r="B5364" t="s">
        <v>703</v>
      </c>
      <c r="C5364" t="s">
        <v>704</v>
      </c>
      <c r="D5364" t="str">
        <f>HYPERLINK("http://service.sap.com/sap/support/notes/1678350","1678350")</f>
        <v>1678350</v>
      </c>
      <c r="E5364">
        <v>2</v>
      </c>
      <c r="F5364" t="s">
        <v>6821</v>
      </c>
    </row>
    <row r="5365" spans="1:6" x14ac:dyDescent="0.25">
      <c r="A5365" t="s">
        <v>6077</v>
      </c>
      <c r="B5365" t="s">
        <v>703</v>
      </c>
      <c r="C5365" t="s">
        <v>704</v>
      </c>
      <c r="D5365" t="str">
        <f>HYPERLINK("http://service.sap.com/sap/support/notes/1679858","1679858")</f>
        <v>1679858</v>
      </c>
      <c r="E5365">
        <v>2</v>
      </c>
      <c r="F5365" t="s">
        <v>6822</v>
      </c>
    </row>
    <row r="5366" spans="1:6" x14ac:dyDescent="0.25">
      <c r="A5366" t="s">
        <v>6077</v>
      </c>
      <c r="B5366" t="s">
        <v>703</v>
      </c>
      <c r="C5366" t="s">
        <v>704</v>
      </c>
      <c r="D5366" t="str">
        <f>HYPERLINK("http://service.sap.com/sap/support/notes/1682384","1682384")</f>
        <v>1682384</v>
      </c>
      <c r="E5366">
        <v>2</v>
      </c>
      <c r="F5366" t="s">
        <v>6823</v>
      </c>
    </row>
    <row r="5367" spans="1:6" x14ac:dyDescent="0.25">
      <c r="A5367" t="s">
        <v>6077</v>
      </c>
      <c r="B5367" t="s">
        <v>703</v>
      </c>
      <c r="C5367" t="s">
        <v>704</v>
      </c>
      <c r="D5367" t="str">
        <f>HYPERLINK("http://service.sap.com/sap/support/notes/1684237","1684237")</f>
        <v>1684237</v>
      </c>
      <c r="E5367">
        <v>2</v>
      </c>
      <c r="F5367" t="s">
        <v>6824</v>
      </c>
    </row>
    <row r="5368" spans="1:6" x14ac:dyDescent="0.25">
      <c r="A5368" t="s">
        <v>6077</v>
      </c>
      <c r="B5368" t="s">
        <v>703</v>
      </c>
      <c r="C5368" t="s">
        <v>704</v>
      </c>
      <c r="D5368" t="str">
        <f>HYPERLINK("http://service.sap.com/sap/support/notes/1684268","1684268")</f>
        <v>1684268</v>
      </c>
      <c r="E5368">
        <v>1</v>
      </c>
      <c r="F5368" t="s">
        <v>6825</v>
      </c>
    </row>
    <row r="5369" spans="1:6" x14ac:dyDescent="0.25">
      <c r="A5369" t="s">
        <v>6077</v>
      </c>
      <c r="B5369" t="s">
        <v>703</v>
      </c>
      <c r="C5369" t="s">
        <v>704</v>
      </c>
      <c r="D5369" t="str">
        <f>HYPERLINK("http://service.sap.com/sap/support/notes/1684734","1684734")</f>
        <v>1684734</v>
      </c>
      <c r="E5369">
        <v>3</v>
      </c>
      <c r="F5369" t="s">
        <v>6826</v>
      </c>
    </row>
    <row r="5370" spans="1:6" x14ac:dyDescent="0.25">
      <c r="A5370" t="s">
        <v>6077</v>
      </c>
      <c r="B5370" t="s">
        <v>703</v>
      </c>
      <c r="C5370" t="s">
        <v>704</v>
      </c>
      <c r="D5370" t="str">
        <f>HYPERLINK("http://service.sap.com/sap/support/notes/1684813","1684813")</f>
        <v>1684813</v>
      </c>
      <c r="E5370">
        <v>2</v>
      </c>
      <c r="F5370" t="s">
        <v>6827</v>
      </c>
    </row>
    <row r="5371" spans="1:6" x14ac:dyDescent="0.25">
      <c r="A5371" t="s">
        <v>6077</v>
      </c>
      <c r="B5371" t="s">
        <v>703</v>
      </c>
      <c r="C5371" t="s">
        <v>704</v>
      </c>
      <c r="D5371" t="str">
        <f>HYPERLINK("http://service.sap.com/sap/support/notes/1685246","1685246")</f>
        <v>1685246</v>
      </c>
      <c r="E5371">
        <v>1</v>
      </c>
      <c r="F5371" t="s">
        <v>6828</v>
      </c>
    </row>
    <row r="5372" spans="1:6" x14ac:dyDescent="0.25">
      <c r="A5372" t="s">
        <v>6077</v>
      </c>
      <c r="B5372" t="s">
        <v>703</v>
      </c>
      <c r="C5372" t="s">
        <v>704</v>
      </c>
      <c r="D5372" t="str">
        <f>HYPERLINK("http://service.sap.com/sap/support/notes/1685286","1685286")</f>
        <v>1685286</v>
      </c>
      <c r="E5372">
        <v>1</v>
      </c>
      <c r="F5372" t="s">
        <v>6829</v>
      </c>
    </row>
    <row r="5373" spans="1:6" x14ac:dyDescent="0.25">
      <c r="A5373" t="s">
        <v>6077</v>
      </c>
      <c r="B5373" t="s">
        <v>703</v>
      </c>
      <c r="C5373" t="s">
        <v>704</v>
      </c>
      <c r="D5373" t="str">
        <f>HYPERLINK("http://service.sap.com/sap/support/notes/1685454","1685454")</f>
        <v>1685454</v>
      </c>
      <c r="E5373">
        <v>1</v>
      </c>
      <c r="F5373" t="s">
        <v>6830</v>
      </c>
    </row>
    <row r="5374" spans="1:6" x14ac:dyDescent="0.25">
      <c r="A5374" t="s">
        <v>6077</v>
      </c>
      <c r="B5374" t="s">
        <v>703</v>
      </c>
      <c r="C5374" t="s">
        <v>704</v>
      </c>
      <c r="D5374" t="str">
        <f>HYPERLINK("http://service.sap.com/sap/support/notes/1685909","1685909")</f>
        <v>1685909</v>
      </c>
      <c r="E5374">
        <v>2</v>
      </c>
      <c r="F5374" t="s">
        <v>6831</v>
      </c>
    </row>
    <row r="5375" spans="1:6" x14ac:dyDescent="0.25">
      <c r="A5375" t="s">
        <v>6077</v>
      </c>
      <c r="B5375" t="s">
        <v>703</v>
      </c>
      <c r="C5375" t="s">
        <v>704</v>
      </c>
      <c r="D5375" t="str">
        <f>HYPERLINK("http://service.sap.com/sap/support/notes/1685943","1685943")</f>
        <v>1685943</v>
      </c>
      <c r="E5375">
        <v>2</v>
      </c>
      <c r="F5375" t="s">
        <v>6832</v>
      </c>
    </row>
    <row r="5376" spans="1:6" x14ac:dyDescent="0.25">
      <c r="A5376" t="s">
        <v>6077</v>
      </c>
      <c r="B5376" t="s">
        <v>703</v>
      </c>
      <c r="C5376" t="s">
        <v>704</v>
      </c>
      <c r="D5376" t="str">
        <f>HYPERLINK("http://service.sap.com/sap/support/notes/1686443","1686443")</f>
        <v>1686443</v>
      </c>
      <c r="E5376">
        <v>1</v>
      </c>
      <c r="F5376" t="s">
        <v>6833</v>
      </c>
    </row>
    <row r="5377" spans="1:6" x14ac:dyDescent="0.25">
      <c r="A5377" t="s">
        <v>6077</v>
      </c>
      <c r="B5377" t="s">
        <v>703</v>
      </c>
      <c r="C5377" t="s">
        <v>704</v>
      </c>
      <c r="D5377" t="str">
        <f>HYPERLINK("http://service.sap.com/sap/support/notes/1689413","1689413")</f>
        <v>1689413</v>
      </c>
      <c r="E5377">
        <v>2</v>
      </c>
      <c r="F5377" t="s">
        <v>6834</v>
      </c>
    </row>
    <row r="5378" spans="1:6" x14ac:dyDescent="0.25">
      <c r="A5378" t="s">
        <v>6077</v>
      </c>
      <c r="B5378" t="s">
        <v>703</v>
      </c>
      <c r="C5378" t="s">
        <v>704</v>
      </c>
      <c r="D5378" t="str">
        <f>HYPERLINK("http://service.sap.com/sap/support/notes/1689453","1689453")</f>
        <v>1689453</v>
      </c>
      <c r="E5378">
        <v>2</v>
      </c>
      <c r="F5378" t="s">
        <v>6835</v>
      </c>
    </row>
    <row r="5379" spans="1:6" x14ac:dyDescent="0.25">
      <c r="A5379" t="s">
        <v>6077</v>
      </c>
      <c r="B5379" t="s">
        <v>703</v>
      </c>
      <c r="C5379" t="s">
        <v>704</v>
      </c>
      <c r="D5379" t="str">
        <f>HYPERLINK("http://service.sap.com/sap/support/notes/1690622","1690622")</f>
        <v>1690622</v>
      </c>
      <c r="E5379">
        <v>1</v>
      </c>
      <c r="F5379" t="s">
        <v>6836</v>
      </c>
    </row>
    <row r="5380" spans="1:6" x14ac:dyDescent="0.25">
      <c r="A5380" t="s">
        <v>6077</v>
      </c>
      <c r="B5380" t="s">
        <v>703</v>
      </c>
      <c r="C5380" t="s">
        <v>704</v>
      </c>
      <c r="D5380" t="str">
        <f>HYPERLINK("http://service.sap.com/sap/support/notes/1694828","1694828")</f>
        <v>1694828</v>
      </c>
      <c r="E5380">
        <v>2</v>
      </c>
      <c r="F5380" t="s">
        <v>6837</v>
      </c>
    </row>
    <row r="5381" spans="1:6" x14ac:dyDescent="0.25">
      <c r="A5381" t="s">
        <v>6077</v>
      </c>
      <c r="B5381" t="s">
        <v>703</v>
      </c>
      <c r="C5381" t="s">
        <v>704</v>
      </c>
      <c r="D5381" t="str">
        <f>HYPERLINK("http://service.sap.com/sap/support/notes/1694914","1694914")</f>
        <v>1694914</v>
      </c>
      <c r="E5381">
        <v>2</v>
      </c>
      <c r="F5381" t="s">
        <v>6838</v>
      </c>
    </row>
    <row r="5382" spans="1:6" x14ac:dyDescent="0.25">
      <c r="A5382" t="s">
        <v>6077</v>
      </c>
      <c r="B5382" t="s">
        <v>3482</v>
      </c>
      <c r="C5382" t="s">
        <v>3483</v>
      </c>
      <c r="D5382" t="str">
        <f>HYPERLINK("http://service.sap.com/sap/support/notes/1691746","1691746")</f>
        <v>1691746</v>
      </c>
      <c r="E5382">
        <v>2</v>
      </c>
      <c r="F5382" t="s">
        <v>6839</v>
      </c>
    </row>
    <row r="5383" spans="1:6" x14ac:dyDescent="0.25">
      <c r="A5383" t="s">
        <v>6077</v>
      </c>
      <c r="B5383" t="s">
        <v>3482</v>
      </c>
      <c r="C5383" t="s">
        <v>3483</v>
      </c>
      <c r="D5383" t="str">
        <f>HYPERLINK("http://service.sap.com/sap/support/notes/1694742","1694742")</f>
        <v>1694742</v>
      </c>
      <c r="E5383">
        <v>2</v>
      </c>
      <c r="F5383" t="s">
        <v>6840</v>
      </c>
    </row>
    <row r="5384" spans="1:6" x14ac:dyDescent="0.25">
      <c r="A5384" t="s">
        <v>6077</v>
      </c>
      <c r="B5384" t="s">
        <v>3482</v>
      </c>
      <c r="C5384" t="s">
        <v>3483</v>
      </c>
      <c r="D5384" t="str">
        <f>HYPERLINK("http://service.sap.com/sap/support/notes/1696785","1696785")</f>
        <v>1696785</v>
      </c>
      <c r="E5384">
        <v>1</v>
      </c>
      <c r="F5384" t="s">
        <v>6841</v>
      </c>
    </row>
    <row r="5385" spans="1:6" x14ac:dyDescent="0.25">
      <c r="A5385" t="s">
        <v>6077</v>
      </c>
      <c r="B5385" t="s">
        <v>3485</v>
      </c>
      <c r="C5385" t="s">
        <v>3486</v>
      </c>
      <c r="D5385" t="str">
        <f>HYPERLINK("http://service.sap.com/sap/support/notes/1676423","1676423")</f>
        <v>1676423</v>
      </c>
      <c r="E5385">
        <v>1</v>
      </c>
      <c r="F5385" t="s">
        <v>6842</v>
      </c>
    </row>
    <row r="5386" spans="1:6" x14ac:dyDescent="0.25">
      <c r="A5386" t="s">
        <v>6077</v>
      </c>
      <c r="B5386" t="s">
        <v>3485</v>
      </c>
      <c r="C5386" t="s">
        <v>3486</v>
      </c>
      <c r="D5386" t="str">
        <f>HYPERLINK("http://service.sap.com/sap/support/notes/1686148","1686148")</f>
        <v>1686148</v>
      </c>
      <c r="E5386">
        <v>3</v>
      </c>
      <c r="F5386" t="s">
        <v>6843</v>
      </c>
    </row>
    <row r="5387" spans="1:6" x14ac:dyDescent="0.25">
      <c r="A5387" t="s">
        <v>6077</v>
      </c>
      <c r="B5387" t="s">
        <v>707</v>
      </c>
      <c r="C5387" t="s">
        <v>708</v>
      </c>
      <c r="D5387" t="str">
        <f>HYPERLINK("http://service.sap.com/sap/support/notes/1664024","1664024")</f>
        <v>1664024</v>
      </c>
      <c r="E5387">
        <v>2</v>
      </c>
      <c r="F5387" t="s">
        <v>6844</v>
      </c>
    </row>
    <row r="5388" spans="1:6" x14ac:dyDescent="0.25">
      <c r="A5388" t="s">
        <v>6077</v>
      </c>
      <c r="B5388" t="s">
        <v>707</v>
      </c>
      <c r="C5388" t="s">
        <v>708</v>
      </c>
      <c r="D5388" t="str">
        <f>HYPERLINK("http://service.sap.com/sap/support/notes/1675553","1675553")</f>
        <v>1675553</v>
      </c>
      <c r="E5388">
        <v>2</v>
      </c>
      <c r="F5388" t="s">
        <v>6845</v>
      </c>
    </row>
    <row r="5389" spans="1:6" x14ac:dyDescent="0.25">
      <c r="A5389" t="s">
        <v>6077</v>
      </c>
      <c r="B5389" t="s">
        <v>707</v>
      </c>
      <c r="C5389" t="s">
        <v>708</v>
      </c>
      <c r="D5389" t="str">
        <f>HYPERLINK("http://service.sap.com/sap/support/notes/1683123","1683123")</f>
        <v>1683123</v>
      </c>
      <c r="E5389">
        <v>1</v>
      </c>
      <c r="F5389" t="s">
        <v>6846</v>
      </c>
    </row>
    <row r="5390" spans="1:6" x14ac:dyDescent="0.25">
      <c r="A5390" t="s">
        <v>6077</v>
      </c>
      <c r="B5390" t="s">
        <v>707</v>
      </c>
      <c r="C5390" t="s">
        <v>708</v>
      </c>
      <c r="D5390" t="str">
        <f>HYPERLINK("http://service.sap.com/sap/support/notes/1683368","1683368")</f>
        <v>1683368</v>
      </c>
      <c r="E5390">
        <v>1</v>
      </c>
      <c r="F5390" t="s">
        <v>6847</v>
      </c>
    </row>
    <row r="5391" spans="1:6" x14ac:dyDescent="0.25">
      <c r="A5391" t="s">
        <v>6077</v>
      </c>
      <c r="B5391" t="s">
        <v>707</v>
      </c>
      <c r="C5391" t="s">
        <v>708</v>
      </c>
      <c r="D5391" t="str">
        <f>HYPERLINK("http://service.sap.com/sap/support/notes/1686354","1686354")</f>
        <v>1686354</v>
      </c>
      <c r="E5391">
        <v>1</v>
      </c>
      <c r="F5391" t="s">
        <v>6848</v>
      </c>
    </row>
    <row r="5392" spans="1:6" x14ac:dyDescent="0.25">
      <c r="A5392" t="s">
        <v>6077</v>
      </c>
      <c r="B5392" t="s">
        <v>6849</v>
      </c>
      <c r="C5392" t="s">
        <v>6850</v>
      </c>
      <c r="D5392" t="str">
        <f>HYPERLINK("http://service.sap.com/sap/support/notes/1675625","1675625")</f>
        <v>1675625</v>
      </c>
      <c r="E5392">
        <v>1</v>
      </c>
      <c r="F5392" t="s">
        <v>6851</v>
      </c>
    </row>
    <row r="5393" spans="1:6" x14ac:dyDescent="0.25">
      <c r="A5393" t="s">
        <v>6077</v>
      </c>
      <c r="B5393" t="s">
        <v>6849</v>
      </c>
      <c r="C5393" t="s">
        <v>6850</v>
      </c>
      <c r="D5393" t="str">
        <f>HYPERLINK("http://service.sap.com/sap/support/notes/1677863","1677863")</f>
        <v>1677863</v>
      </c>
      <c r="E5393">
        <v>1</v>
      </c>
      <c r="F5393" t="s">
        <v>6852</v>
      </c>
    </row>
    <row r="5394" spans="1:6" x14ac:dyDescent="0.25">
      <c r="A5394" t="s">
        <v>6077</v>
      </c>
      <c r="B5394" t="s">
        <v>3511</v>
      </c>
      <c r="C5394" t="s">
        <v>170</v>
      </c>
      <c r="D5394" t="str">
        <f>HYPERLINK("http://service.sap.com/sap/support/notes/1668938","1668938")</f>
        <v>1668938</v>
      </c>
      <c r="E5394">
        <v>1</v>
      </c>
      <c r="F5394" t="s">
        <v>6853</v>
      </c>
    </row>
    <row r="5395" spans="1:6" x14ac:dyDescent="0.25">
      <c r="A5395" t="s">
        <v>6077</v>
      </c>
      <c r="B5395" t="s">
        <v>710</v>
      </c>
      <c r="C5395" t="s">
        <v>711</v>
      </c>
    </row>
    <row r="5396" spans="1:6" x14ac:dyDescent="0.25">
      <c r="A5396" t="s">
        <v>6077</v>
      </c>
      <c r="B5396" t="s">
        <v>3522</v>
      </c>
      <c r="C5396" t="s">
        <v>3283</v>
      </c>
      <c r="D5396" t="str">
        <f>HYPERLINK("http://service.sap.com/sap/support/notes/1644268","1644268")</f>
        <v>1644268</v>
      </c>
      <c r="E5396">
        <v>7</v>
      </c>
      <c r="F5396" t="s">
        <v>3528</v>
      </c>
    </row>
    <row r="5397" spans="1:6" x14ac:dyDescent="0.25">
      <c r="A5397" t="s">
        <v>6077</v>
      </c>
      <c r="B5397" t="s">
        <v>3522</v>
      </c>
      <c r="C5397" t="s">
        <v>3283</v>
      </c>
      <c r="D5397" t="str">
        <f>HYPERLINK("http://service.sap.com/sap/support/notes/1668895","1668895")</f>
        <v>1668895</v>
      </c>
      <c r="E5397">
        <v>2</v>
      </c>
      <c r="F5397" t="s">
        <v>6854</v>
      </c>
    </row>
    <row r="5398" spans="1:6" x14ac:dyDescent="0.25">
      <c r="A5398" t="s">
        <v>6077</v>
      </c>
      <c r="B5398" t="s">
        <v>3522</v>
      </c>
      <c r="C5398" t="s">
        <v>3283</v>
      </c>
      <c r="D5398" t="str">
        <f>HYPERLINK("http://service.sap.com/sap/support/notes/1694935","1694935")</f>
        <v>1694935</v>
      </c>
      <c r="E5398">
        <v>1</v>
      </c>
      <c r="F5398" t="s">
        <v>6855</v>
      </c>
    </row>
    <row r="5399" spans="1:6" x14ac:dyDescent="0.25">
      <c r="A5399" t="s">
        <v>6077</v>
      </c>
      <c r="B5399" t="s">
        <v>3533</v>
      </c>
      <c r="C5399" t="s">
        <v>337</v>
      </c>
      <c r="D5399" t="str">
        <f>HYPERLINK("http://service.sap.com/sap/support/notes/1681870","1681870")</f>
        <v>1681870</v>
      </c>
      <c r="E5399">
        <v>2</v>
      </c>
      <c r="F5399" t="s">
        <v>6856</v>
      </c>
    </row>
    <row r="5400" spans="1:6" x14ac:dyDescent="0.25">
      <c r="A5400" t="s">
        <v>6077</v>
      </c>
      <c r="B5400" t="s">
        <v>6857</v>
      </c>
      <c r="C5400" t="s">
        <v>6858</v>
      </c>
      <c r="D5400" t="str">
        <f>HYPERLINK("http://service.sap.com/sap/support/notes/1674480","1674480")</f>
        <v>1674480</v>
      </c>
      <c r="E5400">
        <v>7</v>
      </c>
      <c r="F5400" t="s">
        <v>6859</v>
      </c>
    </row>
    <row r="5401" spans="1:6" x14ac:dyDescent="0.25">
      <c r="A5401" t="s">
        <v>6077</v>
      </c>
      <c r="B5401" t="s">
        <v>3549</v>
      </c>
      <c r="C5401" t="s">
        <v>3550</v>
      </c>
      <c r="D5401" t="str">
        <f>HYPERLINK("http://service.sap.com/sap/support/notes/1659494","1659494")</f>
        <v>1659494</v>
      </c>
      <c r="E5401">
        <v>2</v>
      </c>
      <c r="F5401" t="s">
        <v>6860</v>
      </c>
    </row>
    <row r="5402" spans="1:6" x14ac:dyDescent="0.25">
      <c r="A5402" t="s">
        <v>6077</v>
      </c>
      <c r="B5402" t="s">
        <v>3549</v>
      </c>
      <c r="C5402" t="s">
        <v>3550</v>
      </c>
      <c r="D5402" t="str">
        <f>HYPERLINK("http://service.sap.com/sap/support/notes/1678305","1678305")</f>
        <v>1678305</v>
      </c>
      <c r="E5402">
        <v>1</v>
      </c>
      <c r="F5402" t="s">
        <v>6861</v>
      </c>
    </row>
    <row r="5403" spans="1:6" x14ac:dyDescent="0.25">
      <c r="A5403" t="s">
        <v>6077</v>
      </c>
      <c r="B5403" t="s">
        <v>3549</v>
      </c>
      <c r="C5403" t="s">
        <v>3550</v>
      </c>
      <c r="D5403" t="str">
        <f>HYPERLINK("http://service.sap.com/sap/support/notes/1695056","1695056")</f>
        <v>1695056</v>
      </c>
      <c r="E5403">
        <v>1</v>
      </c>
      <c r="F5403" t="s">
        <v>6862</v>
      </c>
    </row>
    <row r="5404" spans="1:6" x14ac:dyDescent="0.25">
      <c r="A5404" t="s">
        <v>6077</v>
      </c>
      <c r="B5404" t="s">
        <v>3564</v>
      </c>
      <c r="C5404" t="s">
        <v>3565</v>
      </c>
      <c r="D5404" t="str">
        <f>HYPERLINK("http://service.sap.com/sap/support/notes/1641177","1641177")</f>
        <v>1641177</v>
      </c>
      <c r="E5404">
        <v>2</v>
      </c>
      <c r="F5404" t="s">
        <v>6863</v>
      </c>
    </row>
    <row r="5405" spans="1:6" x14ac:dyDescent="0.25">
      <c r="A5405" t="s">
        <v>6077</v>
      </c>
      <c r="B5405" t="s">
        <v>3572</v>
      </c>
      <c r="C5405" t="s">
        <v>3573</v>
      </c>
      <c r="D5405" t="str">
        <f>HYPERLINK("http://service.sap.com/sap/support/notes/1673843","1673843")</f>
        <v>1673843</v>
      </c>
      <c r="E5405">
        <v>2</v>
      </c>
      <c r="F5405" t="s">
        <v>6864</v>
      </c>
    </row>
    <row r="5406" spans="1:6" x14ac:dyDescent="0.25">
      <c r="A5406" t="s">
        <v>6077</v>
      </c>
      <c r="B5406" t="s">
        <v>720</v>
      </c>
      <c r="C5406" t="s">
        <v>721</v>
      </c>
      <c r="D5406" t="str">
        <f>HYPERLINK("http://service.sap.com/sap/support/notes/1674231","1674231")</f>
        <v>1674231</v>
      </c>
      <c r="E5406">
        <v>3</v>
      </c>
      <c r="F5406" t="s">
        <v>6865</v>
      </c>
    </row>
    <row r="5407" spans="1:6" x14ac:dyDescent="0.25">
      <c r="A5407" t="s">
        <v>6077</v>
      </c>
      <c r="B5407" t="s">
        <v>720</v>
      </c>
      <c r="C5407" t="s">
        <v>721</v>
      </c>
      <c r="D5407" t="str">
        <f>HYPERLINK("http://service.sap.com/sap/support/notes/1677328","1677328")</f>
        <v>1677328</v>
      </c>
      <c r="E5407">
        <v>2</v>
      </c>
      <c r="F5407" t="s">
        <v>6866</v>
      </c>
    </row>
    <row r="5408" spans="1:6" x14ac:dyDescent="0.25">
      <c r="A5408" t="s">
        <v>6077</v>
      </c>
      <c r="B5408" t="s">
        <v>720</v>
      </c>
      <c r="C5408" t="s">
        <v>721</v>
      </c>
      <c r="D5408" t="str">
        <f>HYPERLINK("http://service.sap.com/sap/support/notes/1686609","1686609")</f>
        <v>1686609</v>
      </c>
      <c r="E5408">
        <v>1</v>
      </c>
      <c r="F5408" t="s">
        <v>6867</v>
      </c>
    </row>
    <row r="5409" spans="1:6" x14ac:dyDescent="0.25">
      <c r="A5409" t="s">
        <v>6077</v>
      </c>
      <c r="B5409" t="s">
        <v>720</v>
      </c>
      <c r="C5409" t="s">
        <v>721</v>
      </c>
      <c r="D5409" t="str">
        <f>HYPERLINK("http://service.sap.com/sap/support/notes/1688910","1688910")</f>
        <v>1688910</v>
      </c>
      <c r="E5409">
        <v>3</v>
      </c>
      <c r="F5409" t="s">
        <v>6868</v>
      </c>
    </row>
    <row r="5410" spans="1:6" x14ac:dyDescent="0.25">
      <c r="A5410" t="s">
        <v>6077</v>
      </c>
      <c r="B5410" t="s">
        <v>6869</v>
      </c>
      <c r="C5410" t="s">
        <v>6870</v>
      </c>
    </row>
    <row r="5411" spans="1:6" x14ac:dyDescent="0.25">
      <c r="A5411" t="s">
        <v>6077</v>
      </c>
      <c r="B5411" t="s">
        <v>6871</v>
      </c>
      <c r="C5411" t="s">
        <v>6872</v>
      </c>
      <c r="D5411" t="str">
        <f>HYPERLINK("http://service.sap.com/sap/support/notes/1683097","1683097")</f>
        <v>1683097</v>
      </c>
      <c r="E5411">
        <v>1</v>
      </c>
      <c r="F5411" t="s">
        <v>6873</v>
      </c>
    </row>
    <row r="5412" spans="1:6" x14ac:dyDescent="0.25">
      <c r="A5412" t="s">
        <v>6077</v>
      </c>
      <c r="B5412" t="s">
        <v>6871</v>
      </c>
      <c r="C5412" t="s">
        <v>6872</v>
      </c>
      <c r="D5412" t="str">
        <f>HYPERLINK("http://service.sap.com/sap/support/notes/1694996","1694996")</f>
        <v>1694996</v>
      </c>
      <c r="E5412">
        <v>2</v>
      </c>
      <c r="F5412" t="s">
        <v>6874</v>
      </c>
    </row>
    <row r="5413" spans="1:6" x14ac:dyDescent="0.25">
      <c r="A5413" t="s">
        <v>6077</v>
      </c>
      <c r="B5413" t="s">
        <v>723</v>
      </c>
      <c r="C5413" t="s">
        <v>724</v>
      </c>
      <c r="D5413" t="str">
        <f>HYPERLINK("http://service.sap.com/sap/support/notes/1653821","1653821")</f>
        <v>1653821</v>
      </c>
      <c r="E5413">
        <v>2</v>
      </c>
      <c r="F5413" t="s">
        <v>6875</v>
      </c>
    </row>
    <row r="5414" spans="1:6" x14ac:dyDescent="0.25">
      <c r="A5414" t="s">
        <v>6077</v>
      </c>
      <c r="B5414" t="s">
        <v>723</v>
      </c>
      <c r="C5414" t="s">
        <v>724</v>
      </c>
      <c r="D5414" t="str">
        <f>HYPERLINK("http://service.sap.com/sap/support/notes/1670637","1670637")</f>
        <v>1670637</v>
      </c>
      <c r="E5414">
        <v>2</v>
      </c>
      <c r="F5414" t="s">
        <v>6876</v>
      </c>
    </row>
    <row r="5415" spans="1:6" x14ac:dyDescent="0.25">
      <c r="A5415" t="s">
        <v>6077</v>
      </c>
      <c r="B5415" t="s">
        <v>723</v>
      </c>
      <c r="C5415" t="s">
        <v>724</v>
      </c>
      <c r="D5415" t="str">
        <f>HYPERLINK("http://service.sap.com/sap/support/notes/1671490","1671490")</f>
        <v>1671490</v>
      </c>
      <c r="E5415">
        <v>1</v>
      </c>
      <c r="F5415" t="s">
        <v>6877</v>
      </c>
    </row>
    <row r="5416" spans="1:6" x14ac:dyDescent="0.25">
      <c r="A5416" t="s">
        <v>6077</v>
      </c>
      <c r="B5416" t="s">
        <v>723</v>
      </c>
      <c r="C5416" t="s">
        <v>724</v>
      </c>
      <c r="D5416" t="str">
        <f>HYPERLINK("http://service.sap.com/sap/support/notes/1679852","1679852")</f>
        <v>1679852</v>
      </c>
      <c r="E5416">
        <v>1</v>
      </c>
      <c r="F5416" t="s">
        <v>6878</v>
      </c>
    </row>
    <row r="5417" spans="1:6" x14ac:dyDescent="0.25">
      <c r="A5417" t="s">
        <v>6077</v>
      </c>
      <c r="B5417" t="s">
        <v>3594</v>
      </c>
      <c r="C5417" t="s">
        <v>3595</v>
      </c>
      <c r="D5417" t="str">
        <f>HYPERLINK("http://service.sap.com/sap/support/notes/1674331","1674331")</f>
        <v>1674331</v>
      </c>
      <c r="E5417">
        <v>1</v>
      </c>
      <c r="F5417" t="s">
        <v>6879</v>
      </c>
    </row>
    <row r="5418" spans="1:6" x14ac:dyDescent="0.25">
      <c r="A5418" t="s">
        <v>6077</v>
      </c>
      <c r="B5418" t="s">
        <v>729</v>
      </c>
      <c r="C5418" t="s">
        <v>730</v>
      </c>
      <c r="D5418" t="str">
        <f>HYPERLINK("http://service.sap.com/sap/support/notes/1667565","1667565")</f>
        <v>1667565</v>
      </c>
      <c r="E5418">
        <v>1</v>
      </c>
      <c r="F5418" t="s">
        <v>6880</v>
      </c>
    </row>
    <row r="5419" spans="1:6" x14ac:dyDescent="0.25">
      <c r="A5419" t="s">
        <v>6077</v>
      </c>
      <c r="B5419" t="s">
        <v>729</v>
      </c>
      <c r="C5419" t="s">
        <v>730</v>
      </c>
      <c r="D5419" t="str">
        <f>HYPERLINK("http://service.sap.com/sap/support/notes/1679132","1679132")</f>
        <v>1679132</v>
      </c>
      <c r="E5419">
        <v>2</v>
      </c>
      <c r="F5419" t="s">
        <v>6881</v>
      </c>
    </row>
    <row r="5420" spans="1:6" x14ac:dyDescent="0.25">
      <c r="A5420" t="s">
        <v>6077</v>
      </c>
      <c r="B5420" t="s">
        <v>732</v>
      </c>
      <c r="C5420" t="s">
        <v>733</v>
      </c>
    </row>
    <row r="5421" spans="1:6" x14ac:dyDescent="0.25">
      <c r="A5421" t="s">
        <v>6077</v>
      </c>
      <c r="B5421" t="s">
        <v>3607</v>
      </c>
      <c r="C5421" t="s">
        <v>3608</v>
      </c>
      <c r="D5421" t="str">
        <f>HYPERLINK("http://service.sap.com/sap/support/notes/1677181","1677181")</f>
        <v>1677181</v>
      </c>
      <c r="E5421">
        <v>1</v>
      </c>
      <c r="F5421" t="s">
        <v>6882</v>
      </c>
    </row>
    <row r="5422" spans="1:6" x14ac:dyDescent="0.25">
      <c r="A5422" t="s">
        <v>6077</v>
      </c>
      <c r="B5422" t="s">
        <v>3613</v>
      </c>
      <c r="C5422" t="s">
        <v>3614</v>
      </c>
      <c r="D5422" t="str">
        <f>HYPERLINK("http://service.sap.com/sap/support/notes/1623742","1623742")</f>
        <v>1623742</v>
      </c>
      <c r="E5422">
        <v>1</v>
      </c>
      <c r="F5422" t="s">
        <v>3616</v>
      </c>
    </row>
    <row r="5423" spans="1:6" x14ac:dyDescent="0.25">
      <c r="A5423" t="s">
        <v>6077</v>
      </c>
      <c r="B5423" t="s">
        <v>3613</v>
      </c>
      <c r="C5423" t="s">
        <v>3614</v>
      </c>
      <c r="D5423" t="str">
        <f>HYPERLINK("http://service.sap.com/sap/support/notes/1648936","1648936")</f>
        <v>1648936</v>
      </c>
      <c r="E5423">
        <v>3</v>
      </c>
      <c r="F5423" t="s">
        <v>3615</v>
      </c>
    </row>
    <row r="5424" spans="1:6" x14ac:dyDescent="0.25">
      <c r="A5424" t="s">
        <v>6077</v>
      </c>
      <c r="B5424" t="s">
        <v>3621</v>
      </c>
      <c r="C5424" t="s">
        <v>672</v>
      </c>
      <c r="D5424" t="str">
        <f>HYPERLINK("http://service.sap.com/sap/support/notes/1682550","1682550")</f>
        <v>1682550</v>
      </c>
      <c r="E5424">
        <v>1</v>
      </c>
      <c r="F5424" t="s">
        <v>6883</v>
      </c>
    </row>
    <row r="5425" spans="1:6" x14ac:dyDescent="0.25">
      <c r="A5425" t="s">
        <v>6077</v>
      </c>
      <c r="B5425" t="s">
        <v>3623</v>
      </c>
      <c r="C5425" t="s">
        <v>859</v>
      </c>
      <c r="D5425" t="str">
        <f>HYPERLINK("http://service.sap.com/sap/support/notes/1673501","1673501")</f>
        <v>1673501</v>
      </c>
      <c r="E5425">
        <v>2</v>
      </c>
      <c r="F5425" t="s">
        <v>6884</v>
      </c>
    </row>
    <row r="5426" spans="1:6" x14ac:dyDescent="0.25">
      <c r="A5426" t="s">
        <v>6077</v>
      </c>
      <c r="B5426" t="s">
        <v>3631</v>
      </c>
      <c r="C5426" t="s">
        <v>170</v>
      </c>
      <c r="D5426" t="str">
        <f>HYPERLINK("http://service.sap.com/sap/support/notes/1674293","1674293")</f>
        <v>1674293</v>
      </c>
      <c r="E5426">
        <v>1</v>
      </c>
      <c r="F5426" t="s">
        <v>6885</v>
      </c>
    </row>
    <row r="5427" spans="1:6" x14ac:dyDescent="0.25">
      <c r="A5427" t="s">
        <v>6077</v>
      </c>
      <c r="B5427" t="s">
        <v>3640</v>
      </c>
      <c r="C5427" t="s">
        <v>3641</v>
      </c>
    </row>
    <row r="5428" spans="1:6" x14ac:dyDescent="0.25">
      <c r="A5428" t="s">
        <v>6077</v>
      </c>
      <c r="B5428" t="s">
        <v>3642</v>
      </c>
      <c r="C5428" t="s">
        <v>3643</v>
      </c>
      <c r="D5428" t="str">
        <f>HYPERLINK("http://service.sap.com/sap/support/notes/1677732","1677732")</f>
        <v>1677732</v>
      </c>
      <c r="E5428">
        <v>1</v>
      </c>
      <c r="F5428" t="s">
        <v>6886</v>
      </c>
    </row>
    <row r="5429" spans="1:6" x14ac:dyDescent="0.25">
      <c r="A5429" t="s">
        <v>6077</v>
      </c>
      <c r="B5429" t="s">
        <v>737</v>
      </c>
      <c r="C5429" t="s">
        <v>738</v>
      </c>
    </row>
    <row r="5430" spans="1:6" x14ac:dyDescent="0.25">
      <c r="A5430" t="s">
        <v>6077</v>
      </c>
      <c r="B5430" t="s">
        <v>739</v>
      </c>
      <c r="C5430" t="s">
        <v>740</v>
      </c>
      <c r="D5430" t="str">
        <f>HYPERLINK("http://service.sap.com/sap/support/notes/1117947","1117947")</f>
        <v>1117947</v>
      </c>
      <c r="E5430">
        <v>2</v>
      </c>
      <c r="F5430" t="s">
        <v>6887</v>
      </c>
    </row>
    <row r="5431" spans="1:6" x14ac:dyDescent="0.25">
      <c r="A5431" t="s">
        <v>6077</v>
      </c>
      <c r="B5431" t="s">
        <v>739</v>
      </c>
      <c r="C5431" t="s">
        <v>740</v>
      </c>
      <c r="D5431" t="str">
        <f>HYPERLINK("http://service.sap.com/sap/support/notes/1675717","1675717")</f>
        <v>1675717</v>
      </c>
      <c r="E5431">
        <v>1</v>
      </c>
      <c r="F5431" t="s">
        <v>6888</v>
      </c>
    </row>
    <row r="5432" spans="1:6" x14ac:dyDescent="0.25">
      <c r="A5432" t="s">
        <v>6077</v>
      </c>
      <c r="B5432" t="s">
        <v>739</v>
      </c>
      <c r="C5432" t="s">
        <v>740</v>
      </c>
      <c r="D5432" t="str">
        <f>HYPERLINK("http://service.sap.com/sap/support/notes/1696111","1696111")</f>
        <v>1696111</v>
      </c>
      <c r="E5432">
        <v>2</v>
      </c>
      <c r="F5432" t="s">
        <v>6889</v>
      </c>
    </row>
    <row r="5433" spans="1:6" x14ac:dyDescent="0.25">
      <c r="A5433" t="s">
        <v>6077</v>
      </c>
      <c r="B5433" t="s">
        <v>3657</v>
      </c>
      <c r="C5433" t="s">
        <v>284</v>
      </c>
    </row>
    <row r="5434" spans="1:6" x14ac:dyDescent="0.25">
      <c r="A5434" t="s">
        <v>6077</v>
      </c>
      <c r="B5434" t="s">
        <v>3658</v>
      </c>
      <c r="C5434" t="s">
        <v>3659</v>
      </c>
      <c r="D5434" t="str">
        <f>HYPERLINK("http://service.sap.com/sap/support/notes/1677521","1677521")</f>
        <v>1677521</v>
      </c>
      <c r="E5434">
        <v>2</v>
      </c>
      <c r="F5434" t="s">
        <v>6890</v>
      </c>
    </row>
    <row r="5435" spans="1:6" x14ac:dyDescent="0.25">
      <c r="A5435" t="s">
        <v>6077</v>
      </c>
      <c r="B5435" t="s">
        <v>3658</v>
      </c>
      <c r="C5435" t="s">
        <v>3659</v>
      </c>
      <c r="D5435" t="str">
        <f>HYPERLINK("http://service.sap.com/sap/support/notes/1687793","1687793")</f>
        <v>1687793</v>
      </c>
      <c r="E5435">
        <v>1</v>
      </c>
      <c r="F5435" t="s">
        <v>6891</v>
      </c>
    </row>
    <row r="5436" spans="1:6" x14ac:dyDescent="0.25">
      <c r="A5436" t="s">
        <v>6077</v>
      </c>
      <c r="B5436" t="s">
        <v>3658</v>
      </c>
      <c r="C5436" t="s">
        <v>3659</v>
      </c>
      <c r="D5436" t="str">
        <f>HYPERLINK("http://service.sap.com/sap/support/notes/1688051","1688051")</f>
        <v>1688051</v>
      </c>
      <c r="E5436">
        <v>1</v>
      </c>
      <c r="F5436" t="s">
        <v>6892</v>
      </c>
    </row>
    <row r="5437" spans="1:6" x14ac:dyDescent="0.25">
      <c r="A5437" t="s">
        <v>6077</v>
      </c>
      <c r="B5437" t="s">
        <v>3674</v>
      </c>
      <c r="C5437" t="s">
        <v>3675</v>
      </c>
      <c r="D5437" t="str">
        <f>HYPERLINK("http://service.sap.com/sap/support/notes/1674955","1674955")</f>
        <v>1674955</v>
      </c>
      <c r="E5437">
        <v>1</v>
      </c>
      <c r="F5437" t="s">
        <v>6893</v>
      </c>
    </row>
    <row r="5438" spans="1:6" x14ac:dyDescent="0.25">
      <c r="A5438" t="s">
        <v>6077</v>
      </c>
      <c r="B5438" t="s">
        <v>3674</v>
      </c>
      <c r="C5438" t="s">
        <v>3675</v>
      </c>
      <c r="D5438" t="str">
        <f>HYPERLINK("http://service.sap.com/sap/support/notes/1678037","1678037")</f>
        <v>1678037</v>
      </c>
      <c r="E5438">
        <v>2</v>
      </c>
      <c r="F5438" t="s">
        <v>6894</v>
      </c>
    </row>
    <row r="5439" spans="1:6" x14ac:dyDescent="0.25">
      <c r="A5439" t="s">
        <v>6077</v>
      </c>
      <c r="B5439" t="s">
        <v>3687</v>
      </c>
      <c r="C5439" t="s">
        <v>3688</v>
      </c>
      <c r="D5439" t="str">
        <f>HYPERLINK("http://service.sap.com/sap/support/notes/1676149","1676149")</f>
        <v>1676149</v>
      </c>
      <c r="E5439">
        <v>1</v>
      </c>
      <c r="F5439" t="s">
        <v>6895</v>
      </c>
    </row>
    <row r="5440" spans="1:6" x14ac:dyDescent="0.25">
      <c r="A5440" t="s">
        <v>6077</v>
      </c>
      <c r="B5440" t="s">
        <v>3687</v>
      </c>
      <c r="C5440" t="s">
        <v>3688</v>
      </c>
      <c r="D5440" t="str">
        <f>HYPERLINK("http://service.sap.com/sap/support/notes/1679729","1679729")</f>
        <v>1679729</v>
      </c>
      <c r="E5440">
        <v>3</v>
      </c>
      <c r="F5440" t="s">
        <v>6896</v>
      </c>
    </row>
    <row r="5441" spans="1:6" x14ac:dyDescent="0.25">
      <c r="A5441" t="s">
        <v>6077</v>
      </c>
      <c r="B5441" t="s">
        <v>3687</v>
      </c>
      <c r="C5441" t="s">
        <v>3688</v>
      </c>
      <c r="D5441" t="str">
        <f>HYPERLINK("http://service.sap.com/sap/support/notes/1681392","1681392")</f>
        <v>1681392</v>
      </c>
      <c r="E5441">
        <v>1</v>
      </c>
      <c r="F5441" t="s">
        <v>6897</v>
      </c>
    </row>
    <row r="5442" spans="1:6" x14ac:dyDescent="0.25">
      <c r="A5442" t="s">
        <v>6077</v>
      </c>
      <c r="B5442" t="s">
        <v>3687</v>
      </c>
      <c r="C5442" t="s">
        <v>3688</v>
      </c>
      <c r="D5442" t="str">
        <f>HYPERLINK("http://service.sap.com/sap/support/notes/1688330","1688330")</f>
        <v>1688330</v>
      </c>
      <c r="E5442">
        <v>1</v>
      </c>
      <c r="F5442" t="s">
        <v>6898</v>
      </c>
    </row>
    <row r="5443" spans="1:6" x14ac:dyDescent="0.25">
      <c r="A5443" t="s">
        <v>6077</v>
      </c>
      <c r="B5443" t="s">
        <v>6899</v>
      </c>
      <c r="C5443" t="s">
        <v>6900</v>
      </c>
      <c r="D5443" t="str">
        <f>HYPERLINK("http://service.sap.com/sap/support/notes/1695582","1695582")</f>
        <v>1695582</v>
      </c>
      <c r="E5443">
        <v>2</v>
      </c>
      <c r="F5443" t="s">
        <v>6901</v>
      </c>
    </row>
    <row r="5444" spans="1:6" x14ac:dyDescent="0.25">
      <c r="A5444" t="s">
        <v>6077</v>
      </c>
      <c r="B5444" t="s">
        <v>743</v>
      </c>
      <c r="C5444" t="s">
        <v>744</v>
      </c>
      <c r="D5444" t="str">
        <f>HYPERLINK("http://service.sap.com/sap/support/notes/1667467","1667467")</f>
        <v>1667467</v>
      </c>
      <c r="E5444">
        <v>2</v>
      </c>
      <c r="F5444" t="s">
        <v>6902</v>
      </c>
    </row>
    <row r="5445" spans="1:6" x14ac:dyDescent="0.25">
      <c r="A5445" t="s">
        <v>6077</v>
      </c>
      <c r="B5445" t="s">
        <v>743</v>
      </c>
      <c r="C5445" t="s">
        <v>744</v>
      </c>
      <c r="D5445" t="str">
        <f>HYPERLINK("http://service.sap.com/sap/support/notes/1679166","1679166")</f>
        <v>1679166</v>
      </c>
      <c r="E5445">
        <v>1</v>
      </c>
      <c r="F5445" t="s">
        <v>6903</v>
      </c>
    </row>
    <row r="5446" spans="1:6" x14ac:dyDescent="0.25">
      <c r="A5446" t="s">
        <v>6077</v>
      </c>
      <c r="B5446" t="s">
        <v>743</v>
      </c>
      <c r="C5446" t="s">
        <v>744</v>
      </c>
      <c r="D5446" t="str">
        <f>HYPERLINK("http://service.sap.com/sap/support/notes/1683619","1683619")</f>
        <v>1683619</v>
      </c>
      <c r="E5446">
        <v>2</v>
      </c>
      <c r="F5446" t="s">
        <v>6904</v>
      </c>
    </row>
    <row r="5447" spans="1:6" x14ac:dyDescent="0.25">
      <c r="A5447" t="s">
        <v>6077</v>
      </c>
      <c r="B5447" t="s">
        <v>743</v>
      </c>
      <c r="C5447" t="s">
        <v>744</v>
      </c>
      <c r="D5447" t="str">
        <f>HYPERLINK("http://service.sap.com/sap/support/notes/1689903","1689903")</f>
        <v>1689903</v>
      </c>
      <c r="E5447">
        <v>2</v>
      </c>
      <c r="F5447" t="s">
        <v>6905</v>
      </c>
    </row>
    <row r="5448" spans="1:6" x14ac:dyDescent="0.25">
      <c r="A5448" t="s">
        <v>6077</v>
      </c>
      <c r="B5448" t="s">
        <v>743</v>
      </c>
      <c r="C5448" t="s">
        <v>744</v>
      </c>
      <c r="D5448" t="str">
        <f>HYPERLINK("http://service.sap.com/sap/support/notes/1691010","1691010")</f>
        <v>1691010</v>
      </c>
      <c r="E5448">
        <v>1</v>
      </c>
      <c r="F5448" t="s">
        <v>6906</v>
      </c>
    </row>
    <row r="5449" spans="1:6" x14ac:dyDescent="0.25">
      <c r="A5449" t="s">
        <v>6077</v>
      </c>
      <c r="B5449" t="s">
        <v>743</v>
      </c>
      <c r="C5449" t="s">
        <v>744</v>
      </c>
      <c r="D5449" t="str">
        <f>HYPERLINK("http://service.sap.com/sap/support/notes/1694664","1694664")</f>
        <v>1694664</v>
      </c>
      <c r="E5449">
        <v>2</v>
      </c>
      <c r="F5449" t="s">
        <v>6907</v>
      </c>
    </row>
    <row r="5450" spans="1:6" x14ac:dyDescent="0.25">
      <c r="A5450" t="s">
        <v>6077</v>
      </c>
      <c r="B5450" t="s">
        <v>743</v>
      </c>
      <c r="C5450" t="s">
        <v>744</v>
      </c>
      <c r="D5450" t="str">
        <f>HYPERLINK("http://service.sap.com/sap/support/notes/1696035","1696035")</f>
        <v>1696035</v>
      </c>
      <c r="E5450">
        <v>1</v>
      </c>
      <c r="F5450" t="s">
        <v>6908</v>
      </c>
    </row>
    <row r="5451" spans="1:6" x14ac:dyDescent="0.25">
      <c r="A5451" t="s">
        <v>6077</v>
      </c>
      <c r="B5451" t="s">
        <v>752</v>
      </c>
      <c r="C5451" t="s">
        <v>753</v>
      </c>
      <c r="D5451" t="str">
        <f>HYPERLINK("http://service.sap.com/sap/support/notes/1677146","1677146")</f>
        <v>1677146</v>
      </c>
      <c r="E5451">
        <v>1</v>
      </c>
      <c r="F5451" t="s">
        <v>6909</v>
      </c>
    </row>
    <row r="5452" spans="1:6" x14ac:dyDescent="0.25">
      <c r="A5452" t="s">
        <v>6077</v>
      </c>
      <c r="B5452" t="s">
        <v>752</v>
      </c>
      <c r="C5452" t="s">
        <v>753</v>
      </c>
      <c r="D5452" t="str">
        <f>HYPERLINK("http://service.sap.com/sap/support/notes/1677653","1677653")</f>
        <v>1677653</v>
      </c>
      <c r="E5452">
        <v>1</v>
      </c>
      <c r="F5452" t="s">
        <v>6910</v>
      </c>
    </row>
    <row r="5453" spans="1:6" x14ac:dyDescent="0.25">
      <c r="A5453" t="s">
        <v>6077</v>
      </c>
      <c r="B5453" t="s">
        <v>752</v>
      </c>
      <c r="C5453" t="s">
        <v>753</v>
      </c>
      <c r="D5453" t="str">
        <f>HYPERLINK("http://service.sap.com/sap/support/notes/1679432","1679432")</f>
        <v>1679432</v>
      </c>
      <c r="E5453">
        <v>1</v>
      </c>
      <c r="F5453" t="s">
        <v>6911</v>
      </c>
    </row>
    <row r="5454" spans="1:6" x14ac:dyDescent="0.25">
      <c r="A5454" t="s">
        <v>6077</v>
      </c>
      <c r="B5454" t="s">
        <v>752</v>
      </c>
      <c r="C5454" t="s">
        <v>753</v>
      </c>
      <c r="D5454" t="str">
        <f>HYPERLINK("http://service.sap.com/sap/support/notes/1681041","1681041")</f>
        <v>1681041</v>
      </c>
      <c r="E5454">
        <v>1</v>
      </c>
      <c r="F5454" t="s">
        <v>6912</v>
      </c>
    </row>
    <row r="5455" spans="1:6" x14ac:dyDescent="0.25">
      <c r="A5455" t="s">
        <v>6077</v>
      </c>
      <c r="B5455" t="s">
        <v>752</v>
      </c>
      <c r="C5455" t="s">
        <v>753</v>
      </c>
      <c r="D5455" t="str">
        <f>HYPERLINK("http://service.sap.com/sap/support/notes/1683667","1683667")</f>
        <v>1683667</v>
      </c>
      <c r="E5455">
        <v>1</v>
      </c>
      <c r="F5455" t="s">
        <v>6913</v>
      </c>
    </row>
    <row r="5456" spans="1:6" x14ac:dyDescent="0.25">
      <c r="A5456" t="s">
        <v>6077</v>
      </c>
      <c r="B5456" t="s">
        <v>761</v>
      </c>
      <c r="C5456" t="s">
        <v>762</v>
      </c>
      <c r="D5456" t="str">
        <f>HYPERLINK("http://service.sap.com/sap/support/notes/1681621","1681621")</f>
        <v>1681621</v>
      </c>
      <c r="E5456">
        <v>2</v>
      </c>
      <c r="F5456" t="s">
        <v>6914</v>
      </c>
    </row>
    <row r="5457" spans="1:6" x14ac:dyDescent="0.25">
      <c r="A5457" t="s">
        <v>6077</v>
      </c>
      <c r="B5457" t="s">
        <v>3754</v>
      </c>
      <c r="C5457" t="s">
        <v>3755</v>
      </c>
      <c r="D5457" t="str">
        <f>HYPERLINK("http://service.sap.com/sap/support/notes/1649018","1649018")</f>
        <v>1649018</v>
      </c>
      <c r="E5457">
        <v>2</v>
      </c>
      <c r="F5457" t="s">
        <v>6915</v>
      </c>
    </row>
    <row r="5458" spans="1:6" x14ac:dyDescent="0.25">
      <c r="A5458" t="s">
        <v>6077</v>
      </c>
      <c r="B5458" t="s">
        <v>3754</v>
      </c>
      <c r="C5458" t="s">
        <v>3755</v>
      </c>
      <c r="D5458" t="str">
        <f>HYPERLINK("http://service.sap.com/sap/support/notes/1681375","1681375")</f>
        <v>1681375</v>
      </c>
      <c r="E5458">
        <v>2</v>
      </c>
      <c r="F5458" t="s">
        <v>6916</v>
      </c>
    </row>
    <row r="5459" spans="1:6" x14ac:dyDescent="0.25">
      <c r="A5459" t="s">
        <v>6077</v>
      </c>
      <c r="B5459" t="s">
        <v>3762</v>
      </c>
      <c r="C5459" t="s">
        <v>3763</v>
      </c>
    </row>
    <row r="5460" spans="1:6" x14ac:dyDescent="0.25">
      <c r="A5460" t="s">
        <v>6077</v>
      </c>
      <c r="B5460" t="s">
        <v>3764</v>
      </c>
      <c r="C5460" t="s">
        <v>3765</v>
      </c>
      <c r="D5460" t="str">
        <f>HYPERLINK("http://service.sap.com/sap/support/notes/1624803","1624803")</f>
        <v>1624803</v>
      </c>
      <c r="E5460">
        <v>3</v>
      </c>
      <c r="F5460" t="s">
        <v>6917</v>
      </c>
    </row>
    <row r="5461" spans="1:6" x14ac:dyDescent="0.25">
      <c r="A5461" t="s">
        <v>6077</v>
      </c>
      <c r="B5461" t="s">
        <v>3769</v>
      </c>
      <c r="C5461" t="s">
        <v>3770</v>
      </c>
      <c r="D5461" t="str">
        <f>HYPERLINK("http://service.sap.com/sap/support/notes/1675295","1675295")</f>
        <v>1675295</v>
      </c>
      <c r="E5461">
        <v>1</v>
      </c>
      <c r="F5461" t="s">
        <v>6918</v>
      </c>
    </row>
    <row r="5462" spans="1:6" x14ac:dyDescent="0.25">
      <c r="A5462" t="s">
        <v>6077</v>
      </c>
      <c r="B5462" t="s">
        <v>774</v>
      </c>
      <c r="C5462" t="s">
        <v>775</v>
      </c>
      <c r="D5462" t="str">
        <f>HYPERLINK("http://service.sap.com/sap/support/notes/1678322","1678322")</f>
        <v>1678322</v>
      </c>
      <c r="E5462">
        <v>1</v>
      </c>
      <c r="F5462" t="s">
        <v>6919</v>
      </c>
    </row>
    <row r="5463" spans="1:6" x14ac:dyDescent="0.25">
      <c r="A5463" t="s">
        <v>6077</v>
      </c>
      <c r="B5463" t="s">
        <v>777</v>
      </c>
      <c r="C5463" t="s">
        <v>778</v>
      </c>
      <c r="D5463" t="str">
        <f>HYPERLINK("http://service.sap.com/sap/support/notes/1656393","1656393")</f>
        <v>1656393</v>
      </c>
      <c r="E5463">
        <v>3</v>
      </c>
      <c r="F5463" t="s">
        <v>6920</v>
      </c>
    </row>
    <row r="5464" spans="1:6" x14ac:dyDescent="0.25">
      <c r="A5464" t="s">
        <v>6077</v>
      </c>
      <c r="B5464" t="s">
        <v>777</v>
      </c>
      <c r="C5464" t="s">
        <v>778</v>
      </c>
      <c r="D5464" t="str">
        <f>HYPERLINK("http://service.sap.com/sap/support/notes/1666410","1666410")</f>
        <v>1666410</v>
      </c>
      <c r="E5464">
        <v>2</v>
      </c>
      <c r="F5464" t="s">
        <v>6921</v>
      </c>
    </row>
    <row r="5465" spans="1:6" x14ac:dyDescent="0.25">
      <c r="A5465" t="s">
        <v>6077</v>
      </c>
      <c r="B5465" t="s">
        <v>777</v>
      </c>
      <c r="C5465" t="s">
        <v>778</v>
      </c>
      <c r="D5465" t="str">
        <f>HYPERLINK("http://service.sap.com/sap/support/notes/1671835","1671835")</f>
        <v>1671835</v>
      </c>
      <c r="E5465">
        <v>1</v>
      </c>
      <c r="F5465" t="s">
        <v>6922</v>
      </c>
    </row>
    <row r="5466" spans="1:6" x14ac:dyDescent="0.25">
      <c r="A5466" t="s">
        <v>6077</v>
      </c>
      <c r="B5466" t="s">
        <v>777</v>
      </c>
      <c r="C5466" t="s">
        <v>778</v>
      </c>
      <c r="D5466" t="str">
        <f>HYPERLINK("http://service.sap.com/sap/support/notes/1674794","1674794")</f>
        <v>1674794</v>
      </c>
      <c r="E5466">
        <v>1</v>
      </c>
      <c r="F5466" t="s">
        <v>6923</v>
      </c>
    </row>
    <row r="5467" spans="1:6" x14ac:dyDescent="0.25">
      <c r="A5467" t="s">
        <v>6077</v>
      </c>
      <c r="B5467" t="s">
        <v>777</v>
      </c>
      <c r="C5467" t="s">
        <v>778</v>
      </c>
      <c r="D5467" t="str">
        <f>HYPERLINK("http://service.sap.com/sap/support/notes/1677256","1677256")</f>
        <v>1677256</v>
      </c>
      <c r="E5467">
        <v>1</v>
      </c>
      <c r="F5467" t="s">
        <v>6924</v>
      </c>
    </row>
    <row r="5468" spans="1:6" x14ac:dyDescent="0.25">
      <c r="A5468" t="s">
        <v>6077</v>
      </c>
      <c r="B5468" t="s">
        <v>777</v>
      </c>
      <c r="C5468" t="s">
        <v>778</v>
      </c>
      <c r="D5468" t="str">
        <f>HYPERLINK("http://service.sap.com/sap/support/notes/1677947","1677947")</f>
        <v>1677947</v>
      </c>
      <c r="E5468">
        <v>1</v>
      </c>
      <c r="F5468" t="s">
        <v>6925</v>
      </c>
    </row>
    <row r="5469" spans="1:6" x14ac:dyDescent="0.25">
      <c r="A5469" t="s">
        <v>6077</v>
      </c>
      <c r="B5469" t="s">
        <v>777</v>
      </c>
      <c r="C5469" t="s">
        <v>778</v>
      </c>
      <c r="D5469" t="str">
        <f>HYPERLINK("http://service.sap.com/sap/support/notes/1678330","1678330")</f>
        <v>1678330</v>
      </c>
      <c r="E5469">
        <v>1</v>
      </c>
      <c r="F5469" t="s">
        <v>6926</v>
      </c>
    </row>
    <row r="5470" spans="1:6" x14ac:dyDescent="0.25">
      <c r="A5470" t="s">
        <v>6077</v>
      </c>
      <c r="B5470" t="s">
        <v>777</v>
      </c>
      <c r="C5470" t="s">
        <v>778</v>
      </c>
      <c r="D5470" t="str">
        <f>HYPERLINK("http://service.sap.com/sap/support/notes/1681397","1681397")</f>
        <v>1681397</v>
      </c>
      <c r="E5470">
        <v>1</v>
      </c>
      <c r="F5470" t="s">
        <v>6927</v>
      </c>
    </row>
    <row r="5471" spans="1:6" x14ac:dyDescent="0.25">
      <c r="A5471" t="s">
        <v>6077</v>
      </c>
      <c r="B5471" t="s">
        <v>777</v>
      </c>
      <c r="C5471" t="s">
        <v>778</v>
      </c>
      <c r="D5471" t="str">
        <f>HYPERLINK("http://service.sap.com/sap/support/notes/1681866","1681866")</f>
        <v>1681866</v>
      </c>
      <c r="E5471">
        <v>2</v>
      </c>
      <c r="F5471" t="s">
        <v>6928</v>
      </c>
    </row>
    <row r="5472" spans="1:6" x14ac:dyDescent="0.25">
      <c r="A5472" t="s">
        <v>6077</v>
      </c>
      <c r="B5472" t="s">
        <v>777</v>
      </c>
      <c r="C5472" t="s">
        <v>778</v>
      </c>
      <c r="D5472" t="str">
        <f>HYPERLINK("http://service.sap.com/sap/support/notes/1684133","1684133")</f>
        <v>1684133</v>
      </c>
      <c r="E5472">
        <v>1</v>
      </c>
      <c r="F5472" t="s">
        <v>6929</v>
      </c>
    </row>
    <row r="5473" spans="1:6" x14ac:dyDescent="0.25">
      <c r="A5473" t="s">
        <v>6077</v>
      </c>
      <c r="B5473" t="s">
        <v>777</v>
      </c>
      <c r="C5473" t="s">
        <v>778</v>
      </c>
      <c r="D5473" t="str">
        <f>HYPERLINK("http://service.sap.com/sap/support/notes/1685556","1685556")</f>
        <v>1685556</v>
      </c>
      <c r="E5473">
        <v>1</v>
      </c>
      <c r="F5473" t="s">
        <v>6930</v>
      </c>
    </row>
    <row r="5474" spans="1:6" x14ac:dyDescent="0.25">
      <c r="A5474" t="s">
        <v>6077</v>
      </c>
      <c r="B5474" t="s">
        <v>777</v>
      </c>
      <c r="C5474" t="s">
        <v>778</v>
      </c>
      <c r="D5474" t="str">
        <f>HYPERLINK("http://service.sap.com/sap/support/notes/1693256","1693256")</f>
        <v>1693256</v>
      </c>
      <c r="E5474">
        <v>3</v>
      </c>
      <c r="F5474" t="s">
        <v>6931</v>
      </c>
    </row>
    <row r="5475" spans="1:6" x14ac:dyDescent="0.25">
      <c r="A5475" t="s">
        <v>6077</v>
      </c>
      <c r="B5475" t="s">
        <v>786</v>
      </c>
      <c r="C5475" t="s">
        <v>660</v>
      </c>
      <c r="D5475" t="str">
        <f>HYPERLINK("http://service.sap.com/sap/support/notes/1651466","1651466")</f>
        <v>1651466</v>
      </c>
      <c r="E5475">
        <v>2</v>
      </c>
      <c r="F5475" t="s">
        <v>6932</v>
      </c>
    </row>
    <row r="5476" spans="1:6" x14ac:dyDescent="0.25">
      <c r="A5476" t="s">
        <v>6077</v>
      </c>
      <c r="B5476" t="s">
        <v>786</v>
      </c>
      <c r="C5476" t="s">
        <v>660</v>
      </c>
      <c r="D5476" t="str">
        <f>HYPERLINK("http://service.sap.com/sap/support/notes/1668273","1668273")</f>
        <v>1668273</v>
      </c>
      <c r="E5476">
        <v>2</v>
      </c>
      <c r="F5476" t="s">
        <v>6933</v>
      </c>
    </row>
    <row r="5477" spans="1:6" x14ac:dyDescent="0.25">
      <c r="A5477" t="s">
        <v>6077</v>
      </c>
      <c r="B5477" t="s">
        <v>786</v>
      </c>
      <c r="C5477" t="s">
        <v>660</v>
      </c>
      <c r="D5477" t="str">
        <f>HYPERLINK("http://service.sap.com/sap/support/notes/1685149","1685149")</f>
        <v>1685149</v>
      </c>
      <c r="E5477">
        <v>2</v>
      </c>
      <c r="F5477" t="s">
        <v>6934</v>
      </c>
    </row>
    <row r="5478" spans="1:6" x14ac:dyDescent="0.25">
      <c r="A5478" t="s">
        <v>6077</v>
      </c>
      <c r="B5478" t="s">
        <v>788</v>
      </c>
      <c r="C5478" t="s">
        <v>789</v>
      </c>
      <c r="D5478" t="str">
        <f>HYPERLINK("http://service.sap.com/sap/support/notes/1670962","1670962")</f>
        <v>1670962</v>
      </c>
      <c r="E5478">
        <v>2</v>
      </c>
      <c r="F5478" t="s">
        <v>6935</v>
      </c>
    </row>
    <row r="5479" spans="1:6" x14ac:dyDescent="0.25">
      <c r="A5479" t="s">
        <v>6077</v>
      </c>
      <c r="B5479" t="s">
        <v>788</v>
      </c>
      <c r="C5479" t="s">
        <v>789</v>
      </c>
      <c r="D5479" t="str">
        <f>HYPERLINK("http://service.sap.com/sap/support/notes/1678392","1678392")</f>
        <v>1678392</v>
      </c>
      <c r="E5479">
        <v>1</v>
      </c>
      <c r="F5479" t="s">
        <v>6936</v>
      </c>
    </row>
    <row r="5480" spans="1:6" x14ac:dyDescent="0.25">
      <c r="A5480" t="s">
        <v>6077</v>
      </c>
      <c r="B5480" t="s">
        <v>791</v>
      </c>
      <c r="C5480" t="s">
        <v>792</v>
      </c>
      <c r="D5480" t="str">
        <f>HYPERLINK("http://service.sap.com/sap/support/notes/1661396","1661396")</f>
        <v>1661396</v>
      </c>
      <c r="E5480">
        <v>3</v>
      </c>
      <c r="F5480" t="s">
        <v>6937</v>
      </c>
    </row>
    <row r="5481" spans="1:6" x14ac:dyDescent="0.25">
      <c r="A5481" t="s">
        <v>6077</v>
      </c>
      <c r="B5481" t="s">
        <v>791</v>
      </c>
      <c r="C5481" t="s">
        <v>792</v>
      </c>
      <c r="D5481" t="str">
        <f>HYPERLINK("http://service.sap.com/sap/support/notes/1671030","1671030")</f>
        <v>1671030</v>
      </c>
      <c r="E5481">
        <v>2</v>
      </c>
      <c r="F5481" t="s">
        <v>6938</v>
      </c>
    </row>
    <row r="5482" spans="1:6" x14ac:dyDescent="0.25">
      <c r="A5482" t="s">
        <v>6077</v>
      </c>
      <c r="B5482" t="s">
        <v>791</v>
      </c>
      <c r="C5482" t="s">
        <v>792</v>
      </c>
      <c r="D5482" t="str">
        <f>HYPERLINK("http://service.sap.com/sap/support/notes/1676393","1676393")</f>
        <v>1676393</v>
      </c>
      <c r="E5482">
        <v>1</v>
      </c>
      <c r="F5482" t="s">
        <v>6939</v>
      </c>
    </row>
    <row r="5483" spans="1:6" x14ac:dyDescent="0.25">
      <c r="A5483" t="s">
        <v>6077</v>
      </c>
      <c r="B5483" t="s">
        <v>26</v>
      </c>
      <c r="C5483" t="s">
        <v>798</v>
      </c>
      <c r="D5483" t="str">
        <f>HYPERLINK("http://service.sap.com/sap/support/notes/1675837","1675837")</f>
        <v>1675837</v>
      </c>
      <c r="E5483">
        <v>2</v>
      </c>
      <c r="F5483" t="s">
        <v>6940</v>
      </c>
    </row>
    <row r="5484" spans="1:6" x14ac:dyDescent="0.25">
      <c r="A5484" t="s">
        <v>6077</v>
      </c>
      <c r="B5484" t="s">
        <v>26</v>
      </c>
      <c r="C5484" t="s">
        <v>798</v>
      </c>
      <c r="D5484" t="str">
        <f>HYPERLINK("http://service.sap.com/sap/support/notes/1676899","1676899")</f>
        <v>1676899</v>
      </c>
      <c r="E5484">
        <v>2</v>
      </c>
      <c r="F5484" t="s">
        <v>6941</v>
      </c>
    </row>
    <row r="5485" spans="1:6" x14ac:dyDescent="0.25">
      <c r="A5485" t="s">
        <v>6077</v>
      </c>
      <c r="B5485" t="s">
        <v>26</v>
      </c>
      <c r="C5485" t="s">
        <v>798</v>
      </c>
      <c r="D5485" t="str">
        <f>HYPERLINK("http://service.sap.com/sap/support/notes/1678217","1678217")</f>
        <v>1678217</v>
      </c>
      <c r="E5485">
        <v>2</v>
      </c>
      <c r="F5485" t="s">
        <v>6942</v>
      </c>
    </row>
    <row r="5486" spans="1:6" x14ac:dyDescent="0.25">
      <c r="A5486" t="s">
        <v>6077</v>
      </c>
      <c r="B5486" t="s">
        <v>26</v>
      </c>
      <c r="C5486" t="s">
        <v>798</v>
      </c>
      <c r="D5486" t="str">
        <f>HYPERLINK("http://service.sap.com/sap/support/notes/1678287","1678287")</f>
        <v>1678287</v>
      </c>
      <c r="E5486">
        <v>1</v>
      </c>
      <c r="F5486" t="s">
        <v>6943</v>
      </c>
    </row>
    <row r="5487" spans="1:6" x14ac:dyDescent="0.25">
      <c r="A5487" t="s">
        <v>6077</v>
      </c>
      <c r="B5487" t="s">
        <v>26</v>
      </c>
      <c r="C5487" t="s">
        <v>798</v>
      </c>
      <c r="D5487" t="str">
        <f>HYPERLINK("http://service.sap.com/sap/support/notes/1683348","1683348")</f>
        <v>1683348</v>
      </c>
      <c r="E5487">
        <v>1</v>
      </c>
      <c r="F5487" t="s">
        <v>6944</v>
      </c>
    </row>
    <row r="5488" spans="1:6" x14ac:dyDescent="0.25">
      <c r="A5488" t="s">
        <v>6077</v>
      </c>
      <c r="B5488" t="s">
        <v>26</v>
      </c>
      <c r="C5488" t="s">
        <v>798</v>
      </c>
      <c r="D5488" t="str">
        <f>HYPERLINK("http://service.sap.com/sap/support/notes/1694212","1694212")</f>
        <v>1694212</v>
      </c>
      <c r="E5488">
        <v>2</v>
      </c>
      <c r="F5488" t="s">
        <v>6945</v>
      </c>
    </row>
    <row r="5489" spans="1:6" x14ac:dyDescent="0.25">
      <c r="A5489" t="s">
        <v>6077</v>
      </c>
      <c r="B5489" t="s">
        <v>804</v>
      </c>
      <c r="C5489" t="s">
        <v>805</v>
      </c>
      <c r="D5489" t="str">
        <f>HYPERLINK("http://service.sap.com/sap/support/notes/1692391","1692391")</f>
        <v>1692391</v>
      </c>
      <c r="E5489">
        <v>2</v>
      </c>
      <c r="F5489" t="s">
        <v>6946</v>
      </c>
    </row>
    <row r="5490" spans="1:6" x14ac:dyDescent="0.25">
      <c r="A5490" t="s">
        <v>6077</v>
      </c>
      <c r="B5490" t="s">
        <v>3870</v>
      </c>
      <c r="C5490" t="s">
        <v>3871</v>
      </c>
      <c r="D5490" t="str">
        <f>HYPERLINK("http://service.sap.com/sap/support/notes/1677713","1677713")</f>
        <v>1677713</v>
      </c>
      <c r="E5490">
        <v>1</v>
      </c>
      <c r="F5490" t="s">
        <v>6947</v>
      </c>
    </row>
    <row r="5491" spans="1:6" x14ac:dyDescent="0.25">
      <c r="A5491" t="s">
        <v>6077</v>
      </c>
      <c r="B5491" t="s">
        <v>3881</v>
      </c>
      <c r="C5491" t="s">
        <v>3882</v>
      </c>
      <c r="D5491" t="str">
        <f>HYPERLINK("http://service.sap.com/sap/support/notes/1689537","1689537")</f>
        <v>1689537</v>
      </c>
      <c r="E5491">
        <v>1</v>
      </c>
      <c r="F5491" t="s">
        <v>6948</v>
      </c>
    </row>
    <row r="5492" spans="1:6" x14ac:dyDescent="0.25">
      <c r="A5492" t="s">
        <v>6077</v>
      </c>
      <c r="B5492" t="s">
        <v>3884</v>
      </c>
      <c r="C5492" t="s">
        <v>3885</v>
      </c>
      <c r="D5492" t="str">
        <f>HYPERLINK("http://service.sap.com/sap/support/notes/1674807","1674807")</f>
        <v>1674807</v>
      </c>
      <c r="E5492">
        <v>2</v>
      </c>
      <c r="F5492" t="s">
        <v>6949</v>
      </c>
    </row>
    <row r="5493" spans="1:6" x14ac:dyDescent="0.25">
      <c r="A5493" t="s">
        <v>6077</v>
      </c>
      <c r="B5493" t="s">
        <v>3884</v>
      </c>
      <c r="C5493" t="s">
        <v>3885</v>
      </c>
      <c r="D5493" t="str">
        <f>HYPERLINK("http://service.sap.com/sap/support/notes/1685625","1685625")</f>
        <v>1685625</v>
      </c>
      <c r="E5493">
        <v>1</v>
      </c>
      <c r="F5493" t="s">
        <v>6950</v>
      </c>
    </row>
    <row r="5494" spans="1:6" x14ac:dyDescent="0.25">
      <c r="A5494" t="s">
        <v>6077</v>
      </c>
      <c r="B5494" t="s">
        <v>3884</v>
      </c>
      <c r="C5494" t="s">
        <v>3885</v>
      </c>
      <c r="D5494" t="str">
        <f>HYPERLINK("http://service.sap.com/sap/support/notes/1686541","1686541")</f>
        <v>1686541</v>
      </c>
      <c r="E5494">
        <v>2</v>
      </c>
      <c r="F5494" t="s">
        <v>6951</v>
      </c>
    </row>
    <row r="5495" spans="1:6" x14ac:dyDescent="0.25">
      <c r="A5495" t="s">
        <v>6077</v>
      </c>
      <c r="B5495" t="s">
        <v>3896</v>
      </c>
      <c r="C5495" t="s">
        <v>3897</v>
      </c>
    </row>
    <row r="5496" spans="1:6" x14ac:dyDescent="0.25">
      <c r="A5496" t="s">
        <v>6077</v>
      </c>
      <c r="B5496" t="s">
        <v>3898</v>
      </c>
      <c r="C5496" t="s">
        <v>3899</v>
      </c>
    </row>
    <row r="5497" spans="1:6" x14ac:dyDescent="0.25">
      <c r="A5497" t="s">
        <v>6077</v>
      </c>
      <c r="B5497" t="s">
        <v>3900</v>
      </c>
      <c r="C5497" t="s">
        <v>3900</v>
      </c>
      <c r="D5497" t="str">
        <f>HYPERLINK("http://service.sap.com/sap/support/notes/1603163","1603163")</f>
        <v>1603163</v>
      </c>
      <c r="E5497">
        <v>2</v>
      </c>
      <c r="F5497" t="s">
        <v>3901</v>
      </c>
    </row>
    <row r="5498" spans="1:6" x14ac:dyDescent="0.25">
      <c r="A5498" t="s">
        <v>6077</v>
      </c>
      <c r="B5498" t="s">
        <v>3900</v>
      </c>
      <c r="C5498" t="s">
        <v>3900</v>
      </c>
      <c r="D5498" t="str">
        <f>HYPERLINK("http://service.sap.com/sap/support/notes/1653035","1653035")</f>
        <v>1653035</v>
      </c>
      <c r="E5498">
        <v>1</v>
      </c>
      <c r="F5498" t="s">
        <v>6952</v>
      </c>
    </row>
    <row r="5499" spans="1:6" x14ac:dyDescent="0.25">
      <c r="A5499" t="s">
        <v>6077</v>
      </c>
      <c r="B5499" t="s">
        <v>3900</v>
      </c>
      <c r="C5499" t="s">
        <v>3900</v>
      </c>
      <c r="D5499" t="str">
        <f>HYPERLINK("http://service.sap.com/sap/support/notes/1683891","1683891")</f>
        <v>1683891</v>
      </c>
      <c r="E5499">
        <v>2</v>
      </c>
      <c r="F5499" t="s">
        <v>6953</v>
      </c>
    </row>
    <row r="5500" spans="1:6" x14ac:dyDescent="0.25">
      <c r="A5500" t="s">
        <v>6077</v>
      </c>
      <c r="B5500" t="s">
        <v>3904</v>
      </c>
      <c r="C5500" t="s">
        <v>3905</v>
      </c>
    </row>
    <row r="5501" spans="1:6" x14ac:dyDescent="0.25">
      <c r="A5501" t="s">
        <v>6077</v>
      </c>
      <c r="B5501" t="s">
        <v>3906</v>
      </c>
      <c r="C5501" t="s">
        <v>3907</v>
      </c>
      <c r="D5501" t="str">
        <f>HYPERLINK("http://service.sap.com/sap/support/notes/1682349","1682349")</f>
        <v>1682349</v>
      </c>
      <c r="E5501">
        <v>1</v>
      </c>
      <c r="F5501" t="s">
        <v>6954</v>
      </c>
    </row>
    <row r="5502" spans="1:6" x14ac:dyDescent="0.25">
      <c r="A5502" t="s">
        <v>6077</v>
      </c>
      <c r="B5502" t="s">
        <v>3906</v>
      </c>
      <c r="C5502" t="s">
        <v>3907</v>
      </c>
      <c r="D5502" t="str">
        <f>HYPERLINK("http://service.sap.com/sap/support/notes/1691273","1691273")</f>
        <v>1691273</v>
      </c>
      <c r="E5502">
        <v>2</v>
      </c>
      <c r="F5502" t="s">
        <v>6955</v>
      </c>
    </row>
    <row r="5503" spans="1:6" x14ac:dyDescent="0.25">
      <c r="A5503" t="s">
        <v>6077</v>
      </c>
      <c r="B5503" t="s">
        <v>813</v>
      </c>
      <c r="C5503" t="s">
        <v>141</v>
      </c>
    </row>
    <row r="5504" spans="1:6" x14ac:dyDescent="0.25">
      <c r="A5504" t="s">
        <v>6077</v>
      </c>
      <c r="B5504" t="s">
        <v>3909</v>
      </c>
      <c r="C5504" t="s">
        <v>1296</v>
      </c>
    </row>
    <row r="5505" spans="1:6" x14ac:dyDescent="0.25">
      <c r="A5505" t="s">
        <v>6077</v>
      </c>
      <c r="B5505" t="s">
        <v>3910</v>
      </c>
      <c r="C5505" t="s">
        <v>1301</v>
      </c>
      <c r="D5505" t="str">
        <f>HYPERLINK("http://service.sap.com/sap/support/notes/1661944","1661944")</f>
        <v>1661944</v>
      </c>
      <c r="E5505">
        <v>1</v>
      </c>
      <c r="F5505" t="s">
        <v>6956</v>
      </c>
    </row>
    <row r="5506" spans="1:6" x14ac:dyDescent="0.25">
      <c r="A5506" t="s">
        <v>6077</v>
      </c>
      <c r="B5506" t="s">
        <v>3910</v>
      </c>
      <c r="C5506" t="s">
        <v>1301</v>
      </c>
      <c r="D5506" t="str">
        <f>HYPERLINK("http://service.sap.com/sap/support/notes/1672948","1672948")</f>
        <v>1672948</v>
      </c>
      <c r="E5506">
        <v>5</v>
      </c>
      <c r="F5506" t="s">
        <v>6957</v>
      </c>
    </row>
    <row r="5507" spans="1:6" x14ac:dyDescent="0.25">
      <c r="A5507" t="s">
        <v>6077</v>
      </c>
      <c r="B5507" t="s">
        <v>814</v>
      </c>
      <c r="C5507" t="s">
        <v>143</v>
      </c>
    </row>
    <row r="5508" spans="1:6" x14ac:dyDescent="0.25">
      <c r="A5508" t="s">
        <v>6077</v>
      </c>
      <c r="B5508" t="s">
        <v>815</v>
      </c>
      <c r="C5508" t="s">
        <v>337</v>
      </c>
      <c r="D5508" t="str">
        <f>HYPERLINK("http://service.sap.com/sap/support/notes/1673670","1673670")</f>
        <v>1673670</v>
      </c>
      <c r="E5508">
        <v>1</v>
      </c>
      <c r="F5508" t="s">
        <v>6958</v>
      </c>
    </row>
    <row r="5509" spans="1:6" x14ac:dyDescent="0.25">
      <c r="A5509" t="s">
        <v>6077</v>
      </c>
      <c r="B5509" t="s">
        <v>815</v>
      </c>
      <c r="C5509" t="s">
        <v>337</v>
      </c>
      <c r="D5509" t="str">
        <f>HYPERLINK("http://service.sap.com/sap/support/notes/1683289","1683289")</f>
        <v>1683289</v>
      </c>
      <c r="E5509">
        <v>1</v>
      </c>
      <c r="F5509" t="s">
        <v>6959</v>
      </c>
    </row>
    <row r="5510" spans="1:6" x14ac:dyDescent="0.25">
      <c r="A5510" t="s">
        <v>6077</v>
      </c>
      <c r="B5510" t="s">
        <v>6960</v>
      </c>
      <c r="C5510" t="s">
        <v>6961</v>
      </c>
      <c r="D5510" t="str">
        <f>HYPERLINK("http://service.sap.com/sap/support/notes/1659875","1659875")</f>
        <v>1659875</v>
      </c>
      <c r="E5510">
        <v>4</v>
      </c>
      <c r="F5510" t="s">
        <v>6962</v>
      </c>
    </row>
    <row r="5511" spans="1:6" x14ac:dyDescent="0.25">
      <c r="A5511" t="s">
        <v>6077</v>
      </c>
      <c r="B5511" t="s">
        <v>6960</v>
      </c>
      <c r="C5511" t="s">
        <v>6961</v>
      </c>
      <c r="D5511" t="str">
        <f>HYPERLINK("http://service.sap.com/sap/support/notes/1673355","1673355")</f>
        <v>1673355</v>
      </c>
      <c r="E5511">
        <v>2</v>
      </c>
      <c r="F5511" t="s">
        <v>6963</v>
      </c>
    </row>
    <row r="5512" spans="1:6" x14ac:dyDescent="0.25">
      <c r="A5512" t="s">
        <v>6077</v>
      </c>
      <c r="B5512" t="s">
        <v>3921</v>
      </c>
      <c r="C5512" t="s">
        <v>3922</v>
      </c>
      <c r="D5512" t="str">
        <f>HYPERLINK("http://service.sap.com/sap/support/notes/1695572","1695572")</f>
        <v>1695572</v>
      </c>
      <c r="E5512">
        <v>3</v>
      </c>
      <c r="F5512" t="s">
        <v>6964</v>
      </c>
    </row>
    <row r="5513" spans="1:6" x14ac:dyDescent="0.25">
      <c r="A5513" t="s">
        <v>6077</v>
      </c>
      <c r="B5513" t="s">
        <v>816</v>
      </c>
      <c r="C5513" t="s">
        <v>817</v>
      </c>
      <c r="D5513" t="str">
        <f>HYPERLINK("http://service.sap.com/sap/support/notes/1651459","1651459")</f>
        <v>1651459</v>
      </c>
      <c r="E5513">
        <v>3</v>
      </c>
      <c r="F5513" t="s">
        <v>6965</v>
      </c>
    </row>
    <row r="5514" spans="1:6" x14ac:dyDescent="0.25">
      <c r="A5514" t="s">
        <v>6077</v>
      </c>
      <c r="B5514" t="s">
        <v>816</v>
      </c>
      <c r="C5514" t="s">
        <v>817</v>
      </c>
      <c r="D5514" t="str">
        <f>HYPERLINK("http://service.sap.com/sap/support/notes/1684680","1684680")</f>
        <v>1684680</v>
      </c>
      <c r="E5514">
        <v>2</v>
      </c>
      <c r="F5514" t="s">
        <v>6966</v>
      </c>
    </row>
    <row r="5515" spans="1:6" x14ac:dyDescent="0.25">
      <c r="A5515" t="s">
        <v>6077</v>
      </c>
      <c r="B5515" t="s">
        <v>3932</v>
      </c>
      <c r="C5515" t="s">
        <v>3933</v>
      </c>
      <c r="D5515" t="str">
        <f>HYPERLINK("http://service.sap.com/sap/support/notes/1655644","1655644")</f>
        <v>1655644</v>
      </c>
      <c r="E5515">
        <v>2</v>
      </c>
      <c r="F5515" t="s">
        <v>6967</v>
      </c>
    </row>
    <row r="5516" spans="1:6" x14ac:dyDescent="0.25">
      <c r="A5516" t="s">
        <v>6077</v>
      </c>
      <c r="B5516" t="s">
        <v>3932</v>
      </c>
      <c r="C5516" t="s">
        <v>3933</v>
      </c>
      <c r="D5516" t="str">
        <f>HYPERLINK("http://service.sap.com/sap/support/notes/1693537","1693537")</f>
        <v>1693537</v>
      </c>
      <c r="E5516">
        <v>1</v>
      </c>
      <c r="F5516" t="s">
        <v>6968</v>
      </c>
    </row>
    <row r="5517" spans="1:6" x14ac:dyDescent="0.25">
      <c r="A5517" t="s">
        <v>6077</v>
      </c>
      <c r="B5517" t="s">
        <v>6969</v>
      </c>
      <c r="C5517" t="s">
        <v>40</v>
      </c>
      <c r="D5517" t="str">
        <f>HYPERLINK("http://service.sap.com/sap/support/notes/1679885","1679885")</f>
        <v>1679885</v>
      </c>
      <c r="E5517">
        <v>3</v>
      </c>
      <c r="F5517" t="s">
        <v>6970</v>
      </c>
    </row>
    <row r="5518" spans="1:6" x14ac:dyDescent="0.25">
      <c r="A5518" t="s">
        <v>6077</v>
      </c>
      <c r="B5518" t="s">
        <v>6969</v>
      </c>
      <c r="C5518" t="s">
        <v>40</v>
      </c>
      <c r="D5518" t="str">
        <f>HYPERLINK("http://service.sap.com/sap/support/notes/1685136","1685136")</f>
        <v>1685136</v>
      </c>
      <c r="E5518">
        <v>3</v>
      </c>
      <c r="F5518" t="s">
        <v>6971</v>
      </c>
    </row>
    <row r="5519" spans="1:6" x14ac:dyDescent="0.25">
      <c r="A5519" t="s">
        <v>6077</v>
      </c>
      <c r="B5519" t="s">
        <v>822</v>
      </c>
      <c r="C5519" t="s">
        <v>823</v>
      </c>
      <c r="D5519" t="str">
        <f>HYPERLINK("http://service.sap.com/sap/support/notes/1671772","1671772")</f>
        <v>1671772</v>
      </c>
      <c r="E5519">
        <v>1</v>
      </c>
      <c r="F5519" t="s">
        <v>6972</v>
      </c>
    </row>
    <row r="5520" spans="1:6" x14ac:dyDescent="0.25">
      <c r="A5520" t="s">
        <v>6077</v>
      </c>
      <c r="B5520" t="s">
        <v>822</v>
      </c>
      <c r="C5520" t="s">
        <v>823</v>
      </c>
      <c r="D5520" t="str">
        <f>HYPERLINK("http://service.sap.com/sap/support/notes/1671980","1671980")</f>
        <v>1671980</v>
      </c>
      <c r="E5520">
        <v>2</v>
      </c>
      <c r="F5520" t="s">
        <v>6973</v>
      </c>
    </row>
    <row r="5521" spans="1:6" x14ac:dyDescent="0.25">
      <c r="A5521" t="s">
        <v>6077</v>
      </c>
      <c r="B5521" t="s">
        <v>822</v>
      </c>
      <c r="C5521" t="s">
        <v>823</v>
      </c>
      <c r="D5521" t="str">
        <f>HYPERLINK("http://service.sap.com/sap/support/notes/1691340","1691340")</f>
        <v>1691340</v>
      </c>
      <c r="E5521">
        <v>1</v>
      </c>
      <c r="F5521" t="s">
        <v>6974</v>
      </c>
    </row>
    <row r="5522" spans="1:6" x14ac:dyDescent="0.25">
      <c r="A5522" t="s">
        <v>6077</v>
      </c>
      <c r="B5522" t="s">
        <v>832</v>
      </c>
      <c r="C5522" t="s">
        <v>833</v>
      </c>
      <c r="D5522" t="str">
        <f>HYPERLINK("http://service.sap.com/sap/support/notes/1675857","1675857")</f>
        <v>1675857</v>
      </c>
      <c r="E5522">
        <v>1</v>
      </c>
      <c r="F5522" t="s">
        <v>6975</v>
      </c>
    </row>
    <row r="5523" spans="1:6" x14ac:dyDescent="0.25">
      <c r="A5523" t="s">
        <v>6077</v>
      </c>
      <c r="B5523" t="s">
        <v>3953</v>
      </c>
      <c r="C5523" t="s">
        <v>3954</v>
      </c>
      <c r="D5523" t="str">
        <f>HYPERLINK("http://service.sap.com/sap/support/notes/1692715","1692715")</f>
        <v>1692715</v>
      </c>
      <c r="E5523">
        <v>3</v>
      </c>
      <c r="F5523" t="s">
        <v>6976</v>
      </c>
    </row>
    <row r="5524" spans="1:6" x14ac:dyDescent="0.25">
      <c r="A5524" t="s">
        <v>6077</v>
      </c>
      <c r="B5524" t="s">
        <v>840</v>
      </c>
      <c r="C5524" t="s">
        <v>602</v>
      </c>
    </row>
    <row r="5525" spans="1:6" x14ac:dyDescent="0.25">
      <c r="A5525" t="s">
        <v>6077</v>
      </c>
      <c r="B5525" t="s">
        <v>6977</v>
      </c>
      <c r="C5525" t="s">
        <v>843</v>
      </c>
      <c r="D5525" t="str">
        <f>HYPERLINK("http://service.sap.com/sap/support/notes/1685563","1685563")</f>
        <v>1685563</v>
      </c>
      <c r="E5525">
        <v>1</v>
      </c>
      <c r="F5525" t="s">
        <v>6978</v>
      </c>
    </row>
    <row r="5526" spans="1:6" x14ac:dyDescent="0.25">
      <c r="A5526" t="s">
        <v>6077</v>
      </c>
      <c r="B5526" t="s">
        <v>3978</v>
      </c>
      <c r="C5526" t="s">
        <v>614</v>
      </c>
      <c r="D5526" t="str">
        <f>HYPERLINK("http://service.sap.com/sap/support/notes/1655047","1655047")</f>
        <v>1655047</v>
      </c>
      <c r="E5526">
        <v>6</v>
      </c>
      <c r="F5526" t="s">
        <v>6979</v>
      </c>
    </row>
    <row r="5527" spans="1:6" x14ac:dyDescent="0.25">
      <c r="A5527" t="s">
        <v>6077</v>
      </c>
      <c r="B5527" t="s">
        <v>3981</v>
      </c>
      <c r="C5527" t="s">
        <v>3982</v>
      </c>
    </row>
    <row r="5528" spans="1:6" x14ac:dyDescent="0.25">
      <c r="A5528" t="s">
        <v>6077</v>
      </c>
      <c r="B5528" t="s">
        <v>6980</v>
      </c>
      <c r="C5528" t="s">
        <v>6981</v>
      </c>
      <c r="D5528" t="str">
        <f>HYPERLINK("http://service.sap.com/sap/support/notes/1672876","1672876")</f>
        <v>1672876</v>
      </c>
      <c r="E5528">
        <v>2</v>
      </c>
      <c r="F5528" t="s">
        <v>6982</v>
      </c>
    </row>
    <row r="5529" spans="1:6" x14ac:dyDescent="0.25">
      <c r="A5529" t="s">
        <v>6077</v>
      </c>
      <c r="B5529" t="s">
        <v>6980</v>
      </c>
      <c r="C5529" t="s">
        <v>6981</v>
      </c>
      <c r="D5529" t="str">
        <f>HYPERLINK("http://service.sap.com/sap/support/notes/1676031","1676031")</f>
        <v>1676031</v>
      </c>
      <c r="E5529">
        <v>1</v>
      </c>
      <c r="F5529" t="s">
        <v>6983</v>
      </c>
    </row>
    <row r="5530" spans="1:6" x14ac:dyDescent="0.25">
      <c r="A5530" t="s">
        <v>6077</v>
      </c>
      <c r="B5530" t="s">
        <v>6984</v>
      </c>
      <c r="C5530" t="s">
        <v>3982</v>
      </c>
      <c r="D5530" t="str">
        <f>HYPERLINK("http://service.sap.com/sap/support/notes/1690597","1690597")</f>
        <v>1690597</v>
      </c>
      <c r="E5530">
        <v>1</v>
      </c>
      <c r="F5530" t="s">
        <v>6985</v>
      </c>
    </row>
    <row r="5531" spans="1:6" x14ac:dyDescent="0.25">
      <c r="A5531" t="s">
        <v>6077</v>
      </c>
      <c r="B5531" t="s">
        <v>846</v>
      </c>
      <c r="C5531" t="s">
        <v>847</v>
      </c>
    </row>
    <row r="5532" spans="1:6" x14ac:dyDescent="0.25">
      <c r="A5532" t="s">
        <v>6077</v>
      </c>
      <c r="B5532" t="s">
        <v>6986</v>
      </c>
      <c r="C5532" t="s">
        <v>847</v>
      </c>
      <c r="D5532" t="str">
        <f>HYPERLINK("http://service.sap.com/sap/support/notes/1684921","1684921")</f>
        <v>1684921</v>
      </c>
      <c r="E5532">
        <v>1</v>
      </c>
      <c r="F5532" t="s">
        <v>6987</v>
      </c>
    </row>
    <row r="5533" spans="1:6" x14ac:dyDescent="0.25">
      <c r="A5533" t="s">
        <v>6077</v>
      </c>
      <c r="B5533" t="s">
        <v>6986</v>
      </c>
      <c r="C5533" t="s">
        <v>847</v>
      </c>
      <c r="D5533" t="str">
        <f>HYPERLINK("http://service.sap.com/sap/support/notes/1692567","1692567")</f>
        <v>1692567</v>
      </c>
      <c r="E5533">
        <v>1</v>
      </c>
      <c r="F5533" t="s">
        <v>6988</v>
      </c>
    </row>
    <row r="5534" spans="1:6" x14ac:dyDescent="0.25">
      <c r="A5534" t="s">
        <v>6077</v>
      </c>
      <c r="B5534" t="s">
        <v>849</v>
      </c>
      <c r="C5534" t="s">
        <v>6989</v>
      </c>
      <c r="D5534" t="str">
        <f>HYPERLINK("http://service.sap.com/sap/support/notes/1684308","1684308")</f>
        <v>1684308</v>
      </c>
      <c r="E5534">
        <v>1</v>
      </c>
      <c r="F5534" t="s">
        <v>6990</v>
      </c>
    </row>
    <row r="5535" spans="1:6" x14ac:dyDescent="0.25">
      <c r="A5535" t="s">
        <v>6077</v>
      </c>
      <c r="B5535" t="s">
        <v>851</v>
      </c>
      <c r="C5535" t="s">
        <v>852</v>
      </c>
      <c r="D5535" t="str">
        <f>HYPERLINK("http://service.sap.com/sap/support/notes/1657162","1657162")</f>
        <v>1657162</v>
      </c>
      <c r="E5535">
        <v>1</v>
      </c>
      <c r="F5535" t="s">
        <v>6991</v>
      </c>
    </row>
    <row r="5536" spans="1:6" x14ac:dyDescent="0.25">
      <c r="A5536" t="s">
        <v>6077</v>
      </c>
      <c r="B5536" t="s">
        <v>851</v>
      </c>
      <c r="C5536" t="s">
        <v>852</v>
      </c>
      <c r="D5536" t="str">
        <f>HYPERLINK("http://service.sap.com/sap/support/notes/1681072","1681072")</f>
        <v>1681072</v>
      </c>
      <c r="E5536">
        <v>1</v>
      </c>
      <c r="F5536" t="s">
        <v>6992</v>
      </c>
    </row>
    <row r="5537" spans="1:6" x14ac:dyDescent="0.25">
      <c r="A5537" t="s">
        <v>6077</v>
      </c>
      <c r="B5537" t="s">
        <v>854</v>
      </c>
      <c r="C5537" t="s">
        <v>855</v>
      </c>
      <c r="D5537" t="str">
        <f>HYPERLINK("http://service.sap.com/sap/support/notes/1672395","1672395")</f>
        <v>1672395</v>
      </c>
      <c r="E5537">
        <v>1</v>
      </c>
      <c r="F5537" t="s">
        <v>6993</v>
      </c>
    </row>
    <row r="5538" spans="1:6" x14ac:dyDescent="0.25">
      <c r="A5538" t="s">
        <v>6077</v>
      </c>
      <c r="B5538" t="s">
        <v>854</v>
      </c>
      <c r="C5538" t="s">
        <v>855</v>
      </c>
      <c r="D5538" t="str">
        <f>HYPERLINK("http://service.sap.com/sap/support/notes/1673209","1673209")</f>
        <v>1673209</v>
      </c>
      <c r="E5538">
        <v>4</v>
      </c>
      <c r="F5538" t="s">
        <v>6994</v>
      </c>
    </row>
    <row r="5539" spans="1:6" x14ac:dyDescent="0.25">
      <c r="A5539" t="s">
        <v>6077</v>
      </c>
      <c r="B5539" t="s">
        <v>854</v>
      </c>
      <c r="C5539" t="s">
        <v>855</v>
      </c>
      <c r="D5539" t="str">
        <f>HYPERLINK("http://service.sap.com/sap/support/notes/1674211","1674211")</f>
        <v>1674211</v>
      </c>
      <c r="E5539">
        <v>1</v>
      </c>
      <c r="F5539" t="s">
        <v>6995</v>
      </c>
    </row>
    <row r="5540" spans="1:6" x14ac:dyDescent="0.25">
      <c r="A5540" t="s">
        <v>6077</v>
      </c>
      <c r="B5540" t="s">
        <v>854</v>
      </c>
      <c r="C5540" t="s">
        <v>855</v>
      </c>
      <c r="D5540" t="str">
        <f>HYPERLINK("http://service.sap.com/sap/support/notes/1674983","1674983")</f>
        <v>1674983</v>
      </c>
      <c r="E5540">
        <v>1</v>
      </c>
      <c r="F5540" t="s">
        <v>6996</v>
      </c>
    </row>
    <row r="5541" spans="1:6" x14ac:dyDescent="0.25">
      <c r="A5541" t="s">
        <v>6077</v>
      </c>
      <c r="B5541" t="s">
        <v>854</v>
      </c>
      <c r="C5541" t="s">
        <v>855</v>
      </c>
      <c r="D5541" t="str">
        <f>HYPERLINK("http://service.sap.com/sap/support/notes/1676391","1676391")</f>
        <v>1676391</v>
      </c>
      <c r="E5541">
        <v>2</v>
      </c>
      <c r="F5541" t="s">
        <v>6997</v>
      </c>
    </row>
    <row r="5542" spans="1:6" x14ac:dyDescent="0.25">
      <c r="A5542" t="s">
        <v>6077</v>
      </c>
      <c r="B5542" t="s">
        <v>854</v>
      </c>
      <c r="C5542" t="s">
        <v>855</v>
      </c>
      <c r="D5542" t="str">
        <f>HYPERLINK("http://service.sap.com/sap/support/notes/1676441","1676441")</f>
        <v>1676441</v>
      </c>
      <c r="E5542">
        <v>2</v>
      </c>
      <c r="F5542" t="s">
        <v>6998</v>
      </c>
    </row>
    <row r="5543" spans="1:6" x14ac:dyDescent="0.25">
      <c r="A5543" t="s">
        <v>6077</v>
      </c>
      <c r="B5543" t="s">
        <v>858</v>
      </c>
      <c r="C5543" t="s">
        <v>859</v>
      </c>
    </row>
    <row r="5544" spans="1:6" x14ac:dyDescent="0.25">
      <c r="A5544" t="s">
        <v>6077</v>
      </c>
      <c r="B5544" t="s">
        <v>4017</v>
      </c>
      <c r="C5544" t="s">
        <v>6999</v>
      </c>
      <c r="D5544" t="str">
        <f>HYPERLINK("http://service.sap.com/sap/support/notes/1673711","1673711")</f>
        <v>1673711</v>
      </c>
      <c r="E5544">
        <v>1</v>
      </c>
      <c r="F5544" t="s">
        <v>7000</v>
      </c>
    </row>
    <row r="5545" spans="1:6" x14ac:dyDescent="0.25">
      <c r="A5545" t="s">
        <v>6077</v>
      </c>
      <c r="B5545" t="s">
        <v>864</v>
      </c>
      <c r="C5545" t="s">
        <v>337</v>
      </c>
      <c r="D5545" t="str">
        <f>HYPERLINK("http://service.sap.com/sap/support/notes/1155652","1155652")</f>
        <v>1155652</v>
      </c>
      <c r="E5545">
        <v>1</v>
      </c>
      <c r="F5545" t="s">
        <v>4026</v>
      </c>
    </row>
    <row r="5546" spans="1:6" x14ac:dyDescent="0.25">
      <c r="A5546" t="s">
        <v>6077</v>
      </c>
      <c r="B5546" t="s">
        <v>865</v>
      </c>
      <c r="C5546" t="s">
        <v>866</v>
      </c>
      <c r="D5546" t="str">
        <f>HYPERLINK("http://service.sap.com/sap/support/notes/1090663","1090663")</f>
        <v>1090663</v>
      </c>
      <c r="E5546">
        <v>9</v>
      </c>
      <c r="F5546" t="s">
        <v>7001</v>
      </c>
    </row>
    <row r="5547" spans="1:6" x14ac:dyDescent="0.25">
      <c r="A5547" t="s">
        <v>6077</v>
      </c>
      <c r="B5547" t="s">
        <v>865</v>
      </c>
      <c r="C5547" t="s">
        <v>866</v>
      </c>
      <c r="D5547" t="str">
        <f>HYPERLINK("http://service.sap.com/sap/support/notes/1678248","1678248")</f>
        <v>1678248</v>
      </c>
      <c r="E5547">
        <v>2</v>
      </c>
      <c r="F5547" t="s">
        <v>7002</v>
      </c>
    </row>
    <row r="5548" spans="1:6" x14ac:dyDescent="0.25">
      <c r="A5548" t="s">
        <v>6077</v>
      </c>
      <c r="B5548" t="s">
        <v>865</v>
      </c>
      <c r="C5548" t="s">
        <v>866</v>
      </c>
      <c r="D5548" t="str">
        <f>HYPERLINK("http://service.sap.com/sap/support/notes/1681737","1681737")</f>
        <v>1681737</v>
      </c>
      <c r="E5548">
        <v>1</v>
      </c>
      <c r="F5548" t="s">
        <v>7003</v>
      </c>
    </row>
    <row r="5549" spans="1:6" x14ac:dyDescent="0.25">
      <c r="A5549" t="s">
        <v>6077</v>
      </c>
      <c r="B5549" t="s">
        <v>865</v>
      </c>
      <c r="C5549" t="s">
        <v>866</v>
      </c>
      <c r="D5549" t="str">
        <f>HYPERLINK("http://service.sap.com/sap/support/notes/1690789","1690789")</f>
        <v>1690789</v>
      </c>
      <c r="E5549">
        <v>2</v>
      </c>
      <c r="F5549" t="s">
        <v>7004</v>
      </c>
    </row>
    <row r="5550" spans="1:6" x14ac:dyDescent="0.25">
      <c r="A5550" t="s">
        <v>6077</v>
      </c>
      <c r="B5550" t="s">
        <v>4036</v>
      </c>
      <c r="C5550" t="s">
        <v>4037</v>
      </c>
      <c r="D5550" t="str">
        <f>HYPERLINK("http://service.sap.com/sap/support/notes/1679925","1679925")</f>
        <v>1679925</v>
      </c>
      <c r="E5550">
        <v>2</v>
      </c>
      <c r="F5550" t="s">
        <v>7005</v>
      </c>
    </row>
    <row r="5551" spans="1:6" x14ac:dyDescent="0.25">
      <c r="A5551" t="s">
        <v>6077</v>
      </c>
      <c r="B5551" t="s">
        <v>4040</v>
      </c>
      <c r="C5551" t="s">
        <v>33</v>
      </c>
    </row>
    <row r="5552" spans="1:6" x14ac:dyDescent="0.25">
      <c r="A5552" t="s">
        <v>6077</v>
      </c>
      <c r="B5552" t="s">
        <v>4041</v>
      </c>
      <c r="C5552" t="s">
        <v>4042</v>
      </c>
      <c r="D5552" t="str">
        <f>HYPERLINK("http://service.sap.com/sap/support/notes/1678983","1678983")</f>
        <v>1678983</v>
      </c>
      <c r="E5552">
        <v>2</v>
      </c>
      <c r="F5552" t="s">
        <v>7006</v>
      </c>
    </row>
    <row r="5553" spans="1:6" x14ac:dyDescent="0.25">
      <c r="A5553" t="s">
        <v>6077</v>
      </c>
      <c r="B5553" t="s">
        <v>4047</v>
      </c>
      <c r="C5553" t="s">
        <v>4048</v>
      </c>
      <c r="D5553" t="str">
        <f>HYPERLINK("http://service.sap.com/sap/support/notes/1678986","1678986")</f>
        <v>1678986</v>
      </c>
      <c r="E5553">
        <v>1</v>
      </c>
      <c r="F5553" t="s">
        <v>7007</v>
      </c>
    </row>
    <row r="5554" spans="1:6" x14ac:dyDescent="0.25">
      <c r="A5554" t="s">
        <v>6077</v>
      </c>
      <c r="B5554" t="s">
        <v>7008</v>
      </c>
      <c r="C5554" t="s">
        <v>7009</v>
      </c>
      <c r="D5554" t="str">
        <f>HYPERLINK("http://service.sap.com/sap/support/notes/1556510","1556510")</f>
        <v>1556510</v>
      </c>
      <c r="E5554">
        <v>2</v>
      </c>
      <c r="F5554" t="s">
        <v>7010</v>
      </c>
    </row>
    <row r="5555" spans="1:6" x14ac:dyDescent="0.25">
      <c r="A5555" t="s">
        <v>6077</v>
      </c>
      <c r="B5555" t="s">
        <v>872</v>
      </c>
      <c r="C5555" t="s">
        <v>873</v>
      </c>
      <c r="D5555" t="str">
        <f>HYPERLINK("http://service.sap.com/sap/support/notes/1661191","1661191")</f>
        <v>1661191</v>
      </c>
      <c r="E5555">
        <v>3</v>
      </c>
      <c r="F5555" t="s">
        <v>7011</v>
      </c>
    </row>
    <row r="5556" spans="1:6" x14ac:dyDescent="0.25">
      <c r="A5556" t="s">
        <v>6077</v>
      </c>
      <c r="B5556" t="s">
        <v>872</v>
      </c>
      <c r="C5556" t="s">
        <v>873</v>
      </c>
      <c r="D5556" t="str">
        <f>HYPERLINK("http://service.sap.com/sap/support/notes/1683970","1683970")</f>
        <v>1683970</v>
      </c>
      <c r="E5556">
        <v>2</v>
      </c>
      <c r="F5556" t="s">
        <v>885</v>
      </c>
    </row>
    <row r="5557" spans="1:6" x14ac:dyDescent="0.25">
      <c r="A5557" t="s">
        <v>6077</v>
      </c>
      <c r="B5557" t="s">
        <v>4058</v>
      </c>
      <c r="C5557" t="s">
        <v>4059</v>
      </c>
      <c r="D5557" t="str">
        <f>HYPERLINK("http://service.sap.com/sap/support/notes/1677797","1677797")</f>
        <v>1677797</v>
      </c>
      <c r="E5557">
        <v>3</v>
      </c>
      <c r="F5557" t="s">
        <v>7012</v>
      </c>
    </row>
    <row r="5558" spans="1:6" x14ac:dyDescent="0.25">
      <c r="A5558" t="s">
        <v>6077</v>
      </c>
      <c r="B5558" t="s">
        <v>875</v>
      </c>
      <c r="C5558" t="s">
        <v>876</v>
      </c>
      <c r="D5558" t="str">
        <f>HYPERLINK("http://service.sap.com/sap/support/notes/1677685","1677685")</f>
        <v>1677685</v>
      </c>
      <c r="E5558">
        <v>1</v>
      </c>
      <c r="F5558" t="s">
        <v>7013</v>
      </c>
    </row>
    <row r="5559" spans="1:6" x14ac:dyDescent="0.25">
      <c r="A5559" t="s">
        <v>6077</v>
      </c>
      <c r="B5559" t="s">
        <v>875</v>
      </c>
      <c r="C5559" t="s">
        <v>876</v>
      </c>
      <c r="D5559" t="str">
        <f>HYPERLINK("http://service.sap.com/sap/support/notes/1694854","1694854")</f>
        <v>1694854</v>
      </c>
      <c r="E5559">
        <v>1</v>
      </c>
      <c r="F5559" t="s">
        <v>7014</v>
      </c>
    </row>
    <row r="5560" spans="1:6" x14ac:dyDescent="0.25">
      <c r="A5560" t="s">
        <v>6077</v>
      </c>
      <c r="B5560" t="s">
        <v>4065</v>
      </c>
      <c r="C5560" t="s">
        <v>4066</v>
      </c>
      <c r="D5560" t="str">
        <f>HYPERLINK("http://service.sap.com/sap/support/notes/1673986","1673986")</f>
        <v>1673986</v>
      </c>
      <c r="E5560">
        <v>1</v>
      </c>
      <c r="F5560" t="s">
        <v>7015</v>
      </c>
    </row>
    <row r="5561" spans="1:6" x14ac:dyDescent="0.25">
      <c r="A5561" t="s">
        <v>6077</v>
      </c>
      <c r="B5561" t="s">
        <v>879</v>
      </c>
      <c r="C5561" t="s">
        <v>880</v>
      </c>
      <c r="D5561" t="str">
        <f>HYPERLINK("http://service.sap.com/sap/support/notes/929687","929687")</f>
        <v>929687</v>
      </c>
      <c r="E5561">
        <v>2</v>
      </c>
      <c r="F5561" t="s">
        <v>7016</v>
      </c>
    </row>
    <row r="5562" spans="1:6" x14ac:dyDescent="0.25">
      <c r="A5562" t="s">
        <v>6077</v>
      </c>
      <c r="B5562" t="s">
        <v>879</v>
      </c>
      <c r="C5562" t="s">
        <v>880</v>
      </c>
      <c r="D5562" t="str">
        <f>HYPERLINK("http://service.sap.com/sap/support/notes/1660436","1660436")</f>
        <v>1660436</v>
      </c>
      <c r="E5562">
        <v>2</v>
      </c>
      <c r="F5562" t="s">
        <v>7017</v>
      </c>
    </row>
    <row r="5563" spans="1:6" x14ac:dyDescent="0.25">
      <c r="A5563" t="s">
        <v>6077</v>
      </c>
      <c r="B5563" t="s">
        <v>879</v>
      </c>
      <c r="C5563" t="s">
        <v>880</v>
      </c>
      <c r="D5563" t="str">
        <f>HYPERLINK("http://service.sap.com/sap/support/notes/1673599","1673599")</f>
        <v>1673599</v>
      </c>
      <c r="E5563">
        <v>3</v>
      </c>
      <c r="F5563" t="s">
        <v>7018</v>
      </c>
    </row>
    <row r="5564" spans="1:6" x14ac:dyDescent="0.25">
      <c r="A5564" t="s">
        <v>6077</v>
      </c>
      <c r="B5564" t="s">
        <v>879</v>
      </c>
      <c r="C5564" t="s">
        <v>880</v>
      </c>
      <c r="D5564" t="str">
        <f>HYPERLINK("http://service.sap.com/sap/support/notes/1673947","1673947")</f>
        <v>1673947</v>
      </c>
      <c r="E5564">
        <v>1</v>
      </c>
      <c r="F5564" t="s">
        <v>7019</v>
      </c>
    </row>
    <row r="5565" spans="1:6" x14ac:dyDescent="0.25">
      <c r="A5565" t="s">
        <v>6077</v>
      </c>
      <c r="B5565" t="s">
        <v>879</v>
      </c>
      <c r="C5565" t="s">
        <v>880</v>
      </c>
      <c r="D5565" t="str">
        <f>HYPERLINK("http://service.sap.com/sap/support/notes/1676297","1676297")</f>
        <v>1676297</v>
      </c>
      <c r="E5565">
        <v>4</v>
      </c>
      <c r="F5565" t="s">
        <v>7020</v>
      </c>
    </row>
    <row r="5566" spans="1:6" x14ac:dyDescent="0.25">
      <c r="A5566" t="s">
        <v>6077</v>
      </c>
      <c r="B5566" t="s">
        <v>879</v>
      </c>
      <c r="C5566" t="s">
        <v>880</v>
      </c>
      <c r="D5566" t="str">
        <f>HYPERLINK("http://service.sap.com/sap/support/notes/1676417","1676417")</f>
        <v>1676417</v>
      </c>
      <c r="E5566">
        <v>2</v>
      </c>
      <c r="F5566" t="s">
        <v>7021</v>
      </c>
    </row>
    <row r="5567" spans="1:6" x14ac:dyDescent="0.25">
      <c r="A5567" t="s">
        <v>6077</v>
      </c>
      <c r="B5567" t="s">
        <v>879</v>
      </c>
      <c r="C5567" t="s">
        <v>880</v>
      </c>
      <c r="D5567" t="str">
        <f>HYPERLINK("http://service.sap.com/sap/support/notes/1678446","1678446")</f>
        <v>1678446</v>
      </c>
      <c r="E5567">
        <v>3</v>
      </c>
      <c r="F5567" t="s">
        <v>7022</v>
      </c>
    </row>
    <row r="5568" spans="1:6" x14ac:dyDescent="0.25">
      <c r="A5568" t="s">
        <v>6077</v>
      </c>
      <c r="B5568" t="s">
        <v>879</v>
      </c>
      <c r="C5568" t="s">
        <v>880</v>
      </c>
      <c r="D5568" t="str">
        <f>HYPERLINK("http://service.sap.com/sap/support/notes/1679781","1679781")</f>
        <v>1679781</v>
      </c>
      <c r="E5568">
        <v>2</v>
      </c>
      <c r="F5568" t="s">
        <v>7023</v>
      </c>
    </row>
    <row r="5569" spans="1:6" x14ac:dyDescent="0.25">
      <c r="A5569" t="s">
        <v>6077</v>
      </c>
      <c r="B5569" t="s">
        <v>879</v>
      </c>
      <c r="C5569" t="s">
        <v>880</v>
      </c>
      <c r="D5569" t="str">
        <f>HYPERLINK("http://service.sap.com/sap/support/notes/1680242","1680242")</f>
        <v>1680242</v>
      </c>
      <c r="E5569">
        <v>2</v>
      </c>
      <c r="F5569" t="s">
        <v>7024</v>
      </c>
    </row>
    <row r="5570" spans="1:6" x14ac:dyDescent="0.25">
      <c r="A5570" t="s">
        <v>6077</v>
      </c>
      <c r="B5570" t="s">
        <v>879</v>
      </c>
      <c r="C5570" t="s">
        <v>880</v>
      </c>
      <c r="D5570" t="str">
        <f>HYPERLINK("http://service.sap.com/sap/support/notes/1681053","1681053")</f>
        <v>1681053</v>
      </c>
      <c r="E5570">
        <v>2</v>
      </c>
      <c r="F5570" t="s">
        <v>7025</v>
      </c>
    </row>
    <row r="5571" spans="1:6" x14ac:dyDescent="0.25">
      <c r="A5571" t="s">
        <v>6077</v>
      </c>
      <c r="B5571" t="s">
        <v>879</v>
      </c>
      <c r="C5571" t="s">
        <v>880</v>
      </c>
      <c r="D5571" t="str">
        <f>HYPERLINK("http://service.sap.com/sap/support/notes/1685626","1685626")</f>
        <v>1685626</v>
      </c>
      <c r="E5571">
        <v>1</v>
      </c>
      <c r="F5571" t="s">
        <v>7026</v>
      </c>
    </row>
    <row r="5572" spans="1:6" x14ac:dyDescent="0.25">
      <c r="A5572" t="s">
        <v>6077</v>
      </c>
      <c r="B5572" t="s">
        <v>879</v>
      </c>
      <c r="C5572" t="s">
        <v>880</v>
      </c>
      <c r="D5572" t="str">
        <f>HYPERLINK("http://service.sap.com/sap/support/notes/1693796","1693796")</f>
        <v>1693796</v>
      </c>
      <c r="E5572">
        <v>2</v>
      </c>
      <c r="F5572" t="s">
        <v>7027</v>
      </c>
    </row>
    <row r="5573" spans="1:6" x14ac:dyDescent="0.25">
      <c r="A5573" t="s">
        <v>6077</v>
      </c>
      <c r="B5573" t="s">
        <v>7028</v>
      </c>
      <c r="C5573" t="s">
        <v>7029</v>
      </c>
      <c r="D5573" t="str">
        <f>HYPERLINK("http://service.sap.com/sap/support/notes/1666195","1666195")</f>
        <v>1666195</v>
      </c>
      <c r="E5573">
        <v>2</v>
      </c>
      <c r="F5573" t="s">
        <v>7030</v>
      </c>
    </row>
    <row r="5574" spans="1:6" x14ac:dyDescent="0.25">
      <c r="A5574" t="s">
        <v>6077</v>
      </c>
      <c r="B5574" t="s">
        <v>4086</v>
      </c>
      <c r="C5574" t="s">
        <v>859</v>
      </c>
      <c r="D5574" t="str">
        <f>HYPERLINK("http://service.sap.com/sap/support/notes/1630575","1630575")</f>
        <v>1630575</v>
      </c>
      <c r="E5574">
        <v>3</v>
      </c>
      <c r="F5574" t="s">
        <v>7031</v>
      </c>
    </row>
    <row r="5575" spans="1:6" x14ac:dyDescent="0.25">
      <c r="A5575" t="s">
        <v>6077</v>
      </c>
      <c r="B5575" t="s">
        <v>886</v>
      </c>
      <c r="C5575" t="s">
        <v>887</v>
      </c>
      <c r="D5575" t="str">
        <f>HYPERLINK("http://service.sap.com/sap/support/notes/1676227","1676227")</f>
        <v>1676227</v>
      </c>
      <c r="E5575">
        <v>1</v>
      </c>
      <c r="F5575" t="s">
        <v>7032</v>
      </c>
    </row>
    <row r="5576" spans="1:6" x14ac:dyDescent="0.25">
      <c r="A5576" t="s">
        <v>6077</v>
      </c>
      <c r="B5576" t="s">
        <v>886</v>
      </c>
      <c r="C5576" t="s">
        <v>887</v>
      </c>
      <c r="D5576" t="str">
        <f>HYPERLINK("http://service.sap.com/sap/support/notes/1685267","1685267")</f>
        <v>1685267</v>
      </c>
      <c r="E5576">
        <v>2</v>
      </c>
      <c r="F5576" t="s">
        <v>7033</v>
      </c>
    </row>
    <row r="5577" spans="1:6" x14ac:dyDescent="0.25">
      <c r="A5577" t="s">
        <v>6077</v>
      </c>
      <c r="B5577" t="s">
        <v>886</v>
      </c>
      <c r="C5577" t="s">
        <v>887</v>
      </c>
      <c r="D5577" t="str">
        <f>HYPERLINK("http://service.sap.com/sap/support/notes/1686760","1686760")</f>
        <v>1686760</v>
      </c>
      <c r="E5577">
        <v>2</v>
      </c>
      <c r="F5577" t="s">
        <v>7034</v>
      </c>
    </row>
    <row r="5578" spans="1:6" x14ac:dyDescent="0.25">
      <c r="A5578" t="s">
        <v>6077</v>
      </c>
      <c r="B5578" t="s">
        <v>4099</v>
      </c>
      <c r="C5578" t="s">
        <v>4100</v>
      </c>
      <c r="D5578" t="str">
        <f>HYPERLINK("http://service.sap.com/sap/support/notes/1666452","1666452")</f>
        <v>1666452</v>
      </c>
      <c r="E5578">
        <v>2</v>
      </c>
      <c r="F5578" t="s">
        <v>7035</v>
      </c>
    </row>
    <row r="5579" spans="1:6" x14ac:dyDescent="0.25">
      <c r="A5579" t="s">
        <v>6077</v>
      </c>
      <c r="B5579" t="s">
        <v>891</v>
      </c>
      <c r="C5579" t="s">
        <v>651</v>
      </c>
    </row>
    <row r="5580" spans="1:6" x14ac:dyDescent="0.25">
      <c r="A5580" t="s">
        <v>6077</v>
      </c>
      <c r="B5580" t="s">
        <v>7036</v>
      </c>
      <c r="C5580" t="s">
        <v>7037</v>
      </c>
    </row>
    <row r="5581" spans="1:6" x14ac:dyDescent="0.25">
      <c r="A5581" t="s">
        <v>6077</v>
      </c>
      <c r="B5581" t="s">
        <v>7038</v>
      </c>
      <c r="C5581" t="s">
        <v>7039</v>
      </c>
      <c r="D5581" t="str">
        <f>HYPERLINK("http://service.sap.com/sap/support/notes/1604020","1604020")</f>
        <v>1604020</v>
      </c>
      <c r="E5581">
        <v>3</v>
      </c>
      <c r="F5581" t="s">
        <v>7040</v>
      </c>
    </row>
    <row r="5582" spans="1:6" x14ac:dyDescent="0.25">
      <c r="A5582" t="s">
        <v>6077</v>
      </c>
      <c r="B5582" t="s">
        <v>7038</v>
      </c>
      <c r="C5582" t="s">
        <v>7039</v>
      </c>
      <c r="D5582" t="str">
        <f>HYPERLINK("http://service.sap.com/sap/support/notes/1621317","1621317")</f>
        <v>1621317</v>
      </c>
      <c r="E5582">
        <v>1</v>
      </c>
      <c r="F5582" t="s">
        <v>7041</v>
      </c>
    </row>
    <row r="5583" spans="1:6" x14ac:dyDescent="0.25">
      <c r="A5583" t="s">
        <v>6077</v>
      </c>
      <c r="B5583" t="s">
        <v>7038</v>
      </c>
      <c r="C5583" t="s">
        <v>7039</v>
      </c>
      <c r="D5583" t="str">
        <f>HYPERLINK("http://service.sap.com/sap/support/notes/1635044","1635044")</f>
        <v>1635044</v>
      </c>
      <c r="E5583">
        <v>2</v>
      </c>
      <c r="F5583" t="s">
        <v>7042</v>
      </c>
    </row>
    <row r="5584" spans="1:6" x14ac:dyDescent="0.25">
      <c r="A5584" t="s">
        <v>6077</v>
      </c>
      <c r="B5584" t="s">
        <v>7038</v>
      </c>
      <c r="C5584" t="s">
        <v>7039</v>
      </c>
      <c r="D5584" t="str">
        <f>HYPERLINK("http://service.sap.com/sap/support/notes/1667150","1667150")</f>
        <v>1667150</v>
      </c>
      <c r="E5584">
        <v>1</v>
      </c>
      <c r="F5584" t="s">
        <v>7043</v>
      </c>
    </row>
    <row r="5585" spans="1:6" x14ac:dyDescent="0.25">
      <c r="A5585" t="s">
        <v>6077</v>
      </c>
      <c r="B5585" t="s">
        <v>7038</v>
      </c>
      <c r="C5585" t="s">
        <v>7039</v>
      </c>
      <c r="D5585" t="str">
        <f>HYPERLINK("http://service.sap.com/sap/support/notes/1669427","1669427")</f>
        <v>1669427</v>
      </c>
      <c r="E5585">
        <v>1</v>
      </c>
      <c r="F5585" t="s">
        <v>7044</v>
      </c>
    </row>
    <row r="5586" spans="1:6" x14ac:dyDescent="0.25">
      <c r="A5586" t="s">
        <v>6077</v>
      </c>
      <c r="B5586" t="s">
        <v>7038</v>
      </c>
      <c r="C5586" t="s">
        <v>7039</v>
      </c>
      <c r="D5586" t="str">
        <f>HYPERLINK("http://service.sap.com/sap/support/notes/1681639","1681639")</f>
        <v>1681639</v>
      </c>
      <c r="E5586">
        <v>1</v>
      </c>
      <c r="F5586" t="s">
        <v>7045</v>
      </c>
    </row>
    <row r="5587" spans="1:6" x14ac:dyDescent="0.25">
      <c r="A5587" t="s">
        <v>6077</v>
      </c>
      <c r="B5587" t="s">
        <v>7038</v>
      </c>
      <c r="C5587" t="s">
        <v>7039</v>
      </c>
      <c r="D5587" t="str">
        <f>HYPERLINK("http://service.sap.com/sap/support/notes/1691942","1691942")</f>
        <v>1691942</v>
      </c>
      <c r="E5587">
        <v>1</v>
      </c>
      <c r="F5587" t="s">
        <v>7046</v>
      </c>
    </row>
    <row r="5588" spans="1:6" x14ac:dyDescent="0.25">
      <c r="A5588" t="s">
        <v>6077</v>
      </c>
      <c r="B5588" t="s">
        <v>4102</v>
      </c>
      <c r="C5588" t="s">
        <v>4103</v>
      </c>
      <c r="D5588" t="str">
        <f>HYPERLINK("http://service.sap.com/sap/support/notes/1678687","1678687")</f>
        <v>1678687</v>
      </c>
      <c r="E5588">
        <v>2</v>
      </c>
      <c r="F5588" t="s">
        <v>7047</v>
      </c>
    </row>
    <row r="5589" spans="1:6" x14ac:dyDescent="0.25">
      <c r="A5589" t="s">
        <v>6077</v>
      </c>
      <c r="B5589" t="s">
        <v>4102</v>
      </c>
      <c r="C5589" t="s">
        <v>4103</v>
      </c>
      <c r="D5589" t="str">
        <f>HYPERLINK("http://service.sap.com/sap/support/notes/1682438","1682438")</f>
        <v>1682438</v>
      </c>
      <c r="E5589">
        <v>1</v>
      </c>
      <c r="F5589" t="s">
        <v>7048</v>
      </c>
    </row>
    <row r="5590" spans="1:6" x14ac:dyDescent="0.25">
      <c r="A5590" t="s">
        <v>6077</v>
      </c>
      <c r="B5590" t="s">
        <v>892</v>
      </c>
      <c r="C5590" t="s">
        <v>337</v>
      </c>
    </row>
    <row r="5591" spans="1:6" x14ac:dyDescent="0.25">
      <c r="A5591" t="s">
        <v>6077</v>
      </c>
      <c r="B5591" t="s">
        <v>893</v>
      </c>
      <c r="C5591" t="s">
        <v>894</v>
      </c>
      <c r="D5591" t="str">
        <f>HYPERLINK("http://service.sap.com/sap/support/notes/1554288","1554288")</f>
        <v>1554288</v>
      </c>
      <c r="E5591">
        <v>4</v>
      </c>
      <c r="F5591" t="s">
        <v>7049</v>
      </c>
    </row>
    <row r="5592" spans="1:6" x14ac:dyDescent="0.25">
      <c r="A5592" t="s">
        <v>6077</v>
      </c>
      <c r="B5592" t="s">
        <v>893</v>
      </c>
      <c r="C5592" t="s">
        <v>894</v>
      </c>
      <c r="D5592" t="str">
        <f>HYPERLINK("http://service.sap.com/sap/support/notes/1651174","1651174")</f>
        <v>1651174</v>
      </c>
      <c r="E5592">
        <v>7</v>
      </c>
      <c r="F5592" t="s">
        <v>7050</v>
      </c>
    </row>
    <row r="5593" spans="1:6" x14ac:dyDescent="0.25">
      <c r="A5593" t="s">
        <v>6077</v>
      </c>
      <c r="B5593" t="s">
        <v>4120</v>
      </c>
      <c r="C5593" t="s">
        <v>2440</v>
      </c>
      <c r="D5593" t="str">
        <f>HYPERLINK("http://service.sap.com/sap/support/notes/1571887","1571887")</f>
        <v>1571887</v>
      </c>
      <c r="E5593">
        <v>6</v>
      </c>
      <c r="F5593" t="s">
        <v>7051</v>
      </c>
    </row>
    <row r="5594" spans="1:6" x14ac:dyDescent="0.25">
      <c r="A5594" t="s">
        <v>6077</v>
      </c>
      <c r="B5594" t="s">
        <v>4120</v>
      </c>
      <c r="C5594" t="s">
        <v>2440</v>
      </c>
      <c r="D5594" t="str">
        <f>HYPERLINK("http://service.sap.com/sap/support/notes/1623562","1623562")</f>
        <v>1623562</v>
      </c>
      <c r="E5594">
        <v>3</v>
      </c>
      <c r="F5594" t="s">
        <v>7052</v>
      </c>
    </row>
    <row r="5595" spans="1:6" x14ac:dyDescent="0.25">
      <c r="A5595" t="s">
        <v>6077</v>
      </c>
      <c r="B5595" t="s">
        <v>4120</v>
      </c>
      <c r="C5595" t="s">
        <v>2440</v>
      </c>
      <c r="D5595" t="str">
        <f>HYPERLINK("http://service.sap.com/sap/support/notes/1674444","1674444")</f>
        <v>1674444</v>
      </c>
      <c r="E5595">
        <v>2</v>
      </c>
      <c r="F5595" t="s">
        <v>7053</v>
      </c>
    </row>
    <row r="5596" spans="1:6" x14ac:dyDescent="0.25">
      <c r="A5596" t="s">
        <v>6077</v>
      </c>
      <c r="B5596" t="s">
        <v>4120</v>
      </c>
      <c r="C5596" t="s">
        <v>2440</v>
      </c>
      <c r="D5596" t="str">
        <f>HYPERLINK("http://service.sap.com/sap/support/notes/1679285","1679285")</f>
        <v>1679285</v>
      </c>
      <c r="E5596">
        <v>3</v>
      </c>
      <c r="F5596" t="s">
        <v>7054</v>
      </c>
    </row>
    <row r="5597" spans="1:6" x14ac:dyDescent="0.25">
      <c r="A5597" t="s">
        <v>6077</v>
      </c>
      <c r="B5597" t="s">
        <v>4120</v>
      </c>
      <c r="C5597" t="s">
        <v>2440</v>
      </c>
      <c r="D5597" t="str">
        <f>HYPERLINK("http://service.sap.com/sap/support/notes/1692985","1692985")</f>
        <v>1692985</v>
      </c>
      <c r="E5597">
        <v>1</v>
      </c>
      <c r="F5597" t="s">
        <v>7055</v>
      </c>
    </row>
    <row r="5598" spans="1:6" x14ac:dyDescent="0.25">
      <c r="A5598" t="s">
        <v>6077</v>
      </c>
      <c r="B5598" t="s">
        <v>4132</v>
      </c>
      <c r="C5598" t="s">
        <v>4133</v>
      </c>
      <c r="D5598" t="str">
        <f>HYPERLINK("http://service.sap.com/sap/support/notes/1679380","1679380")</f>
        <v>1679380</v>
      </c>
      <c r="E5598">
        <v>2</v>
      </c>
      <c r="F5598" t="s">
        <v>7056</v>
      </c>
    </row>
    <row r="5599" spans="1:6" x14ac:dyDescent="0.25">
      <c r="A5599" t="s">
        <v>6077</v>
      </c>
      <c r="B5599" t="s">
        <v>896</v>
      </c>
      <c r="C5599" t="s">
        <v>897</v>
      </c>
      <c r="D5599" t="str">
        <f>HYPERLINK("http://service.sap.com/sap/support/notes/1674251","1674251")</f>
        <v>1674251</v>
      </c>
      <c r="E5599">
        <v>2</v>
      </c>
      <c r="F5599" t="s">
        <v>7057</v>
      </c>
    </row>
    <row r="5600" spans="1:6" x14ac:dyDescent="0.25">
      <c r="A5600" t="s">
        <v>6077</v>
      </c>
      <c r="B5600" t="s">
        <v>4139</v>
      </c>
      <c r="C5600" t="s">
        <v>4140</v>
      </c>
      <c r="D5600" t="str">
        <f>HYPERLINK("http://service.sap.com/sap/support/notes/1678724","1678724")</f>
        <v>1678724</v>
      </c>
      <c r="E5600">
        <v>2</v>
      </c>
      <c r="F5600" t="s">
        <v>7058</v>
      </c>
    </row>
    <row r="5601" spans="1:6" x14ac:dyDescent="0.25">
      <c r="A5601" t="s">
        <v>6077</v>
      </c>
      <c r="B5601" t="s">
        <v>4145</v>
      </c>
      <c r="C5601" t="s">
        <v>4146</v>
      </c>
      <c r="D5601" t="str">
        <f>HYPERLINK("http://service.sap.com/sap/support/notes/1642596","1642596")</f>
        <v>1642596</v>
      </c>
      <c r="E5601">
        <v>3</v>
      </c>
      <c r="F5601" t="s">
        <v>7059</v>
      </c>
    </row>
    <row r="5602" spans="1:6" x14ac:dyDescent="0.25">
      <c r="A5602" t="s">
        <v>6077</v>
      </c>
      <c r="B5602" t="s">
        <v>4152</v>
      </c>
      <c r="C5602" t="s">
        <v>4153</v>
      </c>
      <c r="D5602" t="str">
        <f>HYPERLINK("http://service.sap.com/sap/support/notes/1681509","1681509")</f>
        <v>1681509</v>
      </c>
      <c r="E5602">
        <v>3</v>
      </c>
      <c r="F5602" t="s">
        <v>7060</v>
      </c>
    </row>
    <row r="5603" spans="1:6" x14ac:dyDescent="0.25">
      <c r="A5603" t="s">
        <v>6077</v>
      </c>
      <c r="B5603" t="s">
        <v>899</v>
      </c>
      <c r="C5603" t="s">
        <v>900</v>
      </c>
      <c r="D5603" t="str">
        <f>HYPERLINK("http://service.sap.com/sap/support/notes/1658464","1658464")</f>
        <v>1658464</v>
      </c>
      <c r="E5603">
        <v>4</v>
      </c>
      <c r="F5603" t="s">
        <v>7061</v>
      </c>
    </row>
    <row r="5604" spans="1:6" x14ac:dyDescent="0.25">
      <c r="A5604" t="s">
        <v>6077</v>
      </c>
      <c r="B5604" t="s">
        <v>899</v>
      </c>
      <c r="C5604" t="s">
        <v>900</v>
      </c>
      <c r="D5604" t="str">
        <f>HYPERLINK("http://service.sap.com/sap/support/notes/1692620","1692620")</f>
        <v>1692620</v>
      </c>
      <c r="E5604">
        <v>4</v>
      </c>
      <c r="F5604" t="s">
        <v>7062</v>
      </c>
    </row>
    <row r="5605" spans="1:6" x14ac:dyDescent="0.25">
      <c r="A5605" t="s">
        <v>6077</v>
      </c>
      <c r="B5605" t="s">
        <v>906</v>
      </c>
      <c r="C5605" t="s">
        <v>907</v>
      </c>
      <c r="D5605" t="str">
        <f>HYPERLINK("http://service.sap.com/sap/support/notes/1668559","1668559")</f>
        <v>1668559</v>
      </c>
      <c r="E5605">
        <v>14</v>
      </c>
      <c r="F5605" t="s">
        <v>7063</v>
      </c>
    </row>
    <row r="5606" spans="1:6" x14ac:dyDescent="0.25">
      <c r="A5606" t="s">
        <v>6077</v>
      </c>
      <c r="B5606" t="s">
        <v>906</v>
      </c>
      <c r="C5606" t="s">
        <v>907</v>
      </c>
      <c r="D5606" t="str">
        <f>HYPERLINK("http://service.sap.com/sap/support/notes/1683105","1683105")</f>
        <v>1683105</v>
      </c>
      <c r="E5606">
        <v>1</v>
      </c>
      <c r="F5606" t="s">
        <v>7064</v>
      </c>
    </row>
    <row r="5607" spans="1:6" x14ac:dyDescent="0.25">
      <c r="A5607" t="s">
        <v>6077</v>
      </c>
      <c r="B5607" t="s">
        <v>4171</v>
      </c>
      <c r="C5607" t="s">
        <v>4172</v>
      </c>
      <c r="D5607" t="str">
        <f>HYPERLINK("http://service.sap.com/sap/support/notes/1634198","1634198")</f>
        <v>1634198</v>
      </c>
      <c r="E5607">
        <v>2</v>
      </c>
      <c r="F5607" t="s">
        <v>7065</v>
      </c>
    </row>
    <row r="5608" spans="1:6" x14ac:dyDescent="0.25">
      <c r="A5608" t="s">
        <v>6077</v>
      </c>
      <c r="B5608" t="s">
        <v>909</v>
      </c>
      <c r="C5608" t="s">
        <v>869</v>
      </c>
      <c r="D5608" t="str">
        <f>HYPERLINK("http://service.sap.com/sap/support/notes/1661282","1661282")</f>
        <v>1661282</v>
      </c>
      <c r="E5608">
        <v>8</v>
      </c>
      <c r="F5608" t="s">
        <v>7066</v>
      </c>
    </row>
    <row r="5609" spans="1:6" x14ac:dyDescent="0.25">
      <c r="A5609" t="s">
        <v>6077</v>
      </c>
      <c r="B5609" t="s">
        <v>909</v>
      </c>
      <c r="C5609" t="s">
        <v>869</v>
      </c>
      <c r="D5609" t="str">
        <f>HYPERLINK("http://service.sap.com/sap/support/notes/1668996","1668996")</f>
        <v>1668996</v>
      </c>
      <c r="E5609">
        <v>5</v>
      </c>
      <c r="F5609" t="s">
        <v>7067</v>
      </c>
    </row>
    <row r="5610" spans="1:6" x14ac:dyDescent="0.25">
      <c r="A5610" t="s">
        <v>6077</v>
      </c>
      <c r="B5610" t="s">
        <v>909</v>
      </c>
      <c r="C5610" t="s">
        <v>869</v>
      </c>
      <c r="D5610" t="str">
        <f>HYPERLINK("http://service.sap.com/sap/support/notes/1677319","1677319")</f>
        <v>1677319</v>
      </c>
      <c r="E5610">
        <v>1</v>
      </c>
      <c r="F5610" t="s">
        <v>7068</v>
      </c>
    </row>
    <row r="5611" spans="1:6" x14ac:dyDescent="0.25">
      <c r="A5611" t="s">
        <v>6077</v>
      </c>
      <c r="B5611" t="s">
        <v>909</v>
      </c>
      <c r="C5611" t="s">
        <v>869</v>
      </c>
      <c r="D5611" t="str">
        <f>HYPERLINK("http://service.sap.com/sap/support/notes/1683412","1683412")</f>
        <v>1683412</v>
      </c>
      <c r="E5611">
        <v>3</v>
      </c>
      <c r="F5611" t="s">
        <v>7069</v>
      </c>
    </row>
    <row r="5612" spans="1:6" x14ac:dyDescent="0.25">
      <c r="A5612" t="s">
        <v>6077</v>
      </c>
      <c r="B5612" t="s">
        <v>909</v>
      </c>
      <c r="C5612" t="s">
        <v>869</v>
      </c>
      <c r="D5612" t="str">
        <f>HYPERLINK("http://service.sap.com/sap/support/notes/1684314","1684314")</f>
        <v>1684314</v>
      </c>
      <c r="E5612">
        <v>2</v>
      </c>
      <c r="F5612" t="s">
        <v>7070</v>
      </c>
    </row>
    <row r="5613" spans="1:6" x14ac:dyDescent="0.25">
      <c r="A5613" t="s">
        <v>6077</v>
      </c>
      <c r="B5613" t="s">
        <v>909</v>
      </c>
      <c r="C5613" t="s">
        <v>869</v>
      </c>
      <c r="D5613" t="str">
        <f>HYPERLINK("http://service.sap.com/sap/support/notes/1685394","1685394")</f>
        <v>1685394</v>
      </c>
      <c r="E5613">
        <v>2</v>
      </c>
      <c r="F5613" t="s">
        <v>7071</v>
      </c>
    </row>
    <row r="5614" spans="1:6" x14ac:dyDescent="0.25">
      <c r="A5614" t="s">
        <v>6077</v>
      </c>
      <c r="B5614" t="s">
        <v>909</v>
      </c>
      <c r="C5614" t="s">
        <v>869</v>
      </c>
      <c r="D5614" t="str">
        <f>HYPERLINK("http://service.sap.com/sap/support/notes/1689824","1689824")</f>
        <v>1689824</v>
      </c>
      <c r="E5614">
        <v>1</v>
      </c>
      <c r="F5614" t="s">
        <v>7072</v>
      </c>
    </row>
    <row r="5615" spans="1:6" x14ac:dyDescent="0.25">
      <c r="A5615" t="s">
        <v>6077</v>
      </c>
      <c r="B5615" t="s">
        <v>909</v>
      </c>
      <c r="C5615" t="s">
        <v>869</v>
      </c>
      <c r="D5615" t="str">
        <f>HYPERLINK("http://service.sap.com/sap/support/notes/1695159","1695159")</f>
        <v>1695159</v>
      </c>
      <c r="E5615">
        <v>1</v>
      </c>
      <c r="F5615" t="s">
        <v>7073</v>
      </c>
    </row>
    <row r="5616" spans="1:6" x14ac:dyDescent="0.25">
      <c r="A5616" t="s">
        <v>6077</v>
      </c>
      <c r="B5616" t="s">
        <v>920</v>
      </c>
      <c r="C5616" t="s">
        <v>921</v>
      </c>
      <c r="D5616" t="str">
        <f>HYPERLINK("http://service.sap.com/sap/support/notes/1679627","1679627")</f>
        <v>1679627</v>
      </c>
      <c r="E5616">
        <v>2</v>
      </c>
      <c r="F5616" t="s">
        <v>7074</v>
      </c>
    </row>
    <row r="5617" spans="1:6" x14ac:dyDescent="0.25">
      <c r="A5617" t="s">
        <v>6077</v>
      </c>
      <c r="B5617" t="s">
        <v>4203</v>
      </c>
      <c r="C5617" t="s">
        <v>4204</v>
      </c>
      <c r="D5617" t="str">
        <f>HYPERLINK("http://service.sap.com/sap/support/notes/1301962","1301962")</f>
        <v>1301962</v>
      </c>
      <c r="E5617">
        <v>8</v>
      </c>
      <c r="F5617" t="s">
        <v>7075</v>
      </c>
    </row>
    <row r="5618" spans="1:6" x14ac:dyDescent="0.25">
      <c r="A5618" t="s">
        <v>6077</v>
      </c>
      <c r="B5618" t="s">
        <v>4203</v>
      </c>
      <c r="C5618" t="s">
        <v>4204</v>
      </c>
      <c r="D5618" t="str">
        <f>HYPERLINK("http://service.sap.com/sap/support/notes/1649171","1649171")</f>
        <v>1649171</v>
      </c>
      <c r="E5618">
        <v>7</v>
      </c>
      <c r="F5618" t="s">
        <v>7076</v>
      </c>
    </row>
    <row r="5619" spans="1:6" x14ac:dyDescent="0.25">
      <c r="A5619" t="s">
        <v>6077</v>
      </c>
      <c r="B5619" t="s">
        <v>7077</v>
      </c>
      <c r="C5619" t="s">
        <v>5147</v>
      </c>
      <c r="D5619" t="str">
        <f>HYPERLINK("http://service.sap.com/sap/support/notes/1669734","1669734")</f>
        <v>1669734</v>
      </c>
      <c r="E5619">
        <v>4</v>
      </c>
      <c r="F5619" t="s">
        <v>7078</v>
      </c>
    </row>
    <row r="5620" spans="1:6" x14ac:dyDescent="0.25">
      <c r="A5620" t="s">
        <v>6077</v>
      </c>
      <c r="B5620" t="s">
        <v>4210</v>
      </c>
      <c r="C5620" t="s">
        <v>4211</v>
      </c>
      <c r="D5620" t="str">
        <f>HYPERLINK("http://service.sap.com/sap/support/notes/1650961","1650961")</f>
        <v>1650961</v>
      </c>
      <c r="E5620">
        <v>2</v>
      </c>
      <c r="F5620" t="s">
        <v>7079</v>
      </c>
    </row>
    <row r="5621" spans="1:6" x14ac:dyDescent="0.25">
      <c r="A5621" t="s">
        <v>6077</v>
      </c>
      <c r="B5621" t="s">
        <v>4210</v>
      </c>
      <c r="C5621" t="s">
        <v>4211</v>
      </c>
      <c r="D5621" t="str">
        <f>HYPERLINK("http://service.sap.com/sap/support/notes/1684117","1684117")</f>
        <v>1684117</v>
      </c>
      <c r="E5621">
        <v>2</v>
      </c>
      <c r="F5621" t="s">
        <v>7080</v>
      </c>
    </row>
    <row r="5622" spans="1:6" x14ac:dyDescent="0.25">
      <c r="A5622" t="s">
        <v>6077</v>
      </c>
      <c r="B5622" t="s">
        <v>4214</v>
      </c>
      <c r="C5622" t="s">
        <v>4215</v>
      </c>
      <c r="D5622" t="str">
        <f>HYPERLINK("http://service.sap.com/sap/support/notes/1664532","1664532")</f>
        <v>1664532</v>
      </c>
      <c r="E5622">
        <v>1</v>
      </c>
      <c r="F5622" t="s">
        <v>7081</v>
      </c>
    </row>
    <row r="5623" spans="1:6" x14ac:dyDescent="0.25">
      <c r="A5623" t="s">
        <v>6077</v>
      </c>
      <c r="B5623" t="s">
        <v>4219</v>
      </c>
      <c r="C5623" t="s">
        <v>3936</v>
      </c>
      <c r="D5623" t="str">
        <f>HYPERLINK("http://service.sap.com/sap/support/notes/1668897","1668897")</f>
        <v>1668897</v>
      </c>
      <c r="E5623">
        <v>5</v>
      </c>
      <c r="F5623" t="s">
        <v>7082</v>
      </c>
    </row>
    <row r="5624" spans="1:6" x14ac:dyDescent="0.25">
      <c r="A5624" t="s">
        <v>6077</v>
      </c>
      <c r="B5624" t="s">
        <v>4221</v>
      </c>
      <c r="C5624" t="s">
        <v>4222</v>
      </c>
      <c r="D5624" t="str">
        <f>HYPERLINK("http://service.sap.com/sap/support/notes/1636217","1636217")</f>
        <v>1636217</v>
      </c>
      <c r="E5624">
        <v>4</v>
      </c>
      <c r="F5624" t="s">
        <v>7083</v>
      </c>
    </row>
    <row r="5625" spans="1:6" x14ac:dyDescent="0.25">
      <c r="A5625" t="s">
        <v>6077</v>
      </c>
      <c r="B5625" t="s">
        <v>4221</v>
      </c>
      <c r="C5625" t="s">
        <v>4222</v>
      </c>
      <c r="D5625" t="str">
        <f>HYPERLINK("http://service.sap.com/sap/support/notes/1647618","1647618")</f>
        <v>1647618</v>
      </c>
      <c r="E5625">
        <v>4</v>
      </c>
      <c r="F5625" t="s">
        <v>7084</v>
      </c>
    </row>
    <row r="5626" spans="1:6" x14ac:dyDescent="0.25">
      <c r="A5626" t="s">
        <v>6077</v>
      </c>
      <c r="B5626" t="s">
        <v>4221</v>
      </c>
      <c r="C5626" t="s">
        <v>4222</v>
      </c>
      <c r="D5626" t="str">
        <f>HYPERLINK("http://service.sap.com/sap/support/notes/1655580","1655580")</f>
        <v>1655580</v>
      </c>
      <c r="E5626">
        <v>1</v>
      </c>
      <c r="F5626" t="s">
        <v>4223</v>
      </c>
    </row>
    <row r="5627" spans="1:6" x14ac:dyDescent="0.25">
      <c r="A5627" t="s">
        <v>6077</v>
      </c>
      <c r="B5627" t="s">
        <v>4221</v>
      </c>
      <c r="C5627" t="s">
        <v>4222</v>
      </c>
      <c r="D5627" t="str">
        <f>HYPERLINK("http://service.sap.com/sap/support/notes/1666168","1666168")</f>
        <v>1666168</v>
      </c>
      <c r="E5627">
        <v>2</v>
      </c>
      <c r="F5627" t="s">
        <v>7085</v>
      </c>
    </row>
    <row r="5628" spans="1:6" x14ac:dyDescent="0.25">
      <c r="A5628" t="s">
        <v>6077</v>
      </c>
      <c r="B5628" t="s">
        <v>4221</v>
      </c>
      <c r="C5628" t="s">
        <v>4222</v>
      </c>
      <c r="D5628" t="str">
        <f>HYPERLINK("http://service.sap.com/sap/support/notes/1680388","1680388")</f>
        <v>1680388</v>
      </c>
      <c r="E5628">
        <v>1</v>
      </c>
      <c r="F5628" t="s">
        <v>7086</v>
      </c>
    </row>
    <row r="5629" spans="1:6" x14ac:dyDescent="0.25">
      <c r="A5629" t="s">
        <v>6077</v>
      </c>
      <c r="B5629" t="s">
        <v>4221</v>
      </c>
      <c r="C5629" t="s">
        <v>4222</v>
      </c>
      <c r="D5629" t="str">
        <f>HYPERLINK("http://service.sap.com/sap/support/notes/1683147","1683147")</f>
        <v>1683147</v>
      </c>
      <c r="E5629">
        <v>1</v>
      </c>
      <c r="F5629" t="s">
        <v>7087</v>
      </c>
    </row>
    <row r="5630" spans="1:6" x14ac:dyDescent="0.25">
      <c r="A5630" t="s">
        <v>6077</v>
      </c>
      <c r="B5630" t="s">
        <v>4221</v>
      </c>
      <c r="C5630" t="s">
        <v>4222</v>
      </c>
      <c r="D5630" t="str">
        <f>HYPERLINK("http://service.sap.com/sap/support/notes/1685477","1685477")</f>
        <v>1685477</v>
      </c>
      <c r="E5630">
        <v>1</v>
      </c>
      <c r="F5630" t="s">
        <v>7088</v>
      </c>
    </row>
    <row r="5631" spans="1:6" x14ac:dyDescent="0.25">
      <c r="A5631" t="s">
        <v>6077</v>
      </c>
      <c r="B5631" t="s">
        <v>4227</v>
      </c>
      <c r="C5631" t="s">
        <v>1408</v>
      </c>
      <c r="D5631" t="str">
        <f>HYPERLINK("http://service.sap.com/sap/support/notes/1647148","1647148")</f>
        <v>1647148</v>
      </c>
      <c r="E5631">
        <v>1</v>
      </c>
      <c r="F5631" t="s">
        <v>7089</v>
      </c>
    </row>
    <row r="5632" spans="1:6" x14ac:dyDescent="0.25">
      <c r="A5632" t="s">
        <v>6077</v>
      </c>
      <c r="B5632" t="s">
        <v>4232</v>
      </c>
      <c r="C5632" t="s">
        <v>4233</v>
      </c>
      <c r="D5632" t="str">
        <f>HYPERLINK("http://service.sap.com/sap/support/notes/1662973","1662973")</f>
        <v>1662973</v>
      </c>
      <c r="E5632">
        <v>3</v>
      </c>
      <c r="F5632" t="s">
        <v>7090</v>
      </c>
    </row>
    <row r="5633" spans="1:6" x14ac:dyDescent="0.25">
      <c r="A5633" t="s">
        <v>6077</v>
      </c>
      <c r="B5633" t="s">
        <v>4240</v>
      </c>
      <c r="C5633" t="s">
        <v>614</v>
      </c>
      <c r="D5633" t="str">
        <f>HYPERLINK("http://service.sap.com/sap/support/notes/1617674","1617674")</f>
        <v>1617674</v>
      </c>
      <c r="E5633">
        <v>4</v>
      </c>
      <c r="F5633" t="s">
        <v>7091</v>
      </c>
    </row>
    <row r="5634" spans="1:6" x14ac:dyDescent="0.25">
      <c r="A5634" t="s">
        <v>6077</v>
      </c>
      <c r="B5634" t="s">
        <v>4240</v>
      </c>
      <c r="C5634" t="s">
        <v>614</v>
      </c>
      <c r="D5634" t="str">
        <f>HYPERLINK("http://service.sap.com/sap/support/notes/1684603","1684603")</f>
        <v>1684603</v>
      </c>
      <c r="E5634">
        <v>4</v>
      </c>
      <c r="F5634" t="s">
        <v>7092</v>
      </c>
    </row>
    <row r="5635" spans="1:6" x14ac:dyDescent="0.25">
      <c r="A5635" t="s">
        <v>6077</v>
      </c>
      <c r="B5635" t="s">
        <v>7093</v>
      </c>
      <c r="C5635" t="s">
        <v>3755</v>
      </c>
      <c r="D5635" t="str">
        <f>HYPERLINK("http://service.sap.com/sap/support/notes/1643587","1643587")</f>
        <v>1643587</v>
      </c>
      <c r="E5635">
        <v>2</v>
      </c>
      <c r="F5635" t="s">
        <v>7094</v>
      </c>
    </row>
    <row r="5636" spans="1:6" x14ac:dyDescent="0.25">
      <c r="A5636" t="s">
        <v>6077</v>
      </c>
      <c r="B5636" t="s">
        <v>7095</v>
      </c>
      <c r="C5636" t="s">
        <v>7096</v>
      </c>
      <c r="D5636" t="str">
        <f>HYPERLINK("http://service.sap.com/sap/support/notes/1685827","1685827")</f>
        <v>1685827</v>
      </c>
      <c r="E5636">
        <v>2</v>
      </c>
      <c r="F5636" t="s">
        <v>7097</v>
      </c>
    </row>
    <row r="5637" spans="1:6" x14ac:dyDescent="0.25">
      <c r="A5637" t="s">
        <v>6077</v>
      </c>
      <c r="B5637" t="s">
        <v>7098</v>
      </c>
      <c r="C5637" t="s">
        <v>4048</v>
      </c>
      <c r="D5637" t="str">
        <f>HYPERLINK("http://service.sap.com/sap/support/notes/1679137","1679137")</f>
        <v>1679137</v>
      </c>
      <c r="E5637">
        <v>2</v>
      </c>
      <c r="F5637" t="s">
        <v>7099</v>
      </c>
    </row>
    <row r="5638" spans="1:6" x14ac:dyDescent="0.25">
      <c r="A5638" t="s">
        <v>6077</v>
      </c>
      <c r="B5638" t="s">
        <v>933</v>
      </c>
      <c r="C5638" t="s">
        <v>4260</v>
      </c>
      <c r="D5638" t="str">
        <f>HYPERLINK("http://service.sap.com/sap/support/notes/1672721","1672721")</f>
        <v>1672721</v>
      </c>
      <c r="E5638">
        <v>2</v>
      </c>
      <c r="F5638" t="s">
        <v>7100</v>
      </c>
    </row>
    <row r="5639" spans="1:6" x14ac:dyDescent="0.25">
      <c r="A5639" t="s">
        <v>6077</v>
      </c>
      <c r="B5639" t="s">
        <v>935</v>
      </c>
      <c r="C5639" t="s">
        <v>936</v>
      </c>
      <c r="D5639" t="str">
        <f>HYPERLINK("http://service.sap.com/sap/support/notes/1583797","1583797")</f>
        <v>1583797</v>
      </c>
      <c r="E5639">
        <v>3</v>
      </c>
      <c r="F5639" t="s">
        <v>7101</v>
      </c>
    </row>
    <row r="5640" spans="1:6" x14ac:dyDescent="0.25">
      <c r="A5640" t="s">
        <v>6077</v>
      </c>
      <c r="B5640" t="s">
        <v>935</v>
      </c>
      <c r="C5640" t="s">
        <v>936</v>
      </c>
      <c r="D5640" t="str">
        <f>HYPERLINK("http://service.sap.com/sap/support/notes/1679295","1679295")</f>
        <v>1679295</v>
      </c>
      <c r="E5640">
        <v>1</v>
      </c>
      <c r="F5640" t="s">
        <v>7102</v>
      </c>
    </row>
    <row r="5641" spans="1:6" x14ac:dyDescent="0.25">
      <c r="A5641" t="s">
        <v>6077</v>
      </c>
      <c r="B5641" t="s">
        <v>935</v>
      </c>
      <c r="C5641" t="s">
        <v>936</v>
      </c>
      <c r="D5641" t="str">
        <f>HYPERLINK("http://service.sap.com/sap/support/notes/1680332","1680332")</f>
        <v>1680332</v>
      </c>
      <c r="E5641">
        <v>4</v>
      </c>
      <c r="F5641" t="s">
        <v>7103</v>
      </c>
    </row>
    <row r="5642" spans="1:6" x14ac:dyDescent="0.25">
      <c r="A5642" t="s">
        <v>6077</v>
      </c>
      <c r="B5642" t="s">
        <v>935</v>
      </c>
      <c r="C5642" t="s">
        <v>936</v>
      </c>
      <c r="D5642" t="str">
        <f>HYPERLINK("http://service.sap.com/sap/support/notes/1681463","1681463")</f>
        <v>1681463</v>
      </c>
      <c r="E5642">
        <v>1</v>
      </c>
      <c r="F5642" t="s">
        <v>7104</v>
      </c>
    </row>
    <row r="5643" spans="1:6" x14ac:dyDescent="0.25">
      <c r="A5643" t="s">
        <v>6077</v>
      </c>
      <c r="B5643" t="s">
        <v>935</v>
      </c>
      <c r="C5643" t="s">
        <v>936</v>
      </c>
      <c r="D5643" t="str">
        <f>HYPERLINK("http://service.sap.com/sap/support/notes/1684859","1684859")</f>
        <v>1684859</v>
      </c>
      <c r="E5643">
        <v>3</v>
      </c>
      <c r="F5643" t="s">
        <v>7105</v>
      </c>
    </row>
    <row r="5644" spans="1:6" x14ac:dyDescent="0.25">
      <c r="A5644" t="s">
        <v>6077</v>
      </c>
      <c r="B5644" t="s">
        <v>935</v>
      </c>
      <c r="C5644" t="s">
        <v>936</v>
      </c>
      <c r="D5644" t="str">
        <f>HYPERLINK("http://service.sap.com/sap/support/notes/1694513","1694513")</f>
        <v>1694513</v>
      </c>
      <c r="E5644">
        <v>2</v>
      </c>
      <c r="F5644" t="s">
        <v>7106</v>
      </c>
    </row>
    <row r="5645" spans="1:6" x14ac:dyDescent="0.25">
      <c r="A5645" t="s">
        <v>6077</v>
      </c>
      <c r="B5645" t="s">
        <v>4279</v>
      </c>
      <c r="C5645" t="s">
        <v>4280</v>
      </c>
      <c r="D5645" t="str">
        <f>HYPERLINK("http://service.sap.com/sap/support/notes/1670702","1670702")</f>
        <v>1670702</v>
      </c>
      <c r="E5645">
        <v>5</v>
      </c>
      <c r="F5645" t="s">
        <v>7107</v>
      </c>
    </row>
    <row r="5646" spans="1:6" x14ac:dyDescent="0.25">
      <c r="A5646" t="s">
        <v>6077</v>
      </c>
      <c r="B5646" t="s">
        <v>4279</v>
      </c>
      <c r="C5646" t="s">
        <v>4280</v>
      </c>
      <c r="D5646" t="str">
        <f>HYPERLINK("http://service.sap.com/sap/support/notes/1672519","1672519")</f>
        <v>1672519</v>
      </c>
      <c r="E5646">
        <v>1</v>
      </c>
      <c r="F5646" t="s">
        <v>7108</v>
      </c>
    </row>
    <row r="5647" spans="1:6" x14ac:dyDescent="0.25">
      <c r="A5647" t="s">
        <v>6077</v>
      </c>
      <c r="B5647" t="s">
        <v>4279</v>
      </c>
      <c r="C5647" t="s">
        <v>4280</v>
      </c>
      <c r="D5647" t="str">
        <f>HYPERLINK("http://service.sap.com/sap/support/notes/1677228","1677228")</f>
        <v>1677228</v>
      </c>
      <c r="E5647">
        <v>2</v>
      </c>
      <c r="F5647" t="s">
        <v>7109</v>
      </c>
    </row>
    <row r="5648" spans="1:6" x14ac:dyDescent="0.25">
      <c r="A5648" t="s">
        <v>6077</v>
      </c>
      <c r="B5648" t="s">
        <v>938</v>
      </c>
      <c r="C5648" t="s">
        <v>939</v>
      </c>
      <c r="D5648" t="str">
        <f>HYPERLINK("http://service.sap.com/sap/support/notes/1688301","1688301")</f>
        <v>1688301</v>
      </c>
      <c r="E5648">
        <v>1</v>
      </c>
      <c r="F5648" t="s">
        <v>7110</v>
      </c>
    </row>
    <row r="5649" spans="1:6" x14ac:dyDescent="0.25">
      <c r="A5649" t="s">
        <v>6077</v>
      </c>
      <c r="B5649" t="s">
        <v>942</v>
      </c>
      <c r="C5649" t="s">
        <v>943</v>
      </c>
      <c r="D5649" t="str">
        <f>HYPERLINK("http://service.sap.com/sap/support/notes/1591410","1591410")</f>
        <v>1591410</v>
      </c>
      <c r="E5649">
        <v>9</v>
      </c>
      <c r="F5649" t="s">
        <v>4299</v>
      </c>
    </row>
    <row r="5650" spans="1:6" x14ac:dyDescent="0.25">
      <c r="A5650" t="s">
        <v>6077</v>
      </c>
      <c r="B5650" t="s">
        <v>942</v>
      </c>
      <c r="C5650" t="s">
        <v>943</v>
      </c>
      <c r="D5650" t="str">
        <f>HYPERLINK("http://service.sap.com/sap/support/notes/1680014","1680014")</f>
        <v>1680014</v>
      </c>
      <c r="E5650">
        <v>1</v>
      </c>
      <c r="F5650" t="s">
        <v>7111</v>
      </c>
    </row>
    <row r="5651" spans="1:6" x14ac:dyDescent="0.25">
      <c r="A5651" t="s">
        <v>6077</v>
      </c>
      <c r="B5651" t="s">
        <v>946</v>
      </c>
      <c r="C5651" t="s">
        <v>947</v>
      </c>
      <c r="D5651" t="str">
        <f>HYPERLINK("http://service.sap.com/sap/support/notes/1650363","1650363")</f>
        <v>1650363</v>
      </c>
      <c r="E5651">
        <v>5</v>
      </c>
      <c r="F5651" t="s">
        <v>7112</v>
      </c>
    </row>
    <row r="5652" spans="1:6" x14ac:dyDescent="0.25">
      <c r="A5652" t="s">
        <v>6077</v>
      </c>
      <c r="B5652" t="s">
        <v>946</v>
      </c>
      <c r="C5652" t="s">
        <v>947</v>
      </c>
      <c r="D5652" t="str">
        <f>HYPERLINK("http://service.sap.com/sap/support/notes/1665384","1665384")</f>
        <v>1665384</v>
      </c>
      <c r="E5652">
        <v>4</v>
      </c>
      <c r="F5652" t="s">
        <v>7113</v>
      </c>
    </row>
    <row r="5653" spans="1:6" x14ac:dyDescent="0.25">
      <c r="A5653" t="s">
        <v>6077</v>
      </c>
      <c r="B5653" t="s">
        <v>946</v>
      </c>
      <c r="C5653" t="s">
        <v>947</v>
      </c>
      <c r="D5653" t="str">
        <f>HYPERLINK("http://service.sap.com/sap/support/notes/1678600","1678600")</f>
        <v>1678600</v>
      </c>
      <c r="E5653">
        <v>1</v>
      </c>
      <c r="F5653" t="s">
        <v>7114</v>
      </c>
    </row>
    <row r="5654" spans="1:6" x14ac:dyDescent="0.25">
      <c r="A5654" t="s">
        <v>6077</v>
      </c>
      <c r="B5654" t="s">
        <v>946</v>
      </c>
      <c r="C5654" t="s">
        <v>947</v>
      </c>
      <c r="D5654" t="str">
        <f>HYPERLINK("http://service.sap.com/sap/support/notes/1678681","1678681")</f>
        <v>1678681</v>
      </c>
      <c r="E5654">
        <v>1</v>
      </c>
      <c r="F5654" t="s">
        <v>7115</v>
      </c>
    </row>
    <row r="5655" spans="1:6" x14ac:dyDescent="0.25">
      <c r="A5655" t="s">
        <v>6077</v>
      </c>
      <c r="B5655" t="s">
        <v>946</v>
      </c>
      <c r="C5655" t="s">
        <v>947</v>
      </c>
      <c r="D5655" t="str">
        <f>HYPERLINK("http://service.sap.com/sap/support/notes/1679244","1679244")</f>
        <v>1679244</v>
      </c>
      <c r="E5655">
        <v>2</v>
      </c>
      <c r="F5655" t="s">
        <v>7116</v>
      </c>
    </row>
    <row r="5656" spans="1:6" x14ac:dyDescent="0.25">
      <c r="A5656" t="s">
        <v>6077</v>
      </c>
      <c r="B5656" t="s">
        <v>946</v>
      </c>
      <c r="C5656" t="s">
        <v>947</v>
      </c>
      <c r="D5656" t="str">
        <f>HYPERLINK("http://service.sap.com/sap/support/notes/1680843","1680843")</f>
        <v>1680843</v>
      </c>
      <c r="E5656">
        <v>1</v>
      </c>
      <c r="F5656" t="s">
        <v>7117</v>
      </c>
    </row>
    <row r="5657" spans="1:6" x14ac:dyDescent="0.25">
      <c r="A5657" t="s">
        <v>6077</v>
      </c>
      <c r="B5657" t="s">
        <v>950</v>
      </c>
      <c r="C5657" t="s">
        <v>951</v>
      </c>
      <c r="D5657" t="str">
        <f>HYPERLINK("http://service.sap.com/sap/support/notes/1670900","1670900")</f>
        <v>1670900</v>
      </c>
      <c r="E5657">
        <v>1</v>
      </c>
      <c r="F5657" t="s">
        <v>7118</v>
      </c>
    </row>
    <row r="5658" spans="1:6" x14ac:dyDescent="0.25">
      <c r="A5658" t="s">
        <v>6077</v>
      </c>
      <c r="B5658" t="s">
        <v>950</v>
      </c>
      <c r="C5658" t="s">
        <v>951</v>
      </c>
      <c r="D5658" t="str">
        <f>HYPERLINK("http://service.sap.com/sap/support/notes/1673607","1673607")</f>
        <v>1673607</v>
      </c>
      <c r="E5658">
        <v>6</v>
      </c>
      <c r="F5658" t="s">
        <v>7119</v>
      </c>
    </row>
    <row r="5659" spans="1:6" x14ac:dyDescent="0.25">
      <c r="A5659" t="s">
        <v>6077</v>
      </c>
      <c r="B5659" t="s">
        <v>950</v>
      </c>
      <c r="C5659" t="s">
        <v>951</v>
      </c>
      <c r="D5659" t="str">
        <f>HYPERLINK("http://service.sap.com/sap/support/notes/1675049","1675049")</f>
        <v>1675049</v>
      </c>
      <c r="E5659">
        <v>1</v>
      </c>
      <c r="F5659" t="s">
        <v>7120</v>
      </c>
    </row>
    <row r="5660" spans="1:6" x14ac:dyDescent="0.25">
      <c r="A5660" t="s">
        <v>6077</v>
      </c>
      <c r="B5660" t="s">
        <v>950</v>
      </c>
      <c r="C5660" t="s">
        <v>951</v>
      </c>
      <c r="D5660" t="str">
        <f>HYPERLINK("http://service.sap.com/sap/support/notes/1677919","1677919")</f>
        <v>1677919</v>
      </c>
      <c r="E5660">
        <v>2</v>
      </c>
      <c r="F5660" t="s">
        <v>7121</v>
      </c>
    </row>
    <row r="5661" spans="1:6" x14ac:dyDescent="0.25">
      <c r="A5661" t="s">
        <v>6077</v>
      </c>
      <c r="B5661" t="s">
        <v>950</v>
      </c>
      <c r="C5661" t="s">
        <v>951</v>
      </c>
      <c r="D5661" t="str">
        <f>HYPERLINK("http://service.sap.com/sap/support/notes/1695313","1695313")</f>
        <v>1695313</v>
      </c>
      <c r="E5661">
        <v>2</v>
      </c>
      <c r="F5661" t="s">
        <v>7122</v>
      </c>
    </row>
    <row r="5662" spans="1:6" x14ac:dyDescent="0.25">
      <c r="A5662" t="s">
        <v>6077</v>
      </c>
      <c r="B5662" t="s">
        <v>950</v>
      </c>
      <c r="C5662" t="s">
        <v>951</v>
      </c>
      <c r="D5662" t="str">
        <f>HYPERLINK("http://service.sap.com/sap/support/notes/1695784","1695784")</f>
        <v>1695784</v>
      </c>
      <c r="E5662">
        <v>3</v>
      </c>
      <c r="F5662" t="s">
        <v>7123</v>
      </c>
    </row>
    <row r="5663" spans="1:6" x14ac:dyDescent="0.25">
      <c r="A5663" t="s">
        <v>6077</v>
      </c>
      <c r="B5663" t="s">
        <v>955</v>
      </c>
      <c r="C5663" t="s">
        <v>4331</v>
      </c>
      <c r="D5663" t="str">
        <f>HYPERLINK("http://service.sap.com/sap/support/notes/1660284","1660284")</f>
        <v>1660284</v>
      </c>
      <c r="E5663">
        <v>3</v>
      </c>
      <c r="F5663" t="s">
        <v>7124</v>
      </c>
    </row>
    <row r="5664" spans="1:6" x14ac:dyDescent="0.25">
      <c r="A5664" t="s">
        <v>6077</v>
      </c>
      <c r="B5664" t="s">
        <v>957</v>
      </c>
      <c r="C5664" t="s">
        <v>958</v>
      </c>
      <c r="D5664" t="str">
        <f>HYPERLINK("http://service.sap.com/sap/support/notes/1664329","1664329")</f>
        <v>1664329</v>
      </c>
      <c r="E5664">
        <v>5</v>
      </c>
      <c r="F5664" t="s">
        <v>7125</v>
      </c>
    </row>
    <row r="5665" spans="1:6" x14ac:dyDescent="0.25">
      <c r="A5665" t="s">
        <v>6077</v>
      </c>
      <c r="B5665" t="s">
        <v>957</v>
      </c>
      <c r="C5665" t="s">
        <v>958</v>
      </c>
      <c r="D5665" t="str">
        <f>HYPERLINK("http://service.sap.com/sap/support/notes/1685579","1685579")</f>
        <v>1685579</v>
      </c>
      <c r="E5665">
        <v>1</v>
      </c>
      <c r="F5665" t="s">
        <v>7126</v>
      </c>
    </row>
    <row r="5666" spans="1:6" x14ac:dyDescent="0.25">
      <c r="A5666" t="s">
        <v>6077</v>
      </c>
      <c r="B5666" t="s">
        <v>957</v>
      </c>
      <c r="C5666" t="s">
        <v>958</v>
      </c>
      <c r="D5666" t="str">
        <f>HYPERLINK("http://service.sap.com/sap/support/notes/1688935","1688935")</f>
        <v>1688935</v>
      </c>
      <c r="E5666">
        <v>1</v>
      </c>
      <c r="F5666" t="s">
        <v>7127</v>
      </c>
    </row>
    <row r="5667" spans="1:6" x14ac:dyDescent="0.25">
      <c r="A5667" t="s">
        <v>6077</v>
      </c>
      <c r="B5667" t="s">
        <v>4340</v>
      </c>
      <c r="C5667" t="s">
        <v>4341</v>
      </c>
      <c r="D5667" t="str">
        <f>HYPERLINK("http://service.sap.com/sap/support/notes/1669424","1669424")</f>
        <v>1669424</v>
      </c>
      <c r="E5667">
        <v>3</v>
      </c>
      <c r="F5667" t="s">
        <v>7128</v>
      </c>
    </row>
    <row r="5668" spans="1:6" x14ac:dyDescent="0.25">
      <c r="A5668" t="s">
        <v>6077</v>
      </c>
      <c r="B5668" t="s">
        <v>4340</v>
      </c>
      <c r="C5668" t="s">
        <v>4341</v>
      </c>
      <c r="D5668" t="str">
        <f>HYPERLINK("http://service.sap.com/sap/support/notes/1684295","1684295")</f>
        <v>1684295</v>
      </c>
      <c r="E5668">
        <v>3</v>
      </c>
      <c r="F5668" t="s">
        <v>7129</v>
      </c>
    </row>
    <row r="5669" spans="1:6" x14ac:dyDescent="0.25">
      <c r="A5669" t="s">
        <v>6077</v>
      </c>
      <c r="B5669" t="s">
        <v>4340</v>
      </c>
      <c r="C5669" t="s">
        <v>4341</v>
      </c>
      <c r="D5669" t="str">
        <f>HYPERLINK("http://service.sap.com/sap/support/notes/1691292","1691292")</f>
        <v>1691292</v>
      </c>
      <c r="E5669">
        <v>5</v>
      </c>
      <c r="F5669" t="s">
        <v>7130</v>
      </c>
    </row>
    <row r="5670" spans="1:6" x14ac:dyDescent="0.25">
      <c r="A5670" t="s">
        <v>6077</v>
      </c>
      <c r="B5670" t="s">
        <v>960</v>
      </c>
      <c r="C5670" t="s">
        <v>961</v>
      </c>
      <c r="D5670" t="str">
        <f>HYPERLINK("http://service.sap.com/sap/support/notes/1356710","1356710")</f>
        <v>1356710</v>
      </c>
      <c r="E5670">
        <v>4</v>
      </c>
      <c r="F5670" t="s">
        <v>7131</v>
      </c>
    </row>
    <row r="5671" spans="1:6" x14ac:dyDescent="0.25">
      <c r="A5671" t="s">
        <v>6077</v>
      </c>
      <c r="B5671" t="s">
        <v>960</v>
      </c>
      <c r="C5671" t="s">
        <v>961</v>
      </c>
      <c r="D5671" t="str">
        <f>HYPERLINK("http://service.sap.com/sap/support/notes/1550569","1550569")</f>
        <v>1550569</v>
      </c>
      <c r="E5671">
        <v>4</v>
      </c>
      <c r="F5671" t="s">
        <v>7132</v>
      </c>
    </row>
    <row r="5672" spans="1:6" x14ac:dyDescent="0.25">
      <c r="A5672" t="s">
        <v>6077</v>
      </c>
      <c r="B5672" t="s">
        <v>960</v>
      </c>
      <c r="C5672" t="s">
        <v>961</v>
      </c>
      <c r="D5672" t="str">
        <f>HYPERLINK("http://service.sap.com/sap/support/notes/1584610","1584610")</f>
        <v>1584610</v>
      </c>
      <c r="E5672">
        <v>7</v>
      </c>
      <c r="F5672" t="s">
        <v>7133</v>
      </c>
    </row>
    <row r="5673" spans="1:6" x14ac:dyDescent="0.25">
      <c r="A5673" t="s">
        <v>6077</v>
      </c>
      <c r="B5673" t="s">
        <v>962</v>
      </c>
      <c r="C5673" t="s">
        <v>963</v>
      </c>
      <c r="D5673" t="str">
        <f>HYPERLINK("http://service.sap.com/sap/support/notes/1604882","1604882")</f>
        <v>1604882</v>
      </c>
      <c r="E5673">
        <v>2</v>
      </c>
      <c r="F5673" t="s">
        <v>7134</v>
      </c>
    </row>
    <row r="5674" spans="1:6" x14ac:dyDescent="0.25">
      <c r="A5674" t="s">
        <v>6077</v>
      </c>
      <c r="B5674" t="s">
        <v>962</v>
      </c>
      <c r="C5674" t="s">
        <v>963</v>
      </c>
      <c r="D5674" t="str">
        <f>HYPERLINK("http://service.sap.com/sap/support/notes/1661817","1661817")</f>
        <v>1661817</v>
      </c>
      <c r="E5674">
        <v>1</v>
      </c>
      <c r="F5674" t="s">
        <v>7135</v>
      </c>
    </row>
    <row r="5675" spans="1:6" x14ac:dyDescent="0.25">
      <c r="A5675" t="s">
        <v>6077</v>
      </c>
      <c r="B5675" t="s">
        <v>965</v>
      </c>
      <c r="C5675" t="s">
        <v>966</v>
      </c>
      <c r="D5675" t="str">
        <f>HYPERLINK("http://service.sap.com/sap/support/notes/1672039","1672039")</f>
        <v>1672039</v>
      </c>
      <c r="E5675">
        <v>1</v>
      </c>
      <c r="F5675" t="s">
        <v>7136</v>
      </c>
    </row>
    <row r="5676" spans="1:6" x14ac:dyDescent="0.25">
      <c r="A5676" t="s">
        <v>6077</v>
      </c>
      <c r="B5676" t="s">
        <v>965</v>
      </c>
      <c r="C5676" t="s">
        <v>966</v>
      </c>
      <c r="D5676" t="str">
        <f>HYPERLINK("http://service.sap.com/sap/support/notes/1676222","1676222")</f>
        <v>1676222</v>
      </c>
      <c r="E5676">
        <v>4</v>
      </c>
      <c r="F5676" t="s">
        <v>7137</v>
      </c>
    </row>
    <row r="5677" spans="1:6" x14ac:dyDescent="0.25">
      <c r="A5677" t="s">
        <v>6077</v>
      </c>
      <c r="B5677" t="s">
        <v>965</v>
      </c>
      <c r="C5677" t="s">
        <v>966</v>
      </c>
      <c r="D5677" t="str">
        <f>HYPERLINK("http://service.sap.com/sap/support/notes/1677214","1677214")</f>
        <v>1677214</v>
      </c>
      <c r="E5677">
        <v>1</v>
      </c>
      <c r="F5677" t="s">
        <v>7138</v>
      </c>
    </row>
    <row r="5678" spans="1:6" x14ac:dyDescent="0.25">
      <c r="A5678" t="s">
        <v>6077</v>
      </c>
      <c r="B5678" t="s">
        <v>965</v>
      </c>
      <c r="C5678" t="s">
        <v>966</v>
      </c>
      <c r="D5678" t="str">
        <f>HYPERLINK("http://service.sap.com/sap/support/notes/1680123","1680123")</f>
        <v>1680123</v>
      </c>
      <c r="E5678">
        <v>1</v>
      </c>
      <c r="F5678" t="s">
        <v>7138</v>
      </c>
    </row>
    <row r="5679" spans="1:6" x14ac:dyDescent="0.25">
      <c r="A5679" t="s">
        <v>6077</v>
      </c>
      <c r="B5679" t="s">
        <v>965</v>
      </c>
      <c r="C5679" t="s">
        <v>966</v>
      </c>
      <c r="D5679" t="str">
        <f>HYPERLINK("http://service.sap.com/sap/support/notes/1680840","1680840")</f>
        <v>1680840</v>
      </c>
      <c r="E5679">
        <v>3</v>
      </c>
      <c r="F5679" t="s">
        <v>7139</v>
      </c>
    </row>
    <row r="5680" spans="1:6" x14ac:dyDescent="0.25">
      <c r="A5680" t="s">
        <v>6077</v>
      </c>
      <c r="B5680" t="s">
        <v>965</v>
      </c>
      <c r="C5680" t="s">
        <v>966</v>
      </c>
      <c r="D5680" t="str">
        <f>HYPERLINK("http://service.sap.com/sap/support/notes/1684848","1684848")</f>
        <v>1684848</v>
      </c>
      <c r="E5680">
        <v>1</v>
      </c>
      <c r="F5680" t="s">
        <v>7140</v>
      </c>
    </row>
    <row r="5681" spans="1:6" x14ac:dyDescent="0.25">
      <c r="A5681" t="s">
        <v>6077</v>
      </c>
      <c r="B5681" t="s">
        <v>965</v>
      </c>
      <c r="C5681" t="s">
        <v>966</v>
      </c>
      <c r="D5681" t="str">
        <f>HYPERLINK("http://service.sap.com/sap/support/notes/1687356","1687356")</f>
        <v>1687356</v>
      </c>
      <c r="E5681">
        <v>2</v>
      </c>
      <c r="F5681" t="s">
        <v>7141</v>
      </c>
    </row>
    <row r="5682" spans="1:6" x14ac:dyDescent="0.25">
      <c r="A5682" t="s">
        <v>6077</v>
      </c>
      <c r="B5682" t="s">
        <v>965</v>
      </c>
      <c r="C5682" t="s">
        <v>966</v>
      </c>
      <c r="D5682" t="str">
        <f>HYPERLINK("http://service.sap.com/sap/support/notes/1688854","1688854")</f>
        <v>1688854</v>
      </c>
      <c r="E5682">
        <v>1</v>
      </c>
      <c r="F5682" t="s">
        <v>7142</v>
      </c>
    </row>
    <row r="5683" spans="1:6" x14ac:dyDescent="0.25">
      <c r="A5683" t="s">
        <v>6077</v>
      </c>
      <c r="B5683" t="s">
        <v>965</v>
      </c>
      <c r="C5683" t="s">
        <v>966</v>
      </c>
      <c r="D5683" t="str">
        <f>HYPERLINK("http://service.sap.com/sap/support/notes/1690479","1690479")</f>
        <v>1690479</v>
      </c>
      <c r="E5683">
        <v>1</v>
      </c>
      <c r="F5683" t="s">
        <v>7143</v>
      </c>
    </row>
    <row r="5684" spans="1:6" x14ac:dyDescent="0.25">
      <c r="A5684" t="s">
        <v>6077</v>
      </c>
      <c r="B5684" t="s">
        <v>965</v>
      </c>
      <c r="C5684" t="s">
        <v>966</v>
      </c>
      <c r="D5684" t="str">
        <f>HYPERLINK("http://service.sap.com/sap/support/notes/1691310","1691310")</f>
        <v>1691310</v>
      </c>
      <c r="E5684">
        <v>2</v>
      </c>
      <c r="F5684" t="s">
        <v>7144</v>
      </c>
    </row>
    <row r="5685" spans="1:6" x14ac:dyDescent="0.25">
      <c r="A5685" t="s">
        <v>6077</v>
      </c>
      <c r="B5685" t="s">
        <v>965</v>
      </c>
      <c r="C5685" t="s">
        <v>966</v>
      </c>
      <c r="D5685" t="str">
        <f>HYPERLINK("http://service.sap.com/sap/support/notes/1691371","1691371")</f>
        <v>1691371</v>
      </c>
      <c r="E5685">
        <v>1</v>
      </c>
      <c r="F5685" t="s">
        <v>7145</v>
      </c>
    </row>
    <row r="5686" spans="1:6" x14ac:dyDescent="0.25">
      <c r="A5686" t="s">
        <v>6077</v>
      </c>
      <c r="B5686" t="s">
        <v>965</v>
      </c>
      <c r="C5686" t="s">
        <v>966</v>
      </c>
      <c r="D5686" t="str">
        <f>HYPERLINK("http://service.sap.com/sap/support/notes/1693326","1693326")</f>
        <v>1693326</v>
      </c>
      <c r="E5686">
        <v>1</v>
      </c>
      <c r="F5686" t="s">
        <v>7146</v>
      </c>
    </row>
    <row r="5687" spans="1:6" x14ac:dyDescent="0.25">
      <c r="A5687" t="s">
        <v>6077</v>
      </c>
      <c r="B5687" t="s">
        <v>965</v>
      </c>
      <c r="C5687" t="s">
        <v>966</v>
      </c>
      <c r="D5687" t="str">
        <f>HYPERLINK("http://service.sap.com/sap/support/notes/1693416","1693416")</f>
        <v>1693416</v>
      </c>
      <c r="E5687">
        <v>1</v>
      </c>
      <c r="F5687" t="s">
        <v>7147</v>
      </c>
    </row>
    <row r="5688" spans="1:6" x14ac:dyDescent="0.25">
      <c r="A5688" t="s">
        <v>6077</v>
      </c>
      <c r="B5688" t="s">
        <v>965</v>
      </c>
      <c r="C5688" t="s">
        <v>966</v>
      </c>
      <c r="D5688" t="str">
        <f>HYPERLINK("http://service.sap.com/sap/support/notes/1694133","1694133")</f>
        <v>1694133</v>
      </c>
      <c r="E5688">
        <v>1</v>
      </c>
      <c r="F5688" t="s">
        <v>7148</v>
      </c>
    </row>
    <row r="5689" spans="1:6" x14ac:dyDescent="0.25">
      <c r="A5689" t="s">
        <v>6077</v>
      </c>
      <c r="B5689" t="s">
        <v>965</v>
      </c>
      <c r="C5689" t="s">
        <v>966</v>
      </c>
      <c r="D5689" t="str">
        <f>HYPERLINK("http://service.sap.com/sap/support/notes/1694603","1694603")</f>
        <v>1694603</v>
      </c>
      <c r="E5689">
        <v>2</v>
      </c>
      <c r="F5689" t="s">
        <v>7149</v>
      </c>
    </row>
    <row r="5690" spans="1:6" x14ac:dyDescent="0.25">
      <c r="A5690" t="s">
        <v>6077</v>
      </c>
      <c r="B5690" t="s">
        <v>965</v>
      </c>
      <c r="C5690" t="s">
        <v>966</v>
      </c>
      <c r="D5690" t="str">
        <f>HYPERLINK("http://service.sap.com/sap/support/notes/1694675","1694675")</f>
        <v>1694675</v>
      </c>
      <c r="E5690">
        <v>1</v>
      </c>
      <c r="F5690" t="s">
        <v>7150</v>
      </c>
    </row>
    <row r="5691" spans="1:6" x14ac:dyDescent="0.25">
      <c r="A5691" t="s">
        <v>6077</v>
      </c>
      <c r="B5691" t="s">
        <v>965</v>
      </c>
      <c r="C5691" t="s">
        <v>966</v>
      </c>
      <c r="D5691" t="str">
        <f>HYPERLINK("http://service.sap.com/sap/support/notes/1695760","1695760")</f>
        <v>1695760</v>
      </c>
      <c r="E5691">
        <v>1</v>
      </c>
      <c r="F5691" t="s">
        <v>7151</v>
      </c>
    </row>
    <row r="5692" spans="1:6" x14ac:dyDescent="0.25">
      <c r="A5692" t="s">
        <v>6077</v>
      </c>
      <c r="B5692" t="s">
        <v>4381</v>
      </c>
      <c r="C5692" t="s">
        <v>7152</v>
      </c>
    </row>
    <row r="5693" spans="1:6" x14ac:dyDescent="0.25">
      <c r="A5693" t="s">
        <v>6077</v>
      </c>
      <c r="B5693" t="s">
        <v>4384</v>
      </c>
      <c r="C5693" t="s">
        <v>4385</v>
      </c>
      <c r="D5693" t="str">
        <f>HYPERLINK("http://service.sap.com/sap/support/notes/1540612","1540612")</f>
        <v>1540612</v>
      </c>
      <c r="E5693">
        <v>2</v>
      </c>
      <c r="F5693" t="s">
        <v>7153</v>
      </c>
    </row>
    <row r="5694" spans="1:6" x14ac:dyDescent="0.25">
      <c r="A5694" t="s">
        <v>6077</v>
      </c>
      <c r="B5694" t="s">
        <v>4384</v>
      </c>
      <c r="C5694" t="s">
        <v>4385</v>
      </c>
      <c r="D5694" t="str">
        <f>HYPERLINK("http://service.sap.com/sap/support/notes/1637988","1637988")</f>
        <v>1637988</v>
      </c>
      <c r="E5694">
        <v>1</v>
      </c>
      <c r="F5694" t="s">
        <v>7154</v>
      </c>
    </row>
    <row r="5695" spans="1:6" x14ac:dyDescent="0.25">
      <c r="A5695" t="s">
        <v>6077</v>
      </c>
      <c r="B5695" t="s">
        <v>7155</v>
      </c>
      <c r="C5695" t="s">
        <v>7156</v>
      </c>
      <c r="D5695" t="str">
        <f>HYPERLINK("http://service.sap.com/sap/support/notes/1674307","1674307")</f>
        <v>1674307</v>
      </c>
      <c r="E5695">
        <v>3</v>
      </c>
      <c r="F5695" t="s">
        <v>7157</v>
      </c>
    </row>
    <row r="5696" spans="1:6" x14ac:dyDescent="0.25">
      <c r="A5696" t="s">
        <v>6077</v>
      </c>
      <c r="B5696" t="s">
        <v>7155</v>
      </c>
      <c r="C5696" t="s">
        <v>7156</v>
      </c>
      <c r="D5696" t="str">
        <f>HYPERLINK("http://service.sap.com/sap/support/notes/1691109","1691109")</f>
        <v>1691109</v>
      </c>
      <c r="E5696">
        <v>1</v>
      </c>
      <c r="F5696" t="s">
        <v>7158</v>
      </c>
    </row>
    <row r="5697" spans="1:6" x14ac:dyDescent="0.25">
      <c r="A5697" t="s">
        <v>6077</v>
      </c>
      <c r="B5697" t="s">
        <v>7155</v>
      </c>
      <c r="C5697" t="s">
        <v>7156</v>
      </c>
      <c r="D5697" t="str">
        <f>HYPERLINK("http://service.sap.com/sap/support/notes/1693543","1693543")</f>
        <v>1693543</v>
      </c>
      <c r="E5697">
        <v>2</v>
      </c>
      <c r="F5697" t="s">
        <v>7159</v>
      </c>
    </row>
    <row r="5698" spans="1:6" x14ac:dyDescent="0.25">
      <c r="A5698" t="s">
        <v>6077</v>
      </c>
      <c r="B5698" t="s">
        <v>968</v>
      </c>
      <c r="C5698" t="s">
        <v>969</v>
      </c>
      <c r="D5698" t="str">
        <f>HYPERLINK("http://service.sap.com/sap/support/notes/1302610","1302610")</f>
        <v>1302610</v>
      </c>
      <c r="E5698">
        <v>3</v>
      </c>
      <c r="F5698" t="s">
        <v>7160</v>
      </c>
    </row>
    <row r="5699" spans="1:6" x14ac:dyDescent="0.25">
      <c r="A5699" t="s">
        <v>6077</v>
      </c>
      <c r="B5699" t="s">
        <v>968</v>
      </c>
      <c r="C5699" t="s">
        <v>969</v>
      </c>
      <c r="D5699" t="str">
        <f>HYPERLINK("http://service.sap.com/sap/support/notes/1642527","1642527")</f>
        <v>1642527</v>
      </c>
      <c r="E5699">
        <v>1</v>
      </c>
      <c r="F5699" t="s">
        <v>7161</v>
      </c>
    </row>
    <row r="5700" spans="1:6" x14ac:dyDescent="0.25">
      <c r="A5700" t="s">
        <v>6077</v>
      </c>
      <c r="B5700" t="s">
        <v>968</v>
      </c>
      <c r="C5700" t="s">
        <v>969</v>
      </c>
      <c r="D5700" t="str">
        <f>HYPERLINK("http://service.sap.com/sap/support/notes/1657649","1657649")</f>
        <v>1657649</v>
      </c>
      <c r="E5700">
        <v>4</v>
      </c>
      <c r="F5700" t="s">
        <v>7162</v>
      </c>
    </row>
    <row r="5701" spans="1:6" x14ac:dyDescent="0.25">
      <c r="A5701" t="s">
        <v>6077</v>
      </c>
      <c r="B5701" t="s">
        <v>968</v>
      </c>
      <c r="C5701" t="s">
        <v>969</v>
      </c>
      <c r="D5701" t="str">
        <f>HYPERLINK("http://service.sap.com/sap/support/notes/1658177","1658177")</f>
        <v>1658177</v>
      </c>
      <c r="E5701">
        <v>2</v>
      </c>
      <c r="F5701" t="s">
        <v>7163</v>
      </c>
    </row>
    <row r="5702" spans="1:6" x14ac:dyDescent="0.25">
      <c r="A5702" t="s">
        <v>6077</v>
      </c>
      <c r="B5702" t="s">
        <v>968</v>
      </c>
      <c r="C5702" t="s">
        <v>969</v>
      </c>
      <c r="D5702" t="str">
        <f>HYPERLINK("http://service.sap.com/sap/support/notes/1668140","1668140")</f>
        <v>1668140</v>
      </c>
      <c r="E5702">
        <v>1</v>
      </c>
      <c r="F5702" t="s">
        <v>7164</v>
      </c>
    </row>
    <row r="5703" spans="1:6" x14ac:dyDescent="0.25">
      <c r="A5703" t="s">
        <v>6077</v>
      </c>
      <c r="B5703" t="s">
        <v>968</v>
      </c>
      <c r="C5703" t="s">
        <v>969</v>
      </c>
      <c r="D5703" t="str">
        <f>HYPERLINK("http://service.sap.com/sap/support/notes/1680658","1680658")</f>
        <v>1680658</v>
      </c>
      <c r="E5703">
        <v>1</v>
      </c>
      <c r="F5703" t="s">
        <v>7165</v>
      </c>
    </row>
    <row r="5704" spans="1:6" x14ac:dyDescent="0.25">
      <c r="A5704" t="s">
        <v>6077</v>
      </c>
      <c r="B5704" t="s">
        <v>968</v>
      </c>
      <c r="C5704" t="s">
        <v>969</v>
      </c>
      <c r="D5704" t="str">
        <f>HYPERLINK("http://service.sap.com/sap/support/notes/1681129","1681129")</f>
        <v>1681129</v>
      </c>
      <c r="E5704">
        <v>3</v>
      </c>
      <c r="F5704" t="s">
        <v>7166</v>
      </c>
    </row>
    <row r="5705" spans="1:6" x14ac:dyDescent="0.25">
      <c r="A5705" t="s">
        <v>6077</v>
      </c>
      <c r="B5705" t="s">
        <v>968</v>
      </c>
      <c r="C5705" t="s">
        <v>969</v>
      </c>
      <c r="D5705" t="str">
        <f>HYPERLINK("http://service.sap.com/sap/support/notes/1690396","1690396")</f>
        <v>1690396</v>
      </c>
      <c r="E5705">
        <v>1</v>
      </c>
      <c r="F5705" t="s">
        <v>7167</v>
      </c>
    </row>
    <row r="5706" spans="1:6" x14ac:dyDescent="0.25">
      <c r="A5706" t="s">
        <v>6077</v>
      </c>
      <c r="B5706" t="s">
        <v>4400</v>
      </c>
      <c r="C5706" t="s">
        <v>4401</v>
      </c>
      <c r="D5706" t="str">
        <f>HYPERLINK("http://service.sap.com/sap/support/notes/1635650","1635650")</f>
        <v>1635650</v>
      </c>
      <c r="E5706">
        <v>2</v>
      </c>
      <c r="F5706" t="s">
        <v>7168</v>
      </c>
    </row>
    <row r="5707" spans="1:6" x14ac:dyDescent="0.25">
      <c r="A5707" t="s">
        <v>6077</v>
      </c>
      <c r="B5707" t="s">
        <v>4403</v>
      </c>
      <c r="C5707" t="s">
        <v>4404</v>
      </c>
      <c r="D5707" t="str">
        <f>HYPERLINK("http://service.sap.com/sap/support/notes/1476577","1476577")</f>
        <v>1476577</v>
      </c>
      <c r="E5707">
        <v>5</v>
      </c>
      <c r="F5707" t="s">
        <v>7169</v>
      </c>
    </row>
    <row r="5708" spans="1:6" x14ac:dyDescent="0.25">
      <c r="A5708" t="s">
        <v>6077</v>
      </c>
      <c r="B5708" t="s">
        <v>4403</v>
      </c>
      <c r="C5708" t="s">
        <v>4404</v>
      </c>
      <c r="D5708" t="str">
        <f>HYPERLINK("http://service.sap.com/sap/support/notes/1496801","1496801")</f>
        <v>1496801</v>
      </c>
      <c r="E5708">
        <v>2</v>
      </c>
      <c r="F5708" t="s">
        <v>7170</v>
      </c>
    </row>
    <row r="5709" spans="1:6" x14ac:dyDescent="0.25">
      <c r="A5709" t="s">
        <v>6077</v>
      </c>
      <c r="B5709" t="s">
        <v>4403</v>
      </c>
      <c r="C5709" t="s">
        <v>4404</v>
      </c>
      <c r="D5709" t="str">
        <f>HYPERLINK("http://service.sap.com/sap/support/notes/1497158","1497158")</f>
        <v>1497158</v>
      </c>
      <c r="E5709">
        <v>11</v>
      </c>
      <c r="F5709" t="s">
        <v>7171</v>
      </c>
    </row>
    <row r="5710" spans="1:6" x14ac:dyDescent="0.25">
      <c r="A5710" t="s">
        <v>6077</v>
      </c>
      <c r="B5710" t="s">
        <v>4403</v>
      </c>
      <c r="C5710" t="s">
        <v>4404</v>
      </c>
      <c r="D5710" t="str">
        <f>HYPERLINK("http://service.sap.com/sap/support/notes/1562989","1562989")</f>
        <v>1562989</v>
      </c>
      <c r="E5710">
        <v>2</v>
      </c>
      <c r="F5710" t="s">
        <v>7172</v>
      </c>
    </row>
    <row r="5711" spans="1:6" x14ac:dyDescent="0.25">
      <c r="A5711" t="s">
        <v>6077</v>
      </c>
      <c r="B5711" t="s">
        <v>4403</v>
      </c>
      <c r="C5711" t="s">
        <v>4404</v>
      </c>
      <c r="D5711" t="str">
        <f>HYPERLINK("http://service.sap.com/sap/support/notes/1587269","1587269")</f>
        <v>1587269</v>
      </c>
      <c r="E5711">
        <v>2</v>
      </c>
      <c r="F5711" t="s">
        <v>7173</v>
      </c>
    </row>
    <row r="5712" spans="1:6" x14ac:dyDescent="0.25">
      <c r="A5712" t="s">
        <v>6077</v>
      </c>
      <c r="B5712" t="s">
        <v>4403</v>
      </c>
      <c r="C5712" t="s">
        <v>4404</v>
      </c>
      <c r="D5712" t="str">
        <f>HYPERLINK("http://service.sap.com/sap/support/notes/1587539","1587539")</f>
        <v>1587539</v>
      </c>
      <c r="E5712">
        <v>1</v>
      </c>
      <c r="F5712" t="s">
        <v>7174</v>
      </c>
    </row>
    <row r="5713" spans="1:6" x14ac:dyDescent="0.25">
      <c r="A5713" t="s">
        <v>6077</v>
      </c>
      <c r="B5713" t="s">
        <v>4403</v>
      </c>
      <c r="C5713" t="s">
        <v>4404</v>
      </c>
      <c r="D5713" t="str">
        <f>HYPERLINK("http://service.sap.com/sap/support/notes/1603905","1603905")</f>
        <v>1603905</v>
      </c>
      <c r="E5713">
        <v>3</v>
      </c>
      <c r="F5713" t="s">
        <v>7175</v>
      </c>
    </row>
    <row r="5714" spans="1:6" x14ac:dyDescent="0.25">
      <c r="A5714" t="s">
        <v>6077</v>
      </c>
      <c r="B5714" t="s">
        <v>972</v>
      </c>
      <c r="C5714" t="s">
        <v>869</v>
      </c>
      <c r="D5714" t="str">
        <f>HYPERLINK("http://service.sap.com/sap/support/notes/1596664","1596664")</f>
        <v>1596664</v>
      </c>
      <c r="E5714">
        <v>3</v>
      </c>
      <c r="F5714" t="s">
        <v>7176</v>
      </c>
    </row>
    <row r="5715" spans="1:6" x14ac:dyDescent="0.25">
      <c r="A5715" t="s">
        <v>6077</v>
      </c>
      <c r="B5715" t="s">
        <v>972</v>
      </c>
      <c r="C5715" t="s">
        <v>869</v>
      </c>
      <c r="D5715" t="str">
        <f>HYPERLINK("http://service.sap.com/sap/support/notes/1655051","1655051")</f>
        <v>1655051</v>
      </c>
      <c r="E5715">
        <v>2</v>
      </c>
      <c r="F5715" t="s">
        <v>7177</v>
      </c>
    </row>
    <row r="5716" spans="1:6" x14ac:dyDescent="0.25">
      <c r="A5716" t="s">
        <v>6077</v>
      </c>
      <c r="B5716" t="s">
        <v>972</v>
      </c>
      <c r="C5716" t="s">
        <v>869</v>
      </c>
      <c r="D5716" t="str">
        <f>HYPERLINK("http://service.sap.com/sap/support/notes/1669223","1669223")</f>
        <v>1669223</v>
      </c>
      <c r="E5716">
        <v>2</v>
      </c>
      <c r="F5716" t="s">
        <v>4415</v>
      </c>
    </row>
    <row r="5717" spans="1:6" x14ac:dyDescent="0.25">
      <c r="A5717" t="s">
        <v>6077</v>
      </c>
      <c r="B5717" t="s">
        <v>972</v>
      </c>
      <c r="C5717" t="s">
        <v>869</v>
      </c>
      <c r="D5717" t="str">
        <f>HYPERLINK("http://service.sap.com/sap/support/notes/1682789","1682789")</f>
        <v>1682789</v>
      </c>
      <c r="E5717">
        <v>3</v>
      </c>
      <c r="F5717" t="s">
        <v>7178</v>
      </c>
    </row>
    <row r="5718" spans="1:6" x14ac:dyDescent="0.25">
      <c r="A5718" t="s">
        <v>6077</v>
      </c>
      <c r="B5718" t="s">
        <v>976</v>
      </c>
      <c r="C5718" t="s">
        <v>337</v>
      </c>
      <c r="D5718" t="str">
        <f>HYPERLINK("http://service.sap.com/sap/support/notes/1396847","1396847")</f>
        <v>1396847</v>
      </c>
      <c r="E5718">
        <v>2</v>
      </c>
      <c r="F5718" t="s">
        <v>7179</v>
      </c>
    </row>
    <row r="5719" spans="1:6" x14ac:dyDescent="0.25">
      <c r="A5719" t="s">
        <v>6077</v>
      </c>
      <c r="B5719" t="s">
        <v>7180</v>
      </c>
      <c r="C5719" t="s">
        <v>3340</v>
      </c>
      <c r="D5719" t="str">
        <f>HYPERLINK("http://service.sap.com/sap/support/notes/1432583","1432583")</f>
        <v>1432583</v>
      </c>
      <c r="E5719">
        <v>2</v>
      </c>
      <c r="F5719" t="s">
        <v>7181</v>
      </c>
    </row>
    <row r="5720" spans="1:6" x14ac:dyDescent="0.25">
      <c r="A5720" t="s">
        <v>6077</v>
      </c>
      <c r="B5720" t="s">
        <v>7182</v>
      </c>
      <c r="C5720" t="s">
        <v>7183</v>
      </c>
      <c r="D5720" t="str">
        <f>HYPERLINK("http://service.sap.com/sap/support/notes/818062","818062")</f>
        <v>818062</v>
      </c>
      <c r="E5720">
        <v>6</v>
      </c>
      <c r="F5720" t="s">
        <v>7184</v>
      </c>
    </row>
    <row r="5721" spans="1:6" x14ac:dyDescent="0.25">
      <c r="A5721" t="s">
        <v>6077</v>
      </c>
      <c r="B5721" t="s">
        <v>4426</v>
      </c>
      <c r="C5721" t="s">
        <v>4427</v>
      </c>
      <c r="D5721" t="str">
        <f>HYPERLINK("http://service.sap.com/sap/support/notes/751818","751818")</f>
        <v>751818</v>
      </c>
      <c r="E5721">
        <v>4</v>
      </c>
      <c r="F5721" t="s">
        <v>7185</v>
      </c>
    </row>
    <row r="5722" spans="1:6" x14ac:dyDescent="0.25">
      <c r="A5722" t="s">
        <v>6077</v>
      </c>
      <c r="B5722" t="s">
        <v>989</v>
      </c>
      <c r="C5722" t="s">
        <v>990</v>
      </c>
      <c r="D5722" t="str">
        <f>HYPERLINK("http://service.sap.com/sap/support/notes/1673926","1673926")</f>
        <v>1673926</v>
      </c>
      <c r="E5722">
        <v>1</v>
      </c>
      <c r="F5722" t="s">
        <v>7186</v>
      </c>
    </row>
    <row r="5723" spans="1:6" x14ac:dyDescent="0.25">
      <c r="A5723" t="s">
        <v>6077</v>
      </c>
      <c r="B5723" t="s">
        <v>989</v>
      </c>
      <c r="C5723" t="s">
        <v>990</v>
      </c>
      <c r="D5723" t="str">
        <f>HYPERLINK("http://service.sap.com/sap/support/notes/1675926","1675926")</f>
        <v>1675926</v>
      </c>
      <c r="E5723">
        <v>1</v>
      </c>
      <c r="F5723" t="s">
        <v>7187</v>
      </c>
    </row>
    <row r="5724" spans="1:6" x14ac:dyDescent="0.25">
      <c r="A5724" t="s">
        <v>6077</v>
      </c>
      <c r="B5724" t="s">
        <v>989</v>
      </c>
      <c r="C5724" t="s">
        <v>990</v>
      </c>
      <c r="D5724" t="str">
        <f>HYPERLINK("http://service.sap.com/sap/support/notes/1694070","1694070")</f>
        <v>1694070</v>
      </c>
      <c r="E5724">
        <v>2</v>
      </c>
      <c r="F5724" t="s">
        <v>7188</v>
      </c>
    </row>
    <row r="5725" spans="1:6" x14ac:dyDescent="0.25">
      <c r="A5725" t="s">
        <v>6077</v>
      </c>
      <c r="B5725" t="s">
        <v>992</v>
      </c>
      <c r="C5725" t="s">
        <v>993</v>
      </c>
      <c r="D5725" t="str">
        <f>HYPERLINK("http://service.sap.com/sap/support/notes/1656798","1656798")</f>
        <v>1656798</v>
      </c>
      <c r="E5725">
        <v>1</v>
      </c>
      <c r="F5725" t="s">
        <v>7189</v>
      </c>
    </row>
    <row r="5726" spans="1:6" x14ac:dyDescent="0.25">
      <c r="A5726" t="s">
        <v>6077</v>
      </c>
      <c r="B5726" t="s">
        <v>992</v>
      </c>
      <c r="C5726" t="s">
        <v>993</v>
      </c>
      <c r="D5726" t="str">
        <f>HYPERLINK("http://service.sap.com/sap/support/notes/1660849","1660849")</f>
        <v>1660849</v>
      </c>
      <c r="E5726">
        <v>1</v>
      </c>
      <c r="F5726" t="s">
        <v>7189</v>
      </c>
    </row>
    <row r="5727" spans="1:6" x14ac:dyDescent="0.25">
      <c r="A5727" t="s">
        <v>6077</v>
      </c>
      <c r="B5727" t="s">
        <v>992</v>
      </c>
      <c r="C5727" t="s">
        <v>993</v>
      </c>
      <c r="D5727" t="str">
        <f>HYPERLINK("http://service.sap.com/sap/support/notes/1678614","1678614")</f>
        <v>1678614</v>
      </c>
      <c r="E5727">
        <v>1</v>
      </c>
      <c r="F5727" t="s">
        <v>7190</v>
      </c>
    </row>
    <row r="5728" spans="1:6" x14ac:dyDescent="0.25">
      <c r="A5728" t="s">
        <v>6077</v>
      </c>
      <c r="B5728" t="s">
        <v>992</v>
      </c>
      <c r="C5728" t="s">
        <v>993</v>
      </c>
      <c r="D5728" t="str">
        <f>HYPERLINK("http://service.sap.com/sap/support/notes/1685172","1685172")</f>
        <v>1685172</v>
      </c>
      <c r="E5728">
        <v>1</v>
      </c>
      <c r="F5728" t="s">
        <v>7191</v>
      </c>
    </row>
    <row r="5729" spans="1:6" x14ac:dyDescent="0.25">
      <c r="A5729" t="s">
        <v>6077</v>
      </c>
      <c r="B5729" t="s">
        <v>4451</v>
      </c>
      <c r="C5729" t="s">
        <v>4452</v>
      </c>
      <c r="D5729" t="str">
        <f>HYPERLINK("http://service.sap.com/sap/support/notes/1677463","1677463")</f>
        <v>1677463</v>
      </c>
      <c r="E5729">
        <v>1</v>
      </c>
      <c r="F5729" t="s">
        <v>7192</v>
      </c>
    </row>
    <row r="5730" spans="1:6" x14ac:dyDescent="0.25">
      <c r="A5730" t="s">
        <v>6077</v>
      </c>
      <c r="B5730" t="s">
        <v>4451</v>
      </c>
      <c r="C5730" t="s">
        <v>4452</v>
      </c>
      <c r="D5730" t="str">
        <f>HYPERLINK("http://service.sap.com/sap/support/notes/1678364","1678364")</f>
        <v>1678364</v>
      </c>
      <c r="E5730">
        <v>1</v>
      </c>
      <c r="F5730" t="s">
        <v>7193</v>
      </c>
    </row>
    <row r="5731" spans="1:6" x14ac:dyDescent="0.25">
      <c r="A5731" t="s">
        <v>6077</v>
      </c>
      <c r="B5731" t="s">
        <v>4451</v>
      </c>
      <c r="C5731" t="s">
        <v>4452</v>
      </c>
      <c r="D5731" t="str">
        <f>HYPERLINK("http://service.sap.com/sap/support/notes/1679631","1679631")</f>
        <v>1679631</v>
      </c>
      <c r="E5731">
        <v>2</v>
      </c>
      <c r="F5731" t="s">
        <v>7194</v>
      </c>
    </row>
    <row r="5732" spans="1:6" x14ac:dyDescent="0.25">
      <c r="A5732" t="s">
        <v>6077</v>
      </c>
      <c r="B5732" t="s">
        <v>4451</v>
      </c>
      <c r="C5732" t="s">
        <v>4452</v>
      </c>
      <c r="D5732" t="str">
        <f>HYPERLINK("http://service.sap.com/sap/support/notes/1695663","1695663")</f>
        <v>1695663</v>
      </c>
      <c r="E5732">
        <v>1</v>
      </c>
      <c r="F5732" t="s">
        <v>7195</v>
      </c>
    </row>
    <row r="5733" spans="1:6" x14ac:dyDescent="0.25">
      <c r="A5733" t="s">
        <v>6077</v>
      </c>
      <c r="B5733" t="s">
        <v>997</v>
      </c>
      <c r="C5733" t="s">
        <v>998</v>
      </c>
      <c r="D5733" t="str">
        <f>HYPERLINK("http://service.sap.com/sap/support/notes/1661935","1661935")</f>
        <v>1661935</v>
      </c>
      <c r="E5733">
        <v>2</v>
      </c>
      <c r="F5733" t="s">
        <v>7196</v>
      </c>
    </row>
    <row r="5734" spans="1:6" x14ac:dyDescent="0.25">
      <c r="A5734" t="s">
        <v>6077</v>
      </c>
      <c r="B5734" t="s">
        <v>997</v>
      </c>
      <c r="C5734" t="s">
        <v>998</v>
      </c>
      <c r="D5734" t="str">
        <f>HYPERLINK("http://service.sap.com/sap/support/notes/1675015","1675015")</f>
        <v>1675015</v>
      </c>
      <c r="E5734">
        <v>3</v>
      </c>
      <c r="F5734" t="s">
        <v>7197</v>
      </c>
    </row>
    <row r="5735" spans="1:6" x14ac:dyDescent="0.25">
      <c r="A5735" t="s">
        <v>6077</v>
      </c>
      <c r="B5735" t="s">
        <v>4461</v>
      </c>
      <c r="C5735" t="s">
        <v>1004</v>
      </c>
      <c r="D5735" t="str">
        <f>HYPERLINK("http://service.sap.com/sap/support/notes/1678267","1678267")</f>
        <v>1678267</v>
      </c>
      <c r="E5735">
        <v>1</v>
      </c>
      <c r="F5735" t="s">
        <v>7198</v>
      </c>
    </row>
    <row r="5736" spans="1:6" x14ac:dyDescent="0.25">
      <c r="A5736" t="s">
        <v>6077</v>
      </c>
      <c r="B5736" t="s">
        <v>4475</v>
      </c>
      <c r="C5736" t="s">
        <v>4476</v>
      </c>
      <c r="D5736" t="str">
        <f>HYPERLINK("http://service.sap.com/sap/support/notes/1686776","1686776")</f>
        <v>1686776</v>
      </c>
      <c r="E5736">
        <v>2</v>
      </c>
      <c r="F5736" t="s">
        <v>7199</v>
      </c>
    </row>
    <row r="5737" spans="1:6" x14ac:dyDescent="0.25">
      <c r="A5737" t="s">
        <v>6077</v>
      </c>
      <c r="B5737" t="s">
        <v>4479</v>
      </c>
      <c r="C5737" t="s">
        <v>3146</v>
      </c>
    </row>
    <row r="5738" spans="1:6" x14ac:dyDescent="0.25">
      <c r="A5738" t="s">
        <v>6077</v>
      </c>
      <c r="B5738" t="s">
        <v>4480</v>
      </c>
      <c r="C5738" t="s">
        <v>4481</v>
      </c>
      <c r="D5738" t="str">
        <f>HYPERLINK("http://service.sap.com/sap/support/notes/1681010","1681010")</f>
        <v>1681010</v>
      </c>
      <c r="E5738">
        <v>1</v>
      </c>
      <c r="F5738" t="s">
        <v>7200</v>
      </c>
    </row>
    <row r="5739" spans="1:6" x14ac:dyDescent="0.25">
      <c r="A5739" t="s">
        <v>6077</v>
      </c>
      <c r="B5739" t="s">
        <v>4484</v>
      </c>
      <c r="C5739" t="s">
        <v>4485</v>
      </c>
      <c r="D5739" t="str">
        <f>HYPERLINK("http://service.sap.com/sap/support/notes/1665112","1665112")</f>
        <v>1665112</v>
      </c>
      <c r="E5739">
        <v>1</v>
      </c>
      <c r="F5739" t="s">
        <v>7201</v>
      </c>
    </row>
    <row r="5740" spans="1:6" x14ac:dyDescent="0.25">
      <c r="A5740" t="s">
        <v>6077</v>
      </c>
      <c r="B5740" t="s">
        <v>4484</v>
      </c>
      <c r="C5740" t="s">
        <v>4485</v>
      </c>
      <c r="D5740" t="str">
        <f>HYPERLINK("http://service.sap.com/sap/support/notes/1675417","1675417")</f>
        <v>1675417</v>
      </c>
      <c r="E5740">
        <v>1</v>
      </c>
      <c r="F5740" t="s">
        <v>7202</v>
      </c>
    </row>
    <row r="5741" spans="1:6" x14ac:dyDescent="0.25">
      <c r="A5741" t="s">
        <v>6077</v>
      </c>
      <c r="B5741" t="s">
        <v>1000</v>
      </c>
      <c r="C5741" t="s">
        <v>1001</v>
      </c>
      <c r="D5741" t="str">
        <f>HYPERLINK("http://service.sap.com/sap/support/notes/1671333","1671333")</f>
        <v>1671333</v>
      </c>
      <c r="E5741">
        <v>2</v>
      </c>
      <c r="F5741" t="s">
        <v>7203</v>
      </c>
    </row>
    <row r="5742" spans="1:6" x14ac:dyDescent="0.25">
      <c r="A5742" t="s">
        <v>6077</v>
      </c>
      <c r="B5742" t="s">
        <v>1000</v>
      </c>
      <c r="C5742" t="s">
        <v>1001</v>
      </c>
      <c r="D5742" t="str">
        <f>HYPERLINK("http://service.sap.com/sap/support/notes/1671394","1671394")</f>
        <v>1671394</v>
      </c>
      <c r="E5742">
        <v>2</v>
      </c>
      <c r="F5742" t="s">
        <v>7204</v>
      </c>
    </row>
    <row r="5743" spans="1:6" x14ac:dyDescent="0.25">
      <c r="A5743" t="s">
        <v>6077</v>
      </c>
      <c r="B5743" t="s">
        <v>4504</v>
      </c>
      <c r="C5743" t="s">
        <v>4505</v>
      </c>
    </row>
    <row r="5744" spans="1:6" x14ac:dyDescent="0.25">
      <c r="A5744" t="s">
        <v>6077</v>
      </c>
      <c r="B5744" t="s">
        <v>4509</v>
      </c>
      <c r="C5744" t="s">
        <v>4510</v>
      </c>
      <c r="D5744" t="str">
        <f>HYPERLINK("http://service.sap.com/sap/support/notes/1652773","1652773")</f>
        <v>1652773</v>
      </c>
      <c r="E5744">
        <v>7</v>
      </c>
      <c r="F5744" t="s">
        <v>7205</v>
      </c>
    </row>
    <row r="5745" spans="1:6" x14ac:dyDescent="0.25">
      <c r="A5745" t="s">
        <v>6077</v>
      </c>
      <c r="B5745" t="s">
        <v>1003</v>
      </c>
      <c r="C5745" t="s">
        <v>1004</v>
      </c>
      <c r="D5745" t="str">
        <f>HYPERLINK("http://service.sap.com/sap/support/notes/1656818","1656818")</f>
        <v>1656818</v>
      </c>
      <c r="E5745">
        <v>3</v>
      </c>
      <c r="F5745" t="s">
        <v>7206</v>
      </c>
    </row>
    <row r="5746" spans="1:6" x14ac:dyDescent="0.25">
      <c r="A5746" t="s">
        <v>6077</v>
      </c>
      <c r="B5746" t="s">
        <v>1003</v>
      </c>
      <c r="C5746" t="s">
        <v>1004</v>
      </c>
      <c r="D5746" t="str">
        <f>HYPERLINK("http://service.sap.com/sap/support/notes/1664071","1664071")</f>
        <v>1664071</v>
      </c>
      <c r="E5746">
        <v>2</v>
      </c>
      <c r="F5746" t="s">
        <v>7207</v>
      </c>
    </row>
    <row r="5747" spans="1:6" x14ac:dyDescent="0.25">
      <c r="A5747" t="s">
        <v>6077</v>
      </c>
      <c r="B5747" t="s">
        <v>1006</v>
      </c>
      <c r="C5747" t="s">
        <v>1007</v>
      </c>
      <c r="D5747" t="str">
        <f>HYPERLINK("http://service.sap.com/sap/support/notes/1661324","1661324")</f>
        <v>1661324</v>
      </c>
      <c r="E5747">
        <v>3</v>
      </c>
      <c r="F5747" t="s">
        <v>7208</v>
      </c>
    </row>
    <row r="5748" spans="1:6" x14ac:dyDescent="0.25">
      <c r="A5748" t="s">
        <v>6077</v>
      </c>
      <c r="B5748" t="s">
        <v>1006</v>
      </c>
      <c r="C5748" t="s">
        <v>1007</v>
      </c>
      <c r="D5748" t="str">
        <f>HYPERLINK("http://service.sap.com/sap/support/notes/1684197","1684197")</f>
        <v>1684197</v>
      </c>
      <c r="E5748">
        <v>3</v>
      </c>
      <c r="F5748" t="s">
        <v>7209</v>
      </c>
    </row>
    <row r="5749" spans="1:6" x14ac:dyDescent="0.25">
      <c r="A5749" t="s">
        <v>6077</v>
      </c>
      <c r="B5749" t="s">
        <v>1006</v>
      </c>
      <c r="C5749" t="s">
        <v>1007</v>
      </c>
      <c r="D5749" t="str">
        <f>HYPERLINK("http://service.sap.com/sap/support/notes/1689282","1689282")</f>
        <v>1689282</v>
      </c>
      <c r="E5749">
        <v>3</v>
      </c>
      <c r="F5749" t="s">
        <v>7210</v>
      </c>
    </row>
    <row r="5750" spans="1:6" x14ac:dyDescent="0.25">
      <c r="A5750" t="s">
        <v>6077</v>
      </c>
      <c r="B5750" t="s">
        <v>1010</v>
      </c>
      <c r="C5750" t="s">
        <v>1011</v>
      </c>
      <c r="D5750" t="str">
        <f>HYPERLINK("http://service.sap.com/sap/support/notes/1657139","1657139")</f>
        <v>1657139</v>
      </c>
      <c r="E5750">
        <v>1</v>
      </c>
      <c r="F5750" t="s">
        <v>7211</v>
      </c>
    </row>
    <row r="5751" spans="1:6" x14ac:dyDescent="0.25">
      <c r="A5751" t="s">
        <v>6077</v>
      </c>
      <c r="B5751" t="s">
        <v>1010</v>
      </c>
      <c r="C5751" t="s">
        <v>1011</v>
      </c>
      <c r="D5751" t="str">
        <f>HYPERLINK("http://service.sap.com/sap/support/notes/1668285","1668285")</f>
        <v>1668285</v>
      </c>
      <c r="E5751">
        <v>2</v>
      </c>
      <c r="F5751" t="s">
        <v>7212</v>
      </c>
    </row>
    <row r="5752" spans="1:6" x14ac:dyDescent="0.25">
      <c r="A5752" t="s">
        <v>6077</v>
      </c>
      <c r="B5752" t="s">
        <v>1010</v>
      </c>
      <c r="C5752" t="s">
        <v>1011</v>
      </c>
      <c r="D5752" t="str">
        <f>HYPERLINK("http://service.sap.com/sap/support/notes/1688454","1688454")</f>
        <v>1688454</v>
      </c>
      <c r="E5752">
        <v>2</v>
      </c>
      <c r="F5752" t="s">
        <v>7213</v>
      </c>
    </row>
    <row r="5753" spans="1:6" x14ac:dyDescent="0.25">
      <c r="A5753" t="s">
        <v>6077</v>
      </c>
      <c r="B5753" t="s">
        <v>1010</v>
      </c>
      <c r="C5753" t="s">
        <v>1011</v>
      </c>
      <c r="D5753" t="str">
        <f>HYPERLINK("http://service.sap.com/sap/support/notes/1691047","1691047")</f>
        <v>1691047</v>
      </c>
      <c r="E5753">
        <v>1</v>
      </c>
      <c r="F5753" t="s">
        <v>7214</v>
      </c>
    </row>
    <row r="5754" spans="1:6" x14ac:dyDescent="0.25">
      <c r="A5754" t="s">
        <v>6077</v>
      </c>
      <c r="B5754" t="s">
        <v>1010</v>
      </c>
      <c r="C5754" t="s">
        <v>1011</v>
      </c>
      <c r="D5754" t="str">
        <f>HYPERLINK("http://service.sap.com/sap/support/notes/1695866","1695866")</f>
        <v>1695866</v>
      </c>
      <c r="E5754">
        <v>1</v>
      </c>
      <c r="F5754" t="s">
        <v>7215</v>
      </c>
    </row>
    <row r="5755" spans="1:6" x14ac:dyDescent="0.25">
      <c r="A5755" t="s">
        <v>6077</v>
      </c>
      <c r="B5755" t="s">
        <v>1014</v>
      </c>
      <c r="C5755" t="s">
        <v>1015</v>
      </c>
      <c r="D5755" t="str">
        <f>HYPERLINK("http://service.sap.com/sap/support/notes/1518775","1518775")</f>
        <v>1518775</v>
      </c>
      <c r="E5755">
        <v>12</v>
      </c>
      <c r="F5755" t="s">
        <v>7216</v>
      </c>
    </row>
    <row r="5756" spans="1:6" x14ac:dyDescent="0.25">
      <c r="A5756" t="s">
        <v>6077</v>
      </c>
      <c r="B5756" t="s">
        <v>1014</v>
      </c>
      <c r="C5756" t="s">
        <v>1015</v>
      </c>
      <c r="D5756" t="str">
        <f>HYPERLINK("http://service.sap.com/sap/support/notes/1573117","1573117")</f>
        <v>1573117</v>
      </c>
      <c r="E5756">
        <v>1</v>
      </c>
      <c r="F5756" t="s">
        <v>7217</v>
      </c>
    </row>
    <row r="5757" spans="1:6" x14ac:dyDescent="0.25">
      <c r="A5757" t="s">
        <v>6077</v>
      </c>
      <c r="B5757" t="s">
        <v>1014</v>
      </c>
      <c r="C5757" t="s">
        <v>1015</v>
      </c>
      <c r="D5757" t="str">
        <f>HYPERLINK("http://service.sap.com/sap/support/notes/1649279","1649279")</f>
        <v>1649279</v>
      </c>
      <c r="E5757">
        <v>2</v>
      </c>
      <c r="F5757" t="s">
        <v>7218</v>
      </c>
    </row>
    <row r="5758" spans="1:6" x14ac:dyDescent="0.25">
      <c r="A5758" t="s">
        <v>6077</v>
      </c>
      <c r="B5758" t="s">
        <v>1014</v>
      </c>
      <c r="C5758" t="s">
        <v>1015</v>
      </c>
      <c r="D5758" t="str">
        <f>HYPERLINK("http://service.sap.com/sap/support/notes/1653090","1653090")</f>
        <v>1653090</v>
      </c>
      <c r="E5758">
        <v>2</v>
      </c>
      <c r="F5758" t="s">
        <v>7219</v>
      </c>
    </row>
    <row r="5759" spans="1:6" x14ac:dyDescent="0.25">
      <c r="A5759" t="s">
        <v>6077</v>
      </c>
      <c r="B5759" t="s">
        <v>1014</v>
      </c>
      <c r="C5759" t="s">
        <v>1015</v>
      </c>
      <c r="D5759" t="str">
        <f>HYPERLINK("http://service.sap.com/sap/support/notes/1670090","1670090")</f>
        <v>1670090</v>
      </c>
      <c r="E5759">
        <v>1</v>
      </c>
      <c r="F5759" t="s">
        <v>7220</v>
      </c>
    </row>
    <row r="5760" spans="1:6" x14ac:dyDescent="0.25">
      <c r="A5760" t="s">
        <v>6077</v>
      </c>
      <c r="B5760" t="s">
        <v>1014</v>
      </c>
      <c r="C5760" t="s">
        <v>1015</v>
      </c>
      <c r="D5760" t="str">
        <f>HYPERLINK("http://service.sap.com/sap/support/notes/1672158","1672158")</f>
        <v>1672158</v>
      </c>
      <c r="E5760">
        <v>3</v>
      </c>
      <c r="F5760" t="s">
        <v>7221</v>
      </c>
    </row>
    <row r="5761" spans="1:6" x14ac:dyDescent="0.25">
      <c r="A5761" t="s">
        <v>6077</v>
      </c>
      <c r="B5761" t="s">
        <v>1014</v>
      </c>
      <c r="C5761" t="s">
        <v>1015</v>
      </c>
      <c r="D5761" t="str">
        <f>HYPERLINK("http://service.sap.com/sap/support/notes/1673036","1673036")</f>
        <v>1673036</v>
      </c>
      <c r="E5761">
        <v>1</v>
      </c>
      <c r="F5761" t="s">
        <v>7222</v>
      </c>
    </row>
    <row r="5762" spans="1:6" x14ac:dyDescent="0.25">
      <c r="A5762" t="s">
        <v>6077</v>
      </c>
      <c r="B5762" t="s">
        <v>1014</v>
      </c>
      <c r="C5762" t="s">
        <v>1015</v>
      </c>
      <c r="D5762" t="str">
        <f>HYPERLINK("http://service.sap.com/sap/support/notes/1673930","1673930")</f>
        <v>1673930</v>
      </c>
      <c r="E5762">
        <v>1</v>
      </c>
      <c r="F5762" t="s">
        <v>7223</v>
      </c>
    </row>
    <row r="5763" spans="1:6" x14ac:dyDescent="0.25">
      <c r="A5763" t="s">
        <v>6077</v>
      </c>
      <c r="B5763" t="s">
        <v>1014</v>
      </c>
      <c r="C5763" t="s">
        <v>1015</v>
      </c>
      <c r="D5763" t="str">
        <f>HYPERLINK("http://service.sap.com/sap/support/notes/1673998","1673998")</f>
        <v>1673998</v>
      </c>
      <c r="E5763">
        <v>1</v>
      </c>
      <c r="F5763" t="s">
        <v>7224</v>
      </c>
    </row>
    <row r="5764" spans="1:6" x14ac:dyDescent="0.25">
      <c r="A5764" t="s">
        <v>6077</v>
      </c>
      <c r="B5764" t="s">
        <v>1014</v>
      </c>
      <c r="C5764" t="s">
        <v>1015</v>
      </c>
      <c r="D5764" t="str">
        <f>HYPERLINK("http://service.sap.com/sap/support/notes/1674769","1674769")</f>
        <v>1674769</v>
      </c>
      <c r="E5764">
        <v>2</v>
      </c>
      <c r="F5764" t="s">
        <v>7225</v>
      </c>
    </row>
    <row r="5765" spans="1:6" x14ac:dyDescent="0.25">
      <c r="A5765" t="s">
        <v>6077</v>
      </c>
      <c r="B5765" t="s">
        <v>1014</v>
      </c>
      <c r="C5765" t="s">
        <v>1015</v>
      </c>
      <c r="D5765" t="str">
        <f>HYPERLINK("http://service.sap.com/sap/support/notes/1675915","1675915")</f>
        <v>1675915</v>
      </c>
      <c r="E5765">
        <v>2</v>
      </c>
      <c r="F5765" t="s">
        <v>7226</v>
      </c>
    </row>
    <row r="5766" spans="1:6" x14ac:dyDescent="0.25">
      <c r="A5766" t="s">
        <v>6077</v>
      </c>
      <c r="B5766" t="s">
        <v>1014</v>
      </c>
      <c r="C5766" t="s">
        <v>1015</v>
      </c>
      <c r="D5766" t="str">
        <f>HYPERLINK("http://service.sap.com/sap/support/notes/1682553","1682553")</f>
        <v>1682553</v>
      </c>
      <c r="E5766">
        <v>1</v>
      </c>
      <c r="F5766" t="s">
        <v>7227</v>
      </c>
    </row>
    <row r="5767" spans="1:6" x14ac:dyDescent="0.25">
      <c r="A5767" t="s">
        <v>6077</v>
      </c>
      <c r="B5767" t="s">
        <v>1014</v>
      </c>
      <c r="C5767" t="s">
        <v>1015</v>
      </c>
      <c r="D5767" t="str">
        <f>HYPERLINK("http://service.sap.com/sap/support/notes/1683737","1683737")</f>
        <v>1683737</v>
      </c>
      <c r="E5767">
        <v>5</v>
      </c>
      <c r="F5767" t="s">
        <v>7228</v>
      </c>
    </row>
    <row r="5768" spans="1:6" x14ac:dyDescent="0.25">
      <c r="A5768" t="s">
        <v>6077</v>
      </c>
      <c r="B5768" t="s">
        <v>1014</v>
      </c>
      <c r="C5768" t="s">
        <v>1015</v>
      </c>
      <c r="D5768" t="str">
        <f>HYPERLINK("http://service.sap.com/sap/support/notes/1688368","1688368")</f>
        <v>1688368</v>
      </c>
      <c r="E5768">
        <v>1</v>
      </c>
      <c r="F5768" t="s">
        <v>7229</v>
      </c>
    </row>
    <row r="5769" spans="1:6" x14ac:dyDescent="0.25">
      <c r="A5769" t="s">
        <v>6077</v>
      </c>
      <c r="B5769" t="s">
        <v>1014</v>
      </c>
      <c r="C5769" t="s">
        <v>1015</v>
      </c>
      <c r="D5769" t="str">
        <f>HYPERLINK("http://service.sap.com/sap/support/notes/1688717","1688717")</f>
        <v>1688717</v>
      </c>
      <c r="E5769">
        <v>2</v>
      </c>
      <c r="F5769" t="s">
        <v>7230</v>
      </c>
    </row>
    <row r="5770" spans="1:6" x14ac:dyDescent="0.25">
      <c r="A5770" t="s">
        <v>6077</v>
      </c>
      <c r="B5770" t="s">
        <v>1014</v>
      </c>
      <c r="C5770" t="s">
        <v>1015</v>
      </c>
      <c r="D5770" t="str">
        <f>HYPERLINK("http://service.sap.com/sap/support/notes/1690171","1690171")</f>
        <v>1690171</v>
      </c>
      <c r="E5770">
        <v>1</v>
      </c>
      <c r="F5770" t="s">
        <v>7231</v>
      </c>
    </row>
    <row r="5771" spans="1:6" x14ac:dyDescent="0.25">
      <c r="A5771" t="s">
        <v>6077</v>
      </c>
      <c r="B5771" t="s">
        <v>1014</v>
      </c>
      <c r="C5771" t="s">
        <v>1015</v>
      </c>
      <c r="D5771" t="str">
        <f>HYPERLINK("http://service.sap.com/sap/support/notes/1691077","1691077")</f>
        <v>1691077</v>
      </c>
      <c r="E5771">
        <v>1</v>
      </c>
      <c r="F5771" t="s">
        <v>7232</v>
      </c>
    </row>
    <row r="5772" spans="1:6" x14ac:dyDescent="0.25">
      <c r="A5772" t="s">
        <v>6077</v>
      </c>
      <c r="B5772" t="s">
        <v>1014</v>
      </c>
      <c r="C5772" t="s">
        <v>1015</v>
      </c>
      <c r="D5772" t="str">
        <f>HYPERLINK("http://service.sap.com/sap/support/notes/1692480","1692480")</f>
        <v>1692480</v>
      </c>
      <c r="E5772">
        <v>2</v>
      </c>
      <c r="F5772" t="s">
        <v>7233</v>
      </c>
    </row>
    <row r="5773" spans="1:6" x14ac:dyDescent="0.25">
      <c r="A5773" t="s">
        <v>6077</v>
      </c>
      <c r="B5773" t="s">
        <v>1014</v>
      </c>
      <c r="C5773" t="s">
        <v>1015</v>
      </c>
      <c r="D5773" t="str">
        <f>HYPERLINK("http://service.sap.com/sap/support/notes/1695763","1695763")</f>
        <v>1695763</v>
      </c>
      <c r="E5773">
        <v>1</v>
      </c>
      <c r="F5773" t="s">
        <v>7234</v>
      </c>
    </row>
    <row r="5774" spans="1:6" x14ac:dyDescent="0.25">
      <c r="A5774" t="s">
        <v>6077</v>
      </c>
      <c r="B5774" t="s">
        <v>1022</v>
      </c>
      <c r="C5774" t="s">
        <v>126</v>
      </c>
      <c r="D5774" t="str">
        <f>HYPERLINK("http://service.sap.com/sap/support/notes/1672924","1672924")</f>
        <v>1672924</v>
      </c>
      <c r="E5774">
        <v>1</v>
      </c>
      <c r="F5774" t="s">
        <v>7235</v>
      </c>
    </row>
    <row r="5775" spans="1:6" x14ac:dyDescent="0.25">
      <c r="A5775" t="s">
        <v>6077</v>
      </c>
      <c r="B5775" t="s">
        <v>4609</v>
      </c>
      <c r="C5775" t="s">
        <v>4610</v>
      </c>
      <c r="D5775" t="str">
        <f>HYPERLINK("http://service.sap.com/sap/support/notes/1692397","1692397")</f>
        <v>1692397</v>
      </c>
      <c r="E5775">
        <v>1</v>
      </c>
      <c r="F5775" t="s">
        <v>7236</v>
      </c>
    </row>
    <row r="5776" spans="1:6" x14ac:dyDescent="0.25">
      <c r="A5776" t="s">
        <v>6077</v>
      </c>
      <c r="B5776" t="s">
        <v>4620</v>
      </c>
      <c r="C5776" t="s">
        <v>4621</v>
      </c>
      <c r="D5776" t="str">
        <f>HYPERLINK("http://service.sap.com/sap/support/notes/1680534","1680534")</f>
        <v>1680534</v>
      </c>
      <c r="E5776">
        <v>3</v>
      </c>
      <c r="F5776" t="s">
        <v>7237</v>
      </c>
    </row>
    <row r="5777" spans="1:6" x14ac:dyDescent="0.25">
      <c r="A5777" t="s">
        <v>6077</v>
      </c>
      <c r="B5777" t="s">
        <v>4620</v>
      </c>
      <c r="C5777" t="s">
        <v>4621</v>
      </c>
      <c r="D5777" t="str">
        <f>HYPERLINK("http://service.sap.com/sap/support/notes/1681102","1681102")</f>
        <v>1681102</v>
      </c>
      <c r="E5777">
        <v>3</v>
      </c>
      <c r="F5777" t="s">
        <v>7237</v>
      </c>
    </row>
    <row r="5778" spans="1:6" x14ac:dyDescent="0.25">
      <c r="A5778" t="s">
        <v>6077</v>
      </c>
      <c r="B5778" t="s">
        <v>4623</v>
      </c>
      <c r="C5778" t="s">
        <v>4624</v>
      </c>
      <c r="D5778" t="str">
        <f>HYPERLINK("http://service.sap.com/sap/support/notes/1678100","1678100")</f>
        <v>1678100</v>
      </c>
      <c r="E5778">
        <v>2</v>
      </c>
      <c r="F5778" t="s">
        <v>7238</v>
      </c>
    </row>
    <row r="5779" spans="1:6" x14ac:dyDescent="0.25">
      <c r="A5779" t="s">
        <v>6077</v>
      </c>
      <c r="B5779" t="s">
        <v>1030</v>
      </c>
      <c r="C5779" t="s">
        <v>163</v>
      </c>
    </row>
    <row r="5780" spans="1:6" x14ac:dyDescent="0.25">
      <c r="A5780" t="s">
        <v>6077</v>
      </c>
      <c r="B5780" t="s">
        <v>4627</v>
      </c>
      <c r="C5780" t="s">
        <v>4628</v>
      </c>
      <c r="D5780" t="str">
        <f>HYPERLINK("http://service.sap.com/sap/support/notes/1673952","1673952")</f>
        <v>1673952</v>
      </c>
      <c r="E5780">
        <v>1</v>
      </c>
      <c r="F5780" t="s">
        <v>7239</v>
      </c>
    </row>
    <row r="5781" spans="1:6" x14ac:dyDescent="0.25">
      <c r="A5781" t="s">
        <v>6077</v>
      </c>
      <c r="B5781" t="s">
        <v>4630</v>
      </c>
      <c r="C5781" t="s">
        <v>632</v>
      </c>
    </row>
    <row r="5782" spans="1:6" x14ac:dyDescent="0.25">
      <c r="A5782" t="s">
        <v>6077</v>
      </c>
      <c r="B5782" t="s">
        <v>4634</v>
      </c>
      <c r="C5782" t="s">
        <v>4635</v>
      </c>
      <c r="D5782" t="str">
        <f>HYPERLINK("http://service.sap.com/sap/support/notes/1675696","1675696")</f>
        <v>1675696</v>
      </c>
      <c r="E5782">
        <v>1</v>
      </c>
      <c r="F5782" t="s">
        <v>7240</v>
      </c>
    </row>
    <row r="5783" spans="1:6" x14ac:dyDescent="0.25">
      <c r="A5783" t="s">
        <v>6077</v>
      </c>
      <c r="B5783" t="s">
        <v>4634</v>
      </c>
      <c r="C5783" t="s">
        <v>4635</v>
      </c>
      <c r="D5783" t="str">
        <f>HYPERLINK("http://service.sap.com/sap/support/notes/1676371","1676371")</f>
        <v>1676371</v>
      </c>
      <c r="E5783">
        <v>1</v>
      </c>
      <c r="F5783" t="s">
        <v>7241</v>
      </c>
    </row>
    <row r="5784" spans="1:6" x14ac:dyDescent="0.25">
      <c r="A5784" t="s">
        <v>6077</v>
      </c>
      <c r="B5784" t="s">
        <v>4634</v>
      </c>
      <c r="C5784" t="s">
        <v>4635</v>
      </c>
      <c r="D5784" t="str">
        <f>HYPERLINK("http://service.sap.com/sap/support/notes/1696237","1696237")</f>
        <v>1696237</v>
      </c>
      <c r="E5784">
        <v>1</v>
      </c>
      <c r="F5784" t="s">
        <v>7242</v>
      </c>
    </row>
    <row r="5785" spans="1:6" x14ac:dyDescent="0.25">
      <c r="A5785" t="s">
        <v>6077</v>
      </c>
      <c r="B5785" t="s">
        <v>4644</v>
      </c>
      <c r="C5785" t="s">
        <v>4645</v>
      </c>
      <c r="D5785" t="str">
        <f>HYPERLINK("http://service.sap.com/sap/support/notes/1651742","1651742")</f>
        <v>1651742</v>
      </c>
      <c r="E5785">
        <v>5</v>
      </c>
      <c r="F5785" t="s">
        <v>4647</v>
      </c>
    </row>
    <row r="5786" spans="1:6" x14ac:dyDescent="0.25">
      <c r="A5786" t="s">
        <v>6077</v>
      </c>
      <c r="B5786" t="s">
        <v>4644</v>
      </c>
      <c r="C5786" t="s">
        <v>4645</v>
      </c>
      <c r="D5786" t="str">
        <f>HYPERLINK("http://service.sap.com/sap/support/notes/1680134","1680134")</f>
        <v>1680134</v>
      </c>
      <c r="E5786">
        <v>1</v>
      </c>
      <c r="F5786" t="s">
        <v>7243</v>
      </c>
    </row>
    <row r="5787" spans="1:6" x14ac:dyDescent="0.25">
      <c r="A5787" t="s">
        <v>6077</v>
      </c>
      <c r="B5787" t="s">
        <v>4644</v>
      </c>
      <c r="C5787" t="s">
        <v>4645</v>
      </c>
      <c r="D5787" t="str">
        <f>HYPERLINK("http://service.sap.com/sap/support/notes/1681763","1681763")</f>
        <v>1681763</v>
      </c>
      <c r="E5787">
        <v>1</v>
      </c>
      <c r="F5787" t="s">
        <v>7244</v>
      </c>
    </row>
    <row r="5788" spans="1:6" x14ac:dyDescent="0.25">
      <c r="A5788" t="s">
        <v>6077</v>
      </c>
      <c r="B5788" t="s">
        <v>4644</v>
      </c>
      <c r="C5788" t="s">
        <v>4645</v>
      </c>
      <c r="D5788" t="str">
        <f>HYPERLINK("http://service.sap.com/sap/support/notes/1683046","1683046")</f>
        <v>1683046</v>
      </c>
      <c r="E5788">
        <v>3</v>
      </c>
      <c r="F5788" t="s">
        <v>7245</v>
      </c>
    </row>
    <row r="5789" spans="1:6" x14ac:dyDescent="0.25">
      <c r="A5789" t="s">
        <v>6077</v>
      </c>
      <c r="B5789" t="s">
        <v>4650</v>
      </c>
      <c r="C5789" t="s">
        <v>4651</v>
      </c>
    </row>
    <row r="5790" spans="1:6" x14ac:dyDescent="0.25">
      <c r="A5790" t="s">
        <v>6077</v>
      </c>
      <c r="B5790" t="s">
        <v>4655</v>
      </c>
      <c r="C5790" t="s">
        <v>4656</v>
      </c>
      <c r="D5790" t="str">
        <f>HYPERLINK("http://service.sap.com/sap/support/notes/1683995","1683995")</f>
        <v>1683995</v>
      </c>
      <c r="E5790">
        <v>2</v>
      </c>
      <c r="F5790" t="s">
        <v>7246</v>
      </c>
    </row>
    <row r="5791" spans="1:6" x14ac:dyDescent="0.25">
      <c r="A5791" t="s">
        <v>6077</v>
      </c>
      <c r="B5791" t="s">
        <v>4658</v>
      </c>
      <c r="C5791" t="s">
        <v>4659</v>
      </c>
      <c r="D5791" t="str">
        <f>HYPERLINK("http://service.sap.com/sap/support/notes/1646698","1646698")</f>
        <v>1646698</v>
      </c>
      <c r="E5791">
        <v>2</v>
      </c>
      <c r="F5791" t="s">
        <v>7247</v>
      </c>
    </row>
    <row r="5792" spans="1:6" x14ac:dyDescent="0.25">
      <c r="A5792" t="s">
        <v>6077</v>
      </c>
      <c r="B5792" t="s">
        <v>4666</v>
      </c>
      <c r="C5792" t="s">
        <v>4667</v>
      </c>
      <c r="D5792" t="str">
        <f>HYPERLINK("http://service.sap.com/sap/support/notes/1677766","1677766")</f>
        <v>1677766</v>
      </c>
      <c r="E5792">
        <v>1</v>
      </c>
      <c r="F5792" t="s">
        <v>7248</v>
      </c>
    </row>
    <row r="5793" spans="1:6" x14ac:dyDescent="0.25">
      <c r="A5793" t="s">
        <v>6077</v>
      </c>
      <c r="B5793" t="s">
        <v>4669</v>
      </c>
      <c r="C5793" t="s">
        <v>4670</v>
      </c>
      <c r="D5793" t="str">
        <f>HYPERLINK("http://service.sap.com/sap/support/notes/1660230","1660230")</f>
        <v>1660230</v>
      </c>
      <c r="E5793">
        <v>1</v>
      </c>
      <c r="F5793" t="s">
        <v>7249</v>
      </c>
    </row>
    <row r="5794" spans="1:6" x14ac:dyDescent="0.25">
      <c r="A5794" t="s">
        <v>6077</v>
      </c>
      <c r="B5794" t="s">
        <v>4675</v>
      </c>
      <c r="C5794" t="s">
        <v>4676</v>
      </c>
      <c r="D5794" t="str">
        <f>HYPERLINK("http://service.sap.com/sap/support/notes/1689423","1689423")</f>
        <v>1689423</v>
      </c>
      <c r="E5794">
        <v>1</v>
      </c>
      <c r="F5794" t="s">
        <v>7250</v>
      </c>
    </row>
    <row r="5795" spans="1:6" x14ac:dyDescent="0.25">
      <c r="A5795" t="s">
        <v>6077</v>
      </c>
      <c r="B5795" t="s">
        <v>1040</v>
      </c>
      <c r="C5795" t="s">
        <v>1041</v>
      </c>
      <c r="D5795" t="str">
        <f>HYPERLINK("http://service.sap.com/sap/support/notes/1675784","1675784")</f>
        <v>1675784</v>
      </c>
      <c r="E5795">
        <v>1</v>
      </c>
      <c r="F5795" t="s">
        <v>7251</v>
      </c>
    </row>
    <row r="5796" spans="1:6" x14ac:dyDescent="0.25">
      <c r="A5796" t="s">
        <v>6077</v>
      </c>
      <c r="B5796" t="s">
        <v>1040</v>
      </c>
      <c r="C5796" t="s">
        <v>1041</v>
      </c>
      <c r="D5796" t="str">
        <f>HYPERLINK("http://service.sap.com/sap/support/notes/1683913","1683913")</f>
        <v>1683913</v>
      </c>
      <c r="E5796">
        <v>5</v>
      </c>
      <c r="F5796" t="s">
        <v>7252</v>
      </c>
    </row>
    <row r="5797" spans="1:6" x14ac:dyDescent="0.25">
      <c r="A5797" t="s">
        <v>6077</v>
      </c>
      <c r="B5797" t="s">
        <v>1043</v>
      </c>
      <c r="C5797" t="s">
        <v>1044</v>
      </c>
    </row>
    <row r="5798" spans="1:6" x14ac:dyDescent="0.25">
      <c r="A5798" t="s">
        <v>6077</v>
      </c>
      <c r="B5798" t="s">
        <v>1045</v>
      </c>
      <c r="C5798" t="s">
        <v>1046</v>
      </c>
      <c r="D5798" t="str">
        <f>HYPERLINK("http://service.sap.com/sap/support/notes/1680550","1680550")</f>
        <v>1680550</v>
      </c>
      <c r="E5798">
        <v>2</v>
      </c>
      <c r="F5798" t="s">
        <v>7253</v>
      </c>
    </row>
    <row r="5799" spans="1:6" x14ac:dyDescent="0.25">
      <c r="A5799" t="s">
        <v>6077</v>
      </c>
      <c r="B5799" t="s">
        <v>1048</v>
      </c>
      <c r="C5799" t="s">
        <v>4683</v>
      </c>
      <c r="D5799" t="str">
        <f>HYPERLINK("http://service.sap.com/sap/support/notes/1683763","1683763")</f>
        <v>1683763</v>
      </c>
      <c r="E5799">
        <v>1</v>
      </c>
      <c r="F5799" t="s">
        <v>7254</v>
      </c>
    </row>
    <row r="5800" spans="1:6" x14ac:dyDescent="0.25">
      <c r="A5800" t="s">
        <v>6077</v>
      </c>
      <c r="B5800" t="s">
        <v>1050</v>
      </c>
      <c r="C5800" t="s">
        <v>1051</v>
      </c>
      <c r="D5800" t="str">
        <f>HYPERLINK("http://service.sap.com/sap/support/notes/1106858","1106858")</f>
        <v>1106858</v>
      </c>
      <c r="E5800">
        <v>3</v>
      </c>
      <c r="F5800" t="s">
        <v>7255</v>
      </c>
    </row>
    <row r="5801" spans="1:6" x14ac:dyDescent="0.25">
      <c r="A5801" t="s">
        <v>6077</v>
      </c>
      <c r="B5801" t="s">
        <v>1050</v>
      </c>
      <c r="C5801" t="s">
        <v>1051</v>
      </c>
      <c r="D5801" t="str">
        <f>HYPERLINK("http://service.sap.com/sap/support/notes/1669209","1669209")</f>
        <v>1669209</v>
      </c>
      <c r="E5801">
        <v>2</v>
      </c>
      <c r="F5801" t="s">
        <v>7256</v>
      </c>
    </row>
    <row r="5802" spans="1:6" x14ac:dyDescent="0.25">
      <c r="A5802" t="s">
        <v>6077</v>
      </c>
      <c r="B5802" t="s">
        <v>4695</v>
      </c>
      <c r="C5802" t="s">
        <v>4696</v>
      </c>
      <c r="D5802" t="str">
        <f>HYPERLINK("http://service.sap.com/sap/support/notes/1534948","1534948")</f>
        <v>1534948</v>
      </c>
      <c r="E5802">
        <v>2</v>
      </c>
      <c r="F5802" t="s">
        <v>7257</v>
      </c>
    </row>
    <row r="5803" spans="1:6" x14ac:dyDescent="0.25">
      <c r="A5803" t="s">
        <v>6077</v>
      </c>
      <c r="B5803" t="s">
        <v>4695</v>
      </c>
      <c r="C5803" t="s">
        <v>4696</v>
      </c>
      <c r="D5803" t="str">
        <f>HYPERLINK("http://service.sap.com/sap/support/notes/1672690","1672690")</f>
        <v>1672690</v>
      </c>
      <c r="E5803">
        <v>1</v>
      </c>
      <c r="F5803" t="s">
        <v>7258</v>
      </c>
    </row>
    <row r="5804" spans="1:6" x14ac:dyDescent="0.25">
      <c r="A5804" t="s">
        <v>6077</v>
      </c>
      <c r="B5804" t="s">
        <v>1057</v>
      </c>
      <c r="C5804" t="s">
        <v>1058</v>
      </c>
    </row>
    <row r="5805" spans="1:6" x14ac:dyDescent="0.25">
      <c r="A5805" t="s">
        <v>6077</v>
      </c>
      <c r="B5805" t="s">
        <v>1059</v>
      </c>
      <c r="C5805" t="s">
        <v>632</v>
      </c>
    </row>
    <row r="5806" spans="1:6" x14ac:dyDescent="0.25">
      <c r="A5806" t="s">
        <v>6077</v>
      </c>
      <c r="B5806" t="s">
        <v>1060</v>
      </c>
      <c r="C5806" t="s">
        <v>1061</v>
      </c>
      <c r="D5806" t="str">
        <f>HYPERLINK("http://service.sap.com/sap/support/notes/1682240","1682240")</f>
        <v>1682240</v>
      </c>
      <c r="E5806">
        <v>1</v>
      </c>
      <c r="F5806" t="s">
        <v>7259</v>
      </c>
    </row>
    <row r="5807" spans="1:6" x14ac:dyDescent="0.25">
      <c r="A5807" t="s">
        <v>6077</v>
      </c>
      <c r="B5807" t="s">
        <v>1060</v>
      </c>
      <c r="C5807" t="s">
        <v>1061</v>
      </c>
      <c r="D5807" t="str">
        <f>HYPERLINK("http://service.sap.com/sap/support/notes/1686088","1686088")</f>
        <v>1686088</v>
      </c>
      <c r="E5807">
        <v>4</v>
      </c>
      <c r="F5807" t="s">
        <v>7260</v>
      </c>
    </row>
    <row r="5808" spans="1:6" x14ac:dyDescent="0.25">
      <c r="A5808" t="s">
        <v>6077</v>
      </c>
      <c r="B5808" t="s">
        <v>1074</v>
      </c>
      <c r="C5808" t="s">
        <v>1075</v>
      </c>
      <c r="D5808" t="str">
        <f>HYPERLINK("http://service.sap.com/sap/support/notes/1694521","1694521")</f>
        <v>1694521</v>
      </c>
      <c r="E5808">
        <v>1</v>
      </c>
      <c r="F5808" t="s">
        <v>7261</v>
      </c>
    </row>
    <row r="5809" spans="1:6" x14ac:dyDescent="0.25">
      <c r="A5809" t="s">
        <v>6077</v>
      </c>
      <c r="B5809" t="s">
        <v>4725</v>
      </c>
      <c r="C5809" t="s">
        <v>4726</v>
      </c>
      <c r="D5809" t="str">
        <f>HYPERLINK("http://service.sap.com/sap/support/notes/1671129","1671129")</f>
        <v>1671129</v>
      </c>
      <c r="E5809">
        <v>1</v>
      </c>
      <c r="F5809" t="s">
        <v>4735</v>
      </c>
    </row>
    <row r="5810" spans="1:6" x14ac:dyDescent="0.25">
      <c r="A5810" t="s">
        <v>6077</v>
      </c>
      <c r="B5810" t="s">
        <v>4725</v>
      </c>
      <c r="C5810" t="s">
        <v>4726</v>
      </c>
      <c r="D5810" t="str">
        <f>HYPERLINK("http://service.sap.com/sap/support/notes/1677494","1677494")</f>
        <v>1677494</v>
      </c>
      <c r="E5810">
        <v>1</v>
      </c>
      <c r="F5810" t="s">
        <v>7262</v>
      </c>
    </row>
    <row r="5811" spans="1:6" x14ac:dyDescent="0.25">
      <c r="A5811" t="s">
        <v>6077</v>
      </c>
      <c r="B5811" t="s">
        <v>4725</v>
      </c>
      <c r="C5811" t="s">
        <v>4726</v>
      </c>
      <c r="D5811" t="str">
        <f>HYPERLINK("http://service.sap.com/sap/support/notes/1680085","1680085")</f>
        <v>1680085</v>
      </c>
      <c r="E5811">
        <v>1</v>
      </c>
      <c r="F5811" t="s">
        <v>7263</v>
      </c>
    </row>
    <row r="5812" spans="1:6" x14ac:dyDescent="0.25">
      <c r="A5812" t="s">
        <v>6077</v>
      </c>
      <c r="B5812" t="s">
        <v>4725</v>
      </c>
      <c r="C5812" t="s">
        <v>4726</v>
      </c>
      <c r="D5812" t="str">
        <f>HYPERLINK("http://service.sap.com/sap/support/notes/1680091","1680091")</f>
        <v>1680091</v>
      </c>
      <c r="E5812">
        <v>1</v>
      </c>
      <c r="F5812" t="s">
        <v>7264</v>
      </c>
    </row>
    <row r="5813" spans="1:6" x14ac:dyDescent="0.25">
      <c r="A5813" t="s">
        <v>6077</v>
      </c>
      <c r="B5813" t="s">
        <v>4725</v>
      </c>
      <c r="C5813" t="s">
        <v>4726</v>
      </c>
      <c r="D5813" t="str">
        <f>HYPERLINK("http://service.sap.com/sap/support/notes/1682224","1682224")</f>
        <v>1682224</v>
      </c>
      <c r="E5813">
        <v>2</v>
      </c>
      <c r="F5813" t="s">
        <v>7265</v>
      </c>
    </row>
    <row r="5814" spans="1:6" x14ac:dyDescent="0.25">
      <c r="A5814" t="s">
        <v>6077</v>
      </c>
      <c r="B5814" t="s">
        <v>4725</v>
      </c>
      <c r="C5814" t="s">
        <v>4726</v>
      </c>
      <c r="D5814" t="str">
        <f>HYPERLINK("http://service.sap.com/sap/support/notes/1688336","1688336")</f>
        <v>1688336</v>
      </c>
      <c r="E5814">
        <v>1</v>
      </c>
      <c r="F5814" t="s">
        <v>7266</v>
      </c>
    </row>
    <row r="5815" spans="1:6" x14ac:dyDescent="0.25">
      <c r="A5815" t="s">
        <v>6077</v>
      </c>
      <c r="B5815" t="s">
        <v>4725</v>
      </c>
      <c r="C5815" t="s">
        <v>4726</v>
      </c>
      <c r="D5815" t="str">
        <f>HYPERLINK("http://service.sap.com/sap/support/notes/1695009","1695009")</f>
        <v>1695009</v>
      </c>
      <c r="E5815">
        <v>1</v>
      </c>
      <c r="F5815" t="s">
        <v>7267</v>
      </c>
    </row>
    <row r="5816" spans="1:6" x14ac:dyDescent="0.25">
      <c r="A5816" t="s">
        <v>6077</v>
      </c>
      <c r="B5816" t="s">
        <v>4725</v>
      </c>
      <c r="C5816" t="s">
        <v>4726</v>
      </c>
      <c r="D5816" t="str">
        <f>HYPERLINK("http://service.sap.com/sap/support/notes/1695146","1695146")</f>
        <v>1695146</v>
      </c>
      <c r="E5816">
        <v>1</v>
      </c>
      <c r="F5816" t="s">
        <v>7268</v>
      </c>
    </row>
    <row r="5817" spans="1:6" x14ac:dyDescent="0.25">
      <c r="A5817" t="s">
        <v>6077</v>
      </c>
      <c r="B5817" t="s">
        <v>7269</v>
      </c>
      <c r="C5817" t="s">
        <v>7270</v>
      </c>
      <c r="D5817" t="str">
        <f>HYPERLINK("http://service.sap.com/sap/support/notes/1688405","1688405")</f>
        <v>1688405</v>
      </c>
      <c r="E5817">
        <v>1</v>
      </c>
      <c r="F5817" t="s">
        <v>7271</v>
      </c>
    </row>
    <row r="5818" spans="1:6" x14ac:dyDescent="0.25">
      <c r="A5818" t="s">
        <v>6077</v>
      </c>
      <c r="B5818" t="s">
        <v>4742</v>
      </c>
      <c r="C5818" t="s">
        <v>4743</v>
      </c>
      <c r="D5818" t="str">
        <f>HYPERLINK("http://service.sap.com/sap/support/notes/1683961","1683961")</f>
        <v>1683961</v>
      </c>
      <c r="E5818">
        <v>2</v>
      </c>
      <c r="F5818" t="s">
        <v>7272</v>
      </c>
    </row>
    <row r="5819" spans="1:6" x14ac:dyDescent="0.25">
      <c r="A5819" t="s">
        <v>6077</v>
      </c>
      <c r="B5819" t="s">
        <v>4750</v>
      </c>
      <c r="C5819" t="s">
        <v>4751</v>
      </c>
      <c r="D5819" t="str">
        <f>HYPERLINK("http://service.sap.com/sap/support/notes/1678690","1678690")</f>
        <v>1678690</v>
      </c>
      <c r="E5819">
        <v>2</v>
      </c>
      <c r="F5819" t="s">
        <v>7273</v>
      </c>
    </row>
    <row r="5820" spans="1:6" x14ac:dyDescent="0.25">
      <c r="A5820" t="s">
        <v>6077</v>
      </c>
      <c r="B5820" t="s">
        <v>4753</v>
      </c>
      <c r="C5820" t="s">
        <v>4754</v>
      </c>
      <c r="D5820" t="str">
        <f>HYPERLINK("http://service.sap.com/sap/support/notes/1665239","1665239")</f>
        <v>1665239</v>
      </c>
      <c r="E5820">
        <v>1</v>
      </c>
      <c r="F5820" t="s">
        <v>7274</v>
      </c>
    </row>
    <row r="5821" spans="1:6" x14ac:dyDescent="0.25">
      <c r="A5821" t="s">
        <v>6077</v>
      </c>
      <c r="B5821" t="s">
        <v>1083</v>
      </c>
      <c r="C5821" t="s">
        <v>1084</v>
      </c>
      <c r="D5821" t="str">
        <f>HYPERLINK("http://service.sap.com/sap/support/notes/1659856","1659856")</f>
        <v>1659856</v>
      </c>
      <c r="E5821">
        <v>1</v>
      </c>
      <c r="F5821" t="s">
        <v>7275</v>
      </c>
    </row>
    <row r="5822" spans="1:6" x14ac:dyDescent="0.25">
      <c r="A5822" t="s">
        <v>6077</v>
      </c>
      <c r="B5822" t="s">
        <v>1083</v>
      </c>
      <c r="C5822" t="s">
        <v>1084</v>
      </c>
      <c r="D5822" t="str">
        <f>HYPERLINK("http://service.sap.com/sap/support/notes/1676401","1676401")</f>
        <v>1676401</v>
      </c>
      <c r="E5822">
        <v>1</v>
      </c>
      <c r="F5822" t="s">
        <v>7276</v>
      </c>
    </row>
    <row r="5823" spans="1:6" x14ac:dyDescent="0.25">
      <c r="A5823" t="s">
        <v>6077</v>
      </c>
      <c r="B5823" t="s">
        <v>1087</v>
      </c>
      <c r="C5823" t="s">
        <v>1088</v>
      </c>
      <c r="D5823" t="str">
        <f>HYPERLINK("http://service.sap.com/sap/support/notes/1623545","1623545")</f>
        <v>1623545</v>
      </c>
      <c r="E5823">
        <v>2</v>
      </c>
      <c r="F5823" t="s">
        <v>7277</v>
      </c>
    </row>
    <row r="5824" spans="1:6" x14ac:dyDescent="0.25">
      <c r="A5824" t="s">
        <v>6077</v>
      </c>
      <c r="B5824" t="s">
        <v>1087</v>
      </c>
      <c r="C5824" t="s">
        <v>1088</v>
      </c>
      <c r="D5824" t="str">
        <f>HYPERLINK("http://service.sap.com/sap/support/notes/1680710","1680710")</f>
        <v>1680710</v>
      </c>
      <c r="E5824">
        <v>1</v>
      </c>
      <c r="F5824" t="s">
        <v>7278</v>
      </c>
    </row>
    <row r="5825" spans="1:6" x14ac:dyDescent="0.25">
      <c r="A5825" t="s">
        <v>6077</v>
      </c>
      <c r="B5825" t="s">
        <v>1089</v>
      </c>
      <c r="C5825" t="s">
        <v>1090</v>
      </c>
      <c r="D5825" t="str">
        <f>HYPERLINK("http://service.sap.com/sap/support/notes/1552006","1552006")</f>
        <v>1552006</v>
      </c>
      <c r="E5825">
        <v>3</v>
      </c>
      <c r="F5825" t="s">
        <v>7279</v>
      </c>
    </row>
    <row r="5826" spans="1:6" x14ac:dyDescent="0.25">
      <c r="A5826" t="s">
        <v>6077</v>
      </c>
      <c r="B5826" t="s">
        <v>1089</v>
      </c>
      <c r="C5826" t="s">
        <v>1090</v>
      </c>
      <c r="D5826" t="str">
        <f>HYPERLINK("http://service.sap.com/sap/support/notes/1603288","1603288")</f>
        <v>1603288</v>
      </c>
      <c r="E5826">
        <v>2</v>
      </c>
      <c r="F5826" t="s">
        <v>7280</v>
      </c>
    </row>
    <row r="5827" spans="1:6" x14ac:dyDescent="0.25">
      <c r="A5827" t="s">
        <v>6077</v>
      </c>
      <c r="B5827" t="s">
        <v>4780</v>
      </c>
      <c r="C5827" t="s">
        <v>4781</v>
      </c>
      <c r="D5827" t="str">
        <f>HYPERLINK("http://service.sap.com/sap/support/notes/1637219","1637219")</f>
        <v>1637219</v>
      </c>
      <c r="E5827">
        <v>1</v>
      </c>
      <c r="F5827" t="s">
        <v>7281</v>
      </c>
    </row>
    <row r="5828" spans="1:6" x14ac:dyDescent="0.25">
      <c r="A5828" t="s">
        <v>6077</v>
      </c>
      <c r="B5828" t="s">
        <v>4786</v>
      </c>
      <c r="C5828" t="s">
        <v>350</v>
      </c>
      <c r="D5828" t="str">
        <f>HYPERLINK("http://service.sap.com/sap/support/notes/1676570","1676570")</f>
        <v>1676570</v>
      </c>
      <c r="E5828">
        <v>1</v>
      </c>
      <c r="F5828" t="s">
        <v>7282</v>
      </c>
    </row>
    <row r="5829" spans="1:6" x14ac:dyDescent="0.25">
      <c r="A5829" t="s">
        <v>6077</v>
      </c>
      <c r="B5829" t="s">
        <v>1097</v>
      </c>
      <c r="C5829" t="s">
        <v>1098</v>
      </c>
    </row>
    <row r="5830" spans="1:6" x14ac:dyDescent="0.25">
      <c r="A5830" t="s">
        <v>6077</v>
      </c>
      <c r="B5830" t="s">
        <v>4793</v>
      </c>
      <c r="C5830" t="s">
        <v>4794</v>
      </c>
      <c r="D5830" t="str">
        <f>HYPERLINK("http://service.sap.com/sap/support/notes/1555498","1555498")</f>
        <v>1555498</v>
      </c>
      <c r="E5830">
        <v>3</v>
      </c>
      <c r="F5830" t="s">
        <v>7283</v>
      </c>
    </row>
    <row r="5831" spans="1:6" x14ac:dyDescent="0.25">
      <c r="A5831" t="s">
        <v>6077</v>
      </c>
      <c r="B5831" t="s">
        <v>4793</v>
      </c>
      <c r="C5831" t="s">
        <v>4794</v>
      </c>
      <c r="D5831" t="str">
        <f>HYPERLINK("http://service.sap.com/sap/support/notes/1684116","1684116")</f>
        <v>1684116</v>
      </c>
      <c r="E5831">
        <v>1</v>
      </c>
      <c r="F5831" t="s">
        <v>7284</v>
      </c>
    </row>
    <row r="5832" spans="1:6" x14ac:dyDescent="0.25">
      <c r="A5832" t="s">
        <v>6077</v>
      </c>
      <c r="B5832" t="s">
        <v>4793</v>
      </c>
      <c r="C5832" t="s">
        <v>4794</v>
      </c>
      <c r="D5832" t="str">
        <f>HYPERLINK("http://service.sap.com/sap/support/notes/1686793","1686793")</f>
        <v>1686793</v>
      </c>
      <c r="E5832">
        <v>2</v>
      </c>
      <c r="F5832" t="s">
        <v>7285</v>
      </c>
    </row>
    <row r="5833" spans="1:6" x14ac:dyDescent="0.25">
      <c r="A5833" t="s">
        <v>6077</v>
      </c>
      <c r="B5833" t="s">
        <v>1100</v>
      </c>
      <c r="C5833" t="s">
        <v>1101</v>
      </c>
      <c r="D5833" t="str">
        <f>HYPERLINK("http://service.sap.com/sap/support/notes/1451203","1451203")</f>
        <v>1451203</v>
      </c>
      <c r="E5833">
        <v>4</v>
      </c>
      <c r="F5833" t="s">
        <v>7286</v>
      </c>
    </row>
    <row r="5834" spans="1:6" x14ac:dyDescent="0.25">
      <c r="A5834" t="s">
        <v>6077</v>
      </c>
      <c r="B5834" t="s">
        <v>1100</v>
      </c>
      <c r="C5834" t="s">
        <v>1101</v>
      </c>
      <c r="D5834" t="str">
        <f>HYPERLINK("http://service.sap.com/sap/support/notes/1526474","1526474")</f>
        <v>1526474</v>
      </c>
      <c r="E5834">
        <v>4</v>
      </c>
      <c r="F5834" t="s">
        <v>7287</v>
      </c>
    </row>
    <row r="5835" spans="1:6" x14ac:dyDescent="0.25">
      <c r="A5835" t="s">
        <v>6077</v>
      </c>
      <c r="B5835" t="s">
        <v>1100</v>
      </c>
      <c r="C5835" t="s">
        <v>1101</v>
      </c>
      <c r="D5835" t="str">
        <f>HYPERLINK("http://service.sap.com/sap/support/notes/1665019","1665019")</f>
        <v>1665019</v>
      </c>
      <c r="E5835">
        <v>2</v>
      </c>
      <c r="F5835" t="s">
        <v>7288</v>
      </c>
    </row>
    <row r="5836" spans="1:6" x14ac:dyDescent="0.25">
      <c r="A5836" t="s">
        <v>6077</v>
      </c>
      <c r="B5836" t="s">
        <v>1100</v>
      </c>
      <c r="C5836" t="s">
        <v>1101</v>
      </c>
      <c r="D5836" t="str">
        <f>HYPERLINK("http://service.sap.com/sap/support/notes/1677889","1677889")</f>
        <v>1677889</v>
      </c>
      <c r="E5836">
        <v>1</v>
      </c>
      <c r="F5836" t="s">
        <v>7289</v>
      </c>
    </row>
    <row r="5837" spans="1:6" x14ac:dyDescent="0.25">
      <c r="A5837" t="s">
        <v>6077</v>
      </c>
      <c r="B5837" t="s">
        <v>1100</v>
      </c>
      <c r="C5837" t="s">
        <v>1101</v>
      </c>
      <c r="D5837" t="str">
        <f>HYPERLINK("http://service.sap.com/sap/support/notes/1677892","1677892")</f>
        <v>1677892</v>
      </c>
      <c r="E5837">
        <v>1</v>
      </c>
      <c r="F5837" t="s">
        <v>7290</v>
      </c>
    </row>
    <row r="5838" spans="1:6" x14ac:dyDescent="0.25">
      <c r="A5838" t="s">
        <v>6077</v>
      </c>
      <c r="B5838" t="s">
        <v>1100</v>
      </c>
      <c r="C5838" t="s">
        <v>1101</v>
      </c>
      <c r="D5838" t="str">
        <f>HYPERLINK("http://service.sap.com/sap/support/notes/1679638","1679638")</f>
        <v>1679638</v>
      </c>
      <c r="E5838">
        <v>1</v>
      </c>
      <c r="F5838" t="s">
        <v>7291</v>
      </c>
    </row>
    <row r="5839" spans="1:6" x14ac:dyDescent="0.25">
      <c r="A5839" t="s">
        <v>6077</v>
      </c>
      <c r="B5839" t="s">
        <v>1100</v>
      </c>
      <c r="C5839" t="s">
        <v>1101</v>
      </c>
      <c r="D5839" t="str">
        <f>HYPERLINK("http://service.sap.com/sap/support/notes/1688315","1688315")</f>
        <v>1688315</v>
      </c>
      <c r="E5839">
        <v>1</v>
      </c>
      <c r="F5839" t="s">
        <v>7292</v>
      </c>
    </row>
    <row r="5840" spans="1:6" x14ac:dyDescent="0.25">
      <c r="A5840" t="s">
        <v>6077</v>
      </c>
      <c r="B5840" t="s">
        <v>7293</v>
      </c>
      <c r="C5840" t="s">
        <v>7294</v>
      </c>
      <c r="D5840" t="str">
        <f>HYPERLINK("http://service.sap.com/sap/support/notes/1664617","1664617")</f>
        <v>1664617</v>
      </c>
      <c r="E5840">
        <v>1</v>
      </c>
      <c r="F5840" t="s">
        <v>7295</v>
      </c>
    </row>
    <row r="5841" spans="1:6" x14ac:dyDescent="0.25">
      <c r="A5841" t="s">
        <v>6077</v>
      </c>
      <c r="B5841" t="s">
        <v>1105</v>
      </c>
      <c r="C5841" t="s">
        <v>1106</v>
      </c>
    </row>
    <row r="5842" spans="1:6" x14ac:dyDescent="0.25">
      <c r="A5842" t="s">
        <v>6077</v>
      </c>
      <c r="B5842" t="s">
        <v>4828</v>
      </c>
      <c r="C5842" t="s">
        <v>4829</v>
      </c>
    </row>
    <row r="5843" spans="1:6" x14ac:dyDescent="0.25">
      <c r="A5843" t="s">
        <v>6077</v>
      </c>
      <c r="B5843" t="s">
        <v>4830</v>
      </c>
      <c r="C5843" t="s">
        <v>4831</v>
      </c>
      <c r="D5843" t="str">
        <f>HYPERLINK("http://service.sap.com/sap/support/notes/1462641","1462641")</f>
        <v>1462641</v>
      </c>
      <c r="E5843">
        <v>2</v>
      </c>
      <c r="F5843" t="s">
        <v>7296</v>
      </c>
    </row>
    <row r="5844" spans="1:6" x14ac:dyDescent="0.25">
      <c r="A5844" t="s">
        <v>6077</v>
      </c>
      <c r="B5844" t="s">
        <v>4830</v>
      </c>
      <c r="C5844" t="s">
        <v>4831</v>
      </c>
      <c r="D5844" t="str">
        <f>HYPERLINK("http://service.sap.com/sap/support/notes/1503450","1503450")</f>
        <v>1503450</v>
      </c>
      <c r="E5844">
        <v>2</v>
      </c>
      <c r="F5844" t="s">
        <v>7297</v>
      </c>
    </row>
    <row r="5845" spans="1:6" x14ac:dyDescent="0.25">
      <c r="A5845" t="s">
        <v>6077</v>
      </c>
      <c r="B5845" t="s">
        <v>4836</v>
      </c>
      <c r="C5845" t="s">
        <v>4837</v>
      </c>
      <c r="D5845" t="str">
        <f>HYPERLINK("http://service.sap.com/sap/support/notes/1675809","1675809")</f>
        <v>1675809</v>
      </c>
      <c r="E5845">
        <v>1</v>
      </c>
      <c r="F5845" t="s">
        <v>7298</v>
      </c>
    </row>
    <row r="5846" spans="1:6" x14ac:dyDescent="0.25">
      <c r="A5846" t="s">
        <v>6077</v>
      </c>
      <c r="B5846" t="s">
        <v>7299</v>
      </c>
      <c r="C5846" t="s">
        <v>1090</v>
      </c>
      <c r="D5846" t="str">
        <f>HYPERLINK("http://service.sap.com/sap/support/notes/1674804","1674804")</f>
        <v>1674804</v>
      </c>
      <c r="E5846">
        <v>1</v>
      </c>
      <c r="F5846" t="s">
        <v>7300</v>
      </c>
    </row>
    <row r="5847" spans="1:6" x14ac:dyDescent="0.25">
      <c r="A5847" t="s">
        <v>6077</v>
      </c>
      <c r="B5847" t="s">
        <v>7299</v>
      </c>
      <c r="C5847" t="s">
        <v>1090</v>
      </c>
      <c r="D5847" t="str">
        <f>HYPERLINK("http://service.sap.com/sap/support/notes/1675795","1675795")</f>
        <v>1675795</v>
      </c>
      <c r="E5847">
        <v>2</v>
      </c>
      <c r="F5847" t="s">
        <v>7301</v>
      </c>
    </row>
    <row r="5848" spans="1:6" x14ac:dyDescent="0.25">
      <c r="A5848" t="s">
        <v>6077</v>
      </c>
      <c r="B5848" t="s">
        <v>4839</v>
      </c>
      <c r="C5848" t="s">
        <v>4840</v>
      </c>
    </row>
    <row r="5849" spans="1:6" x14ac:dyDescent="0.25">
      <c r="A5849" t="s">
        <v>6077</v>
      </c>
      <c r="B5849" t="s">
        <v>4842</v>
      </c>
      <c r="C5849" t="s">
        <v>4843</v>
      </c>
      <c r="D5849" t="str">
        <f>HYPERLINK("http://service.sap.com/sap/support/notes/1686642","1686642")</f>
        <v>1686642</v>
      </c>
      <c r="E5849">
        <v>1</v>
      </c>
      <c r="F5849" t="s">
        <v>7302</v>
      </c>
    </row>
    <row r="5850" spans="1:6" x14ac:dyDescent="0.25">
      <c r="A5850" t="s">
        <v>6077</v>
      </c>
      <c r="B5850" t="s">
        <v>4846</v>
      </c>
      <c r="C5850" t="s">
        <v>4840</v>
      </c>
      <c r="D5850" t="str">
        <f>HYPERLINK("http://service.sap.com/sap/support/notes/1642347","1642347")</f>
        <v>1642347</v>
      </c>
      <c r="E5850">
        <v>3</v>
      </c>
      <c r="F5850" t="s">
        <v>7303</v>
      </c>
    </row>
    <row r="5851" spans="1:6" x14ac:dyDescent="0.25">
      <c r="A5851" t="s">
        <v>6077</v>
      </c>
      <c r="B5851" t="s">
        <v>4846</v>
      </c>
      <c r="C5851" t="s">
        <v>4840</v>
      </c>
      <c r="D5851" t="str">
        <f>HYPERLINK("http://service.sap.com/sap/support/notes/1694592","1694592")</f>
        <v>1694592</v>
      </c>
      <c r="E5851">
        <v>1</v>
      </c>
      <c r="F5851" t="s">
        <v>7304</v>
      </c>
    </row>
    <row r="5852" spans="1:6" x14ac:dyDescent="0.25">
      <c r="A5852" t="s">
        <v>6077</v>
      </c>
      <c r="B5852" t="s">
        <v>4848</v>
      </c>
      <c r="C5852" t="s">
        <v>4849</v>
      </c>
      <c r="D5852" t="str">
        <f>HYPERLINK("http://service.sap.com/sap/support/notes/1645863","1645863")</f>
        <v>1645863</v>
      </c>
      <c r="E5852">
        <v>4</v>
      </c>
      <c r="F5852" t="s">
        <v>7305</v>
      </c>
    </row>
    <row r="5853" spans="1:6" x14ac:dyDescent="0.25">
      <c r="A5853" t="s">
        <v>6077</v>
      </c>
      <c r="B5853" t="s">
        <v>7306</v>
      </c>
      <c r="C5853" t="s">
        <v>7307</v>
      </c>
      <c r="D5853" t="str">
        <f>HYPERLINK("http://service.sap.com/sap/support/notes/1673803","1673803")</f>
        <v>1673803</v>
      </c>
      <c r="E5853">
        <v>1</v>
      </c>
      <c r="F5853" t="s">
        <v>7308</v>
      </c>
    </row>
    <row r="5854" spans="1:6" x14ac:dyDescent="0.25">
      <c r="A5854" t="s">
        <v>6077</v>
      </c>
      <c r="B5854" t="s">
        <v>1107</v>
      </c>
      <c r="C5854" t="s">
        <v>350</v>
      </c>
      <c r="D5854" t="str">
        <f>HYPERLINK("http://service.sap.com/sap/support/notes/1683337","1683337")</f>
        <v>1683337</v>
      </c>
      <c r="E5854">
        <v>2</v>
      </c>
      <c r="F5854" t="s">
        <v>7309</v>
      </c>
    </row>
    <row r="5855" spans="1:6" x14ac:dyDescent="0.25">
      <c r="A5855" t="s">
        <v>6077</v>
      </c>
      <c r="B5855" t="s">
        <v>4865</v>
      </c>
      <c r="C5855" t="s">
        <v>2128</v>
      </c>
      <c r="D5855" t="str">
        <f>HYPERLINK("http://service.sap.com/sap/support/notes/1667028","1667028")</f>
        <v>1667028</v>
      </c>
      <c r="E5855">
        <v>3</v>
      </c>
      <c r="F5855" t="s">
        <v>4870</v>
      </c>
    </row>
    <row r="5856" spans="1:6" x14ac:dyDescent="0.25">
      <c r="A5856" t="s">
        <v>6077</v>
      </c>
      <c r="B5856" t="s">
        <v>4865</v>
      </c>
      <c r="C5856" t="s">
        <v>2128</v>
      </c>
      <c r="D5856" t="str">
        <f>HYPERLINK("http://service.sap.com/sap/support/notes/1681926","1681926")</f>
        <v>1681926</v>
      </c>
      <c r="E5856">
        <v>2</v>
      </c>
      <c r="F5856" t="s">
        <v>7310</v>
      </c>
    </row>
    <row r="5857" spans="1:6" x14ac:dyDescent="0.25">
      <c r="A5857" t="s">
        <v>6077</v>
      </c>
      <c r="B5857" t="s">
        <v>7311</v>
      </c>
      <c r="C5857" t="s">
        <v>7312</v>
      </c>
      <c r="D5857" t="str">
        <f>HYPERLINK("http://service.sap.com/sap/support/notes/1693746","1693746")</f>
        <v>1693746</v>
      </c>
      <c r="E5857">
        <v>2</v>
      </c>
      <c r="F5857" t="s">
        <v>7313</v>
      </c>
    </row>
    <row r="5858" spans="1:6" x14ac:dyDescent="0.25">
      <c r="A5858" t="s">
        <v>6077</v>
      </c>
      <c r="B5858" t="s">
        <v>1109</v>
      </c>
      <c r="C5858" t="s">
        <v>1110</v>
      </c>
      <c r="D5858" t="str">
        <f>HYPERLINK("http://service.sap.com/sap/support/notes/1667477","1667477")</f>
        <v>1667477</v>
      </c>
      <c r="E5858">
        <v>3</v>
      </c>
      <c r="F5858" t="s">
        <v>7314</v>
      </c>
    </row>
    <row r="5859" spans="1:6" x14ac:dyDescent="0.25">
      <c r="A5859" t="s">
        <v>6077</v>
      </c>
      <c r="B5859" t="s">
        <v>1109</v>
      </c>
      <c r="C5859" t="s">
        <v>1110</v>
      </c>
      <c r="D5859" t="str">
        <f>HYPERLINK("http://service.sap.com/sap/support/notes/1670300","1670300")</f>
        <v>1670300</v>
      </c>
      <c r="E5859">
        <v>2</v>
      </c>
      <c r="F5859" t="s">
        <v>7315</v>
      </c>
    </row>
    <row r="5860" spans="1:6" x14ac:dyDescent="0.25">
      <c r="A5860" t="s">
        <v>6077</v>
      </c>
      <c r="B5860" t="s">
        <v>1109</v>
      </c>
      <c r="C5860" t="s">
        <v>1110</v>
      </c>
      <c r="D5860" t="str">
        <f>HYPERLINK("http://service.sap.com/sap/support/notes/1682887","1682887")</f>
        <v>1682887</v>
      </c>
      <c r="E5860">
        <v>1</v>
      </c>
      <c r="F5860" t="s">
        <v>7316</v>
      </c>
    </row>
    <row r="5861" spans="1:6" x14ac:dyDescent="0.25">
      <c r="A5861" t="s">
        <v>6077</v>
      </c>
      <c r="B5861" t="s">
        <v>4876</v>
      </c>
      <c r="C5861" t="s">
        <v>1373</v>
      </c>
    </row>
    <row r="5862" spans="1:6" x14ac:dyDescent="0.25">
      <c r="A5862" t="s">
        <v>6077</v>
      </c>
      <c r="B5862" t="s">
        <v>4884</v>
      </c>
      <c r="C5862" t="s">
        <v>4885</v>
      </c>
      <c r="D5862" t="str">
        <f>HYPERLINK("http://service.sap.com/sap/support/notes/1677440","1677440")</f>
        <v>1677440</v>
      </c>
      <c r="E5862">
        <v>1</v>
      </c>
      <c r="F5862" t="s">
        <v>7317</v>
      </c>
    </row>
    <row r="5863" spans="1:6" x14ac:dyDescent="0.25">
      <c r="A5863" t="s">
        <v>6077</v>
      </c>
      <c r="B5863" t="s">
        <v>4884</v>
      </c>
      <c r="C5863" t="s">
        <v>4885</v>
      </c>
      <c r="D5863" t="str">
        <f>HYPERLINK("http://service.sap.com/sap/support/notes/1677706","1677706")</f>
        <v>1677706</v>
      </c>
      <c r="E5863">
        <v>1</v>
      </c>
      <c r="F5863" t="s">
        <v>7318</v>
      </c>
    </row>
    <row r="5864" spans="1:6" x14ac:dyDescent="0.25">
      <c r="A5864" t="s">
        <v>6077</v>
      </c>
      <c r="B5864" t="s">
        <v>4889</v>
      </c>
      <c r="C5864" t="s">
        <v>4890</v>
      </c>
      <c r="D5864" t="str">
        <f>HYPERLINK("http://service.sap.com/sap/support/notes/1675414","1675414")</f>
        <v>1675414</v>
      </c>
      <c r="E5864">
        <v>1</v>
      </c>
      <c r="F5864" t="s">
        <v>7319</v>
      </c>
    </row>
    <row r="5865" spans="1:6" x14ac:dyDescent="0.25">
      <c r="A5865" t="s">
        <v>6077</v>
      </c>
      <c r="B5865" t="s">
        <v>1113</v>
      </c>
      <c r="C5865" t="s">
        <v>1114</v>
      </c>
      <c r="D5865" t="str">
        <f>HYPERLINK("http://service.sap.com/sap/support/notes/1680117","1680117")</f>
        <v>1680117</v>
      </c>
      <c r="E5865">
        <v>3</v>
      </c>
      <c r="F5865" t="s">
        <v>7320</v>
      </c>
    </row>
    <row r="5866" spans="1:6" x14ac:dyDescent="0.25">
      <c r="A5866" t="s">
        <v>6077</v>
      </c>
      <c r="B5866" t="s">
        <v>7321</v>
      </c>
      <c r="C5866" t="s">
        <v>7322</v>
      </c>
      <c r="D5866" t="str">
        <f>HYPERLINK("http://service.sap.com/sap/support/notes/1591447","1591447")</f>
        <v>1591447</v>
      </c>
      <c r="E5866">
        <v>3</v>
      </c>
      <c r="F5866" t="s">
        <v>7323</v>
      </c>
    </row>
    <row r="5867" spans="1:6" x14ac:dyDescent="0.25">
      <c r="A5867" t="s">
        <v>6077</v>
      </c>
      <c r="B5867" t="s">
        <v>4905</v>
      </c>
      <c r="C5867" t="s">
        <v>4906</v>
      </c>
    </row>
    <row r="5868" spans="1:6" x14ac:dyDescent="0.25">
      <c r="A5868" t="s">
        <v>6077</v>
      </c>
      <c r="B5868" t="s">
        <v>4907</v>
      </c>
      <c r="C5868" t="s">
        <v>4908</v>
      </c>
      <c r="D5868" t="str">
        <f>HYPERLINK("http://service.sap.com/sap/support/notes/1686884","1686884")</f>
        <v>1686884</v>
      </c>
      <c r="E5868">
        <v>1</v>
      </c>
      <c r="F5868" t="s">
        <v>7324</v>
      </c>
    </row>
    <row r="5869" spans="1:6" x14ac:dyDescent="0.25">
      <c r="A5869" t="s">
        <v>6077</v>
      </c>
      <c r="B5869" t="s">
        <v>1116</v>
      </c>
      <c r="C5869" t="s">
        <v>1117</v>
      </c>
    </row>
    <row r="5870" spans="1:6" x14ac:dyDescent="0.25">
      <c r="A5870" t="s">
        <v>6077</v>
      </c>
      <c r="B5870" t="s">
        <v>1118</v>
      </c>
      <c r="C5870" t="s">
        <v>1119</v>
      </c>
      <c r="D5870" t="str">
        <f>HYPERLINK("http://service.sap.com/sap/support/notes/1671783","1671783")</f>
        <v>1671783</v>
      </c>
      <c r="E5870">
        <v>2</v>
      </c>
      <c r="F5870" t="s">
        <v>7325</v>
      </c>
    </row>
    <row r="5871" spans="1:6" x14ac:dyDescent="0.25">
      <c r="A5871" t="s">
        <v>6077</v>
      </c>
      <c r="B5871" t="s">
        <v>1118</v>
      </c>
      <c r="C5871" t="s">
        <v>1119</v>
      </c>
      <c r="D5871" t="str">
        <f>HYPERLINK("http://service.sap.com/sap/support/notes/1674963","1674963")</f>
        <v>1674963</v>
      </c>
      <c r="E5871">
        <v>4</v>
      </c>
      <c r="F5871" t="s">
        <v>7326</v>
      </c>
    </row>
    <row r="5872" spans="1:6" x14ac:dyDescent="0.25">
      <c r="A5872" t="s">
        <v>6077</v>
      </c>
      <c r="B5872" t="s">
        <v>1118</v>
      </c>
      <c r="C5872" t="s">
        <v>1119</v>
      </c>
      <c r="D5872" t="str">
        <f>HYPERLINK("http://service.sap.com/sap/support/notes/1675435","1675435")</f>
        <v>1675435</v>
      </c>
      <c r="E5872">
        <v>2</v>
      </c>
      <c r="F5872" t="s">
        <v>7327</v>
      </c>
    </row>
    <row r="5873" spans="1:6" x14ac:dyDescent="0.25">
      <c r="A5873" t="s">
        <v>6077</v>
      </c>
      <c r="B5873" t="s">
        <v>1118</v>
      </c>
      <c r="C5873" t="s">
        <v>1119</v>
      </c>
      <c r="D5873" t="str">
        <f>HYPERLINK("http://service.sap.com/sap/support/notes/1686699","1686699")</f>
        <v>1686699</v>
      </c>
      <c r="E5873">
        <v>1</v>
      </c>
      <c r="F5873" t="s">
        <v>7328</v>
      </c>
    </row>
    <row r="5874" spans="1:6" x14ac:dyDescent="0.25">
      <c r="A5874" t="s">
        <v>6077</v>
      </c>
      <c r="B5874" t="s">
        <v>4924</v>
      </c>
      <c r="C5874" t="s">
        <v>4925</v>
      </c>
      <c r="D5874" t="str">
        <f>HYPERLINK("http://service.sap.com/sap/support/notes/1677042","1677042")</f>
        <v>1677042</v>
      </c>
      <c r="E5874">
        <v>1</v>
      </c>
      <c r="F5874" t="s">
        <v>7329</v>
      </c>
    </row>
    <row r="5875" spans="1:6" x14ac:dyDescent="0.25">
      <c r="A5875" t="s">
        <v>6077</v>
      </c>
      <c r="B5875" t="s">
        <v>4924</v>
      </c>
      <c r="C5875" t="s">
        <v>4925</v>
      </c>
      <c r="D5875" t="str">
        <f>HYPERLINK("http://service.sap.com/sap/support/notes/1692992","1692992")</f>
        <v>1692992</v>
      </c>
      <c r="E5875">
        <v>1</v>
      </c>
      <c r="F5875" t="s">
        <v>7330</v>
      </c>
    </row>
    <row r="5876" spans="1:6" x14ac:dyDescent="0.25">
      <c r="A5876" t="s">
        <v>6077</v>
      </c>
      <c r="B5876" t="s">
        <v>1121</v>
      </c>
      <c r="C5876" t="s">
        <v>1122</v>
      </c>
      <c r="D5876" t="str">
        <f>HYPERLINK("http://service.sap.com/sap/support/notes/1586970","1586970")</f>
        <v>1586970</v>
      </c>
      <c r="E5876">
        <v>1</v>
      </c>
      <c r="F5876" t="s">
        <v>7331</v>
      </c>
    </row>
    <row r="5877" spans="1:6" x14ac:dyDescent="0.25">
      <c r="A5877" t="s">
        <v>6077</v>
      </c>
      <c r="B5877" t="s">
        <v>7332</v>
      </c>
      <c r="C5877" t="s">
        <v>7333</v>
      </c>
      <c r="D5877" t="str">
        <f>HYPERLINK("http://service.sap.com/sap/support/notes/1654952","1654952")</f>
        <v>1654952</v>
      </c>
      <c r="E5877">
        <v>1</v>
      </c>
      <c r="F5877" t="s">
        <v>7334</v>
      </c>
    </row>
    <row r="5878" spans="1:6" x14ac:dyDescent="0.25">
      <c r="A5878" t="s">
        <v>6077</v>
      </c>
      <c r="B5878" t="s">
        <v>1131</v>
      </c>
      <c r="C5878" t="s">
        <v>1132</v>
      </c>
    </row>
    <row r="5879" spans="1:6" x14ac:dyDescent="0.25">
      <c r="A5879" t="s">
        <v>6077</v>
      </c>
      <c r="B5879" t="s">
        <v>1133</v>
      </c>
      <c r="C5879" t="s">
        <v>1134</v>
      </c>
    </row>
    <row r="5880" spans="1:6" x14ac:dyDescent="0.25">
      <c r="A5880" t="s">
        <v>6077</v>
      </c>
      <c r="B5880" t="s">
        <v>4998</v>
      </c>
      <c r="C5880" t="s">
        <v>4999</v>
      </c>
    </row>
    <row r="5881" spans="1:6" x14ac:dyDescent="0.25">
      <c r="A5881" t="s">
        <v>6077</v>
      </c>
      <c r="B5881" t="s">
        <v>7335</v>
      </c>
      <c r="C5881" t="s">
        <v>1139</v>
      </c>
      <c r="D5881" t="str">
        <f>HYPERLINK("http://service.sap.com/sap/support/notes/1685523","1685523")</f>
        <v>1685523</v>
      </c>
      <c r="E5881">
        <v>4</v>
      </c>
      <c r="F5881" t="s">
        <v>7336</v>
      </c>
    </row>
    <row r="5882" spans="1:6" x14ac:dyDescent="0.25">
      <c r="A5882" t="s">
        <v>6077</v>
      </c>
      <c r="B5882" t="s">
        <v>1136</v>
      </c>
      <c r="C5882" t="s">
        <v>1137</v>
      </c>
    </row>
    <row r="5883" spans="1:6" x14ac:dyDescent="0.25">
      <c r="A5883" t="s">
        <v>6077</v>
      </c>
      <c r="B5883" t="s">
        <v>1138</v>
      </c>
      <c r="C5883" t="s">
        <v>1139</v>
      </c>
      <c r="D5883" t="str">
        <f>HYPERLINK("http://service.sap.com/sap/support/notes/1329902","1329902")</f>
        <v>1329902</v>
      </c>
      <c r="E5883">
        <v>2</v>
      </c>
      <c r="F5883" t="s">
        <v>7337</v>
      </c>
    </row>
    <row r="5884" spans="1:6" x14ac:dyDescent="0.25">
      <c r="A5884" t="s">
        <v>6077</v>
      </c>
      <c r="B5884" t="s">
        <v>1138</v>
      </c>
      <c r="C5884" t="s">
        <v>1139</v>
      </c>
      <c r="D5884" t="str">
        <f>HYPERLINK("http://service.sap.com/sap/support/notes/1603331","1603331")</f>
        <v>1603331</v>
      </c>
      <c r="E5884">
        <v>2</v>
      </c>
      <c r="F5884" t="s">
        <v>7338</v>
      </c>
    </row>
    <row r="5885" spans="1:6" x14ac:dyDescent="0.25">
      <c r="A5885" t="s">
        <v>6077</v>
      </c>
      <c r="B5885" t="s">
        <v>5005</v>
      </c>
      <c r="C5885" t="s">
        <v>350</v>
      </c>
      <c r="D5885" t="str">
        <f>HYPERLINK("http://service.sap.com/sap/support/notes/1679604","1679604")</f>
        <v>1679604</v>
      </c>
      <c r="E5885">
        <v>2</v>
      </c>
      <c r="F5885" t="s">
        <v>7339</v>
      </c>
    </row>
    <row r="5886" spans="1:6" x14ac:dyDescent="0.25">
      <c r="A5886" t="s">
        <v>6077</v>
      </c>
      <c r="B5886" t="s">
        <v>5007</v>
      </c>
      <c r="C5886" t="s">
        <v>14</v>
      </c>
      <c r="D5886" t="str">
        <f>HYPERLINK("http://service.sap.com/sap/support/notes/1687983","1687983")</f>
        <v>1687983</v>
      </c>
      <c r="E5886">
        <v>2</v>
      </c>
      <c r="F5886" t="s">
        <v>7340</v>
      </c>
    </row>
    <row r="5887" spans="1:6" x14ac:dyDescent="0.25">
      <c r="A5887" t="s">
        <v>6077</v>
      </c>
      <c r="B5887" t="s">
        <v>1142</v>
      </c>
      <c r="C5887" t="s">
        <v>1143</v>
      </c>
    </row>
    <row r="5888" spans="1:6" x14ac:dyDescent="0.25">
      <c r="A5888" t="s">
        <v>6077</v>
      </c>
      <c r="B5888" t="s">
        <v>1144</v>
      </c>
      <c r="C5888" t="s">
        <v>1145</v>
      </c>
      <c r="D5888" t="str">
        <f>HYPERLINK("http://service.sap.com/sap/support/notes/1644713","1644713")</f>
        <v>1644713</v>
      </c>
      <c r="E5888">
        <v>4</v>
      </c>
      <c r="F5888" t="s">
        <v>7341</v>
      </c>
    </row>
    <row r="5889" spans="1:6" x14ac:dyDescent="0.25">
      <c r="A5889" t="s">
        <v>6077</v>
      </c>
      <c r="B5889" t="s">
        <v>1144</v>
      </c>
      <c r="C5889" t="s">
        <v>1145</v>
      </c>
      <c r="D5889" t="str">
        <f>HYPERLINK("http://service.sap.com/sap/support/notes/1660070","1660070")</f>
        <v>1660070</v>
      </c>
      <c r="E5889">
        <v>2</v>
      </c>
      <c r="F5889" t="s">
        <v>7342</v>
      </c>
    </row>
    <row r="5890" spans="1:6" x14ac:dyDescent="0.25">
      <c r="A5890" t="s">
        <v>6077</v>
      </c>
      <c r="B5890" t="s">
        <v>1144</v>
      </c>
      <c r="C5890" t="s">
        <v>1145</v>
      </c>
      <c r="D5890" t="str">
        <f>HYPERLINK("http://service.sap.com/sap/support/notes/1685835","1685835")</f>
        <v>1685835</v>
      </c>
      <c r="E5890">
        <v>2</v>
      </c>
      <c r="F5890" t="s">
        <v>7343</v>
      </c>
    </row>
    <row r="5891" spans="1:6" x14ac:dyDescent="0.25">
      <c r="A5891" t="s">
        <v>6077</v>
      </c>
      <c r="B5891" t="s">
        <v>1144</v>
      </c>
      <c r="C5891" t="s">
        <v>1145</v>
      </c>
      <c r="D5891" t="str">
        <f>HYPERLINK("http://service.sap.com/sap/support/notes/1686801","1686801")</f>
        <v>1686801</v>
      </c>
      <c r="E5891">
        <v>2</v>
      </c>
      <c r="F5891" t="s">
        <v>7344</v>
      </c>
    </row>
    <row r="5892" spans="1:6" x14ac:dyDescent="0.25">
      <c r="A5892" t="s">
        <v>6077</v>
      </c>
      <c r="B5892" t="s">
        <v>1149</v>
      </c>
      <c r="C5892" t="s">
        <v>7345</v>
      </c>
      <c r="D5892" t="str">
        <f>HYPERLINK("http://service.sap.com/sap/support/notes/1694042","1694042")</f>
        <v>1694042</v>
      </c>
      <c r="E5892">
        <v>1</v>
      </c>
      <c r="F5892" t="s">
        <v>7346</v>
      </c>
    </row>
    <row r="5893" spans="1:6" x14ac:dyDescent="0.25">
      <c r="A5893" t="s">
        <v>6077</v>
      </c>
      <c r="B5893" t="s">
        <v>1151</v>
      </c>
      <c r="C5893" t="s">
        <v>894</v>
      </c>
      <c r="D5893" t="str">
        <f>HYPERLINK("http://service.sap.com/sap/support/notes/1689923","1689923")</f>
        <v>1689923</v>
      </c>
      <c r="E5893">
        <v>1</v>
      </c>
      <c r="F5893" t="s">
        <v>7347</v>
      </c>
    </row>
    <row r="5894" spans="1:6" x14ac:dyDescent="0.25">
      <c r="A5894" t="s">
        <v>6077</v>
      </c>
      <c r="B5894" t="s">
        <v>5020</v>
      </c>
      <c r="C5894" t="s">
        <v>5021</v>
      </c>
      <c r="D5894" t="str">
        <f>HYPERLINK("http://service.sap.com/sap/support/notes/1685206","1685206")</f>
        <v>1685206</v>
      </c>
      <c r="E5894">
        <v>1</v>
      </c>
      <c r="F5894" t="s">
        <v>7348</v>
      </c>
    </row>
    <row r="5895" spans="1:6" x14ac:dyDescent="0.25">
      <c r="A5895" t="s">
        <v>6077</v>
      </c>
      <c r="B5895" t="s">
        <v>5020</v>
      </c>
      <c r="C5895" t="s">
        <v>5021</v>
      </c>
      <c r="D5895" t="str">
        <f>HYPERLINK("http://service.sap.com/sap/support/notes/1686018","1686018")</f>
        <v>1686018</v>
      </c>
      <c r="E5895">
        <v>3</v>
      </c>
      <c r="F5895" t="s">
        <v>7349</v>
      </c>
    </row>
    <row r="5896" spans="1:6" x14ac:dyDescent="0.25">
      <c r="A5896" t="s">
        <v>6077</v>
      </c>
      <c r="B5896" t="s">
        <v>7350</v>
      </c>
      <c r="C5896" t="s">
        <v>7351</v>
      </c>
    </row>
    <row r="5897" spans="1:6" x14ac:dyDescent="0.25">
      <c r="A5897" t="s">
        <v>6077</v>
      </c>
      <c r="B5897" t="s">
        <v>7352</v>
      </c>
      <c r="C5897" t="s">
        <v>7353</v>
      </c>
    </row>
    <row r="5898" spans="1:6" x14ac:dyDescent="0.25">
      <c r="A5898" t="s">
        <v>6077</v>
      </c>
      <c r="B5898" t="s">
        <v>7354</v>
      </c>
      <c r="C5898" t="s">
        <v>7355</v>
      </c>
      <c r="D5898" t="str">
        <f>HYPERLINK("http://service.sap.com/sap/support/notes/1683614","1683614")</f>
        <v>1683614</v>
      </c>
      <c r="E5898">
        <v>1</v>
      </c>
      <c r="F5898" t="s">
        <v>7356</v>
      </c>
    </row>
    <row r="5899" spans="1:6" x14ac:dyDescent="0.25">
      <c r="A5899" t="s">
        <v>6077</v>
      </c>
      <c r="B5899" t="s">
        <v>5024</v>
      </c>
      <c r="C5899" t="s">
        <v>5025</v>
      </c>
    </row>
    <row r="5900" spans="1:6" x14ac:dyDescent="0.25">
      <c r="A5900" t="s">
        <v>6077</v>
      </c>
      <c r="B5900" t="s">
        <v>5026</v>
      </c>
      <c r="C5900" t="s">
        <v>5027</v>
      </c>
      <c r="D5900" t="str">
        <f>HYPERLINK("http://service.sap.com/sap/support/notes/1551804","1551804")</f>
        <v>1551804</v>
      </c>
      <c r="E5900">
        <v>2</v>
      </c>
      <c r="F5900" t="s">
        <v>7357</v>
      </c>
    </row>
    <row r="5901" spans="1:6" x14ac:dyDescent="0.25">
      <c r="A5901" t="s">
        <v>6077</v>
      </c>
      <c r="B5901" t="s">
        <v>1157</v>
      </c>
      <c r="C5901" t="s">
        <v>1158</v>
      </c>
      <c r="D5901" t="str">
        <f>HYPERLINK("http://service.sap.com/sap/support/notes/1664632","1664632")</f>
        <v>1664632</v>
      </c>
      <c r="E5901">
        <v>1</v>
      </c>
      <c r="F5901" t="s">
        <v>7358</v>
      </c>
    </row>
    <row r="5902" spans="1:6" x14ac:dyDescent="0.25">
      <c r="A5902" t="s">
        <v>6077</v>
      </c>
      <c r="B5902" t="s">
        <v>1159</v>
      </c>
      <c r="C5902" t="s">
        <v>1160</v>
      </c>
    </row>
    <row r="5903" spans="1:6" x14ac:dyDescent="0.25">
      <c r="A5903" t="s">
        <v>6077</v>
      </c>
      <c r="B5903" t="s">
        <v>5042</v>
      </c>
      <c r="C5903" t="s">
        <v>5043</v>
      </c>
      <c r="D5903" t="str">
        <f>HYPERLINK("http://service.sap.com/sap/support/notes/1677749","1677749")</f>
        <v>1677749</v>
      </c>
      <c r="E5903">
        <v>2</v>
      </c>
      <c r="F5903" t="s">
        <v>7359</v>
      </c>
    </row>
    <row r="5904" spans="1:6" x14ac:dyDescent="0.25">
      <c r="A5904" t="s">
        <v>6077</v>
      </c>
      <c r="B5904" t="s">
        <v>1164</v>
      </c>
      <c r="C5904" t="s">
        <v>1165</v>
      </c>
    </row>
    <row r="5905" spans="1:6" x14ac:dyDescent="0.25">
      <c r="A5905" t="s">
        <v>6077</v>
      </c>
      <c r="B5905" t="s">
        <v>1170</v>
      </c>
      <c r="C5905" t="s">
        <v>1171</v>
      </c>
      <c r="D5905" t="str">
        <f>HYPERLINK("http://service.sap.com/sap/support/notes/1671955","1671955")</f>
        <v>1671955</v>
      </c>
      <c r="E5905">
        <v>2</v>
      </c>
      <c r="F5905" t="s">
        <v>7360</v>
      </c>
    </row>
    <row r="5906" spans="1:6" x14ac:dyDescent="0.25">
      <c r="A5906" t="s">
        <v>6077</v>
      </c>
      <c r="B5906" t="s">
        <v>7361</v>
      </c>
      <c r="C5906" t="s">
        <v>7362</v>
      </c>
      <c r="D5906" t="str">
        <f>HYPERLINK("http://service.sap.com/sap/support/notes/1671370","1671370")</f>
        <v>1671370</v>
      </c>
      <c r="E5906">
        <v>2</v>
      </c>
      <c r="F5906" t="s">
        <v>7363</v>
      </c>
    </row>
    <row r="5907" spans="1:6" x14ac:dyDescent="0.25">
      <c r="A5907" t="s">
        <v>6077</v>
      </c>
      <c r="B5907" t="s">
        <v>5057</v>
      </c>
      <c r="C5907" t="s">
        <v>5058</v>
      </c>
      <c r="D5907" t="str">
        <f>HYPERLINK("http://service.sap.com/sap/support/notes/1685039","1685039")</f>
        <v>1685039</v>
      </c>
      <c r="E5907">
        <v>3</v>
      </c>
      <c r="F5907" t="s">
        <v>7364</v>
      </c>
    </row>
    <row r="5908" spans="1:6" x14ac:dyDescent="0.25">
      <c r="A5908" t="s">
        <v>6077</v>
      </c>
      <c r="B5908" t="s">
        <v>1173</v>
      </c>
      <c r="C5908" t="s">
        <v>1174</v>
      </c>
      <c r="D5908" t="str">
        <f>HYPERLINK("http://service.sap.com/sap/support/notes/1674386","1674386")</f>
        <v>1674386</v>
      </c>
      <c r="E5908">
        <v>2</v>
      </c>
      <c r="F5908" t="s">
        <v>7365</v>
      </c>
    </row>
    <row r="5909" spans="1:6" x14ac:dyDescent="0.25">
      <c r="A5909" t="s">
        <v>6077</v>
      </c>
      <c r="B5909" t="s">
        <v>1173</v>
      </c>
      <c r="C5909" t="s">
        <v>1174</v>
      </c>
      <c r="D5909" t="str">
        <f>HYPERLINK("http://service.sap.com/sap/support/notes/1676564","1676564")</f>
        <v>1676564</v>
      </c>
      <c r="E5909">
        <v>2</v>
      </c>
      <c r="F5909" t="s">
        <v>7366</v>
      </c>
    </row>
    <row r="5910" spans="1:6" x14ac:dyDescent="0.25">
      <c r="A5910" t="s">
        <v>6077</v>
      </c>
      <c r="B5910" t="s">
        <v>1173</v>
      </c>
      <c r="C5910" t="s">
        <v>1174</v>
      </c>
      <c r="D5910" t="str">
        <f>HYPERLINK("http://service.sap.com/sap/support/notes/1687321","1687321")</f>
        <v>1687321</v>
      </c>
      <c r="E5910">
        <v>3</v>
      </c>
      <c r="F5910" t="s">
        <v>7367</v>
      </c>
    </row>
    <row r="5911" spans="1:6" x14ac:dyDescent="0.25">
      <c r="A5911" t="s">
        <v>6077</v>
      </c>
      <c r="B5911" t="s">
        <v>1176</v>
      </c>
      <c r="C5911" t="s">
        <v>1177</v>
      </c>
    </row>
    <row r="5912" spans="1:6" x14ac:dyDescent="0.25">
      <c r="A5912" t="s">
        <v>6077</v>
      </c>
      <c r="B5912" t="s">
        <v>1178</v>
      </c>
      <c r="C5912" t="s">
        <v>1179</v>
      </c>
      <c r="D5912" t="str">
        <f>HYPERLINK("http://service.sap.com/sap/support/notes/1682043","1682043")</f>
        <v>1682043</v>
      </c>
      <c r="E5912">
        <v>2</v>
      </c>
      <c r="F5912" t="s">
        <v>7368</v>
      </c>
    </row>
    <row r="5913" spans="1:6" x14ac:dyDescent="0.25">
      <c r="A5913" t="s">
        <v>6077</v>
      </c>
      <c r="B5913" t="s">
        <v>7369</v>
      </c>
      <c r="C5913" t="s">
        <v>7370</v>
      </c>
      <c r="D5913" t="str">
        <f>HYPERLINK("http://service.sap.com/sap/support/notes/1673895","1673895")</f>
        <v>1673895</v>
      </c>
      <c r="E5913">
        <v>3</v>
      </c>
      <c r="F5913" t="s">
        <v>7371</v>
      </c>
    </row>
    <row r="5914" spans="1:6" x14ac:dyDescent="0.25">
      <c r="A5914" t="s">
        <v>6077</v>
      </c>
      <c r="B5914" t="s">
        <v>1181</v>
      </c>
      <c r="C5914" t="s">
        <v>1182</v>
      </c>
      <c r="D5914" t="str">
        <f>HYPERLINK("http://service.sap.com/sap/support/notes/1660469","1660469")</f>
        <v>1660469</v>
      </c>
      <c r="E5914">
        <v>2</v>
      </c>
      <c r="F5914" t="s">
        <v>7372</v>
      </c>
    </row>
    <row r="5915" spans="1:6" x14ac:dyDescent="0.25">
      <c r="A5915" t="s">
        <v>6077</v>
      </c>
      <c r="B5915" t="s">
        <v>1181</v>
      </c>
      <c r="C5915" t="s">
        <v>1182</v>
      </c>
      <c r="D5915" t="str">
        <f>HYPERLINK("http://service.sap.com/sap/support/notes/1669929","1669929")</f>
        <v>1669929</v>
      </c>
      <c r="E5915">
        <v>4</v>
      </c>
      <c r="F5915" t="s">
        <v>7373</v>
      </c>
    </row>
    <row r="5916" spans="1:6" x14ac:dyDescent="0.25">
      <c r="A5916" t="s">
        <v>6077</v>
      </c>
      <c r="B5916" t="s">
        <v>1181</v>
      </c>
      <c r="C5916" t="s">
        <v>1182</v>
      </c>
      <c r="D5916" t="str">
        <f>HYPERLINK("http://service.sap.com/sap/support/notes/1677690","1677690")</f>
        <v>1677690</v>
      </c>
      <c r="E5916">
        <v>3</v>
      </c>
      <c r="F5916" t="s">
        <v>7374</v>
      </c>
    </row>
    <row r="5917" spans="1:6" x14ac:dyDescent="0.25">
      <c r="A5917" t="s">
        <v>6077</v>
      </c>
      <c r="B5917" t="s">
        <v>1181</v>
      </c>
      <c r="C5917" t="s">
        <v>1182</v>
      </c>
      <c r="D5917" t="str">
        <f>HYPERLINK("http://service.sap.com/sap/support/notes/1682578","1682578")</f>
        <v>1682578</v>
      </c>
      <c r="E5917">
        <v>1</v>
      </c>
      <c r="F5917" t="s">
        <v>7375</v>
      </c>
    </row>
    <row r="5918" spans="1:6" x14ac:dyDescent="0.25">
      <c r="A5918" t="s">
        <v>6077</v>
      </c>
      <c r="B5918" t="s">
        <v>5087</v>
      </c>
      <c r="C5918" t="s">
        <v>5088</v>
      </c>
    </row>
    <row r="5919" spans="1:6" x14ac:dyDescent="0.25">
      <c r="A5919" t="s">
        <v>6077</v>
      </c>
      <c r="B5919" t="s">
        <v>7376</v>
      </c>
      <c r="C5919" t="s">
        <v>7377</v>
      </c>
      <c r="D5919" t="str">
        <f>HYPERLINK("http://service.sap.com/sap/support/notes/1684155","1684155")</f>
        <v>1684155</v>
      </c>
      <c r="E5919">
        <v>1</v>
      </c>
      <c r="F5919" t="s">
        <v>7378</v>
      </c>
    </row>
    <row r="5920" spans="1:6" x14ac:dyDescent="0.25">
      <c r="A5920" t="s">
        <v>6077</v>
      </c>
      <c r="B5920" t="s">
        <v>5099</v>
      </c>
      <c r="C5920" t="s">
        <v>5100</v>
      </c>
    </row>
    <row r="5921" spans="1:6" x14ac:dyDescent="0.25">
      <c r="A5921" t="s">
        <v>6077</v>
      </c>
      <c r="B5921" t="s">
        <v>7379</v>
      </c>
      <c r="C5921" t="s">
        <v>7380</v>
      </c>
      <c r="D5921" t="str">
        <f>HYPERLINK("http://service.sap.com/sap/support/notes/1694224","1694224")</f>
        <v>1694224</v>
      </c>
      <c r="E5921">
        <v>1</v>
      </c>
      <c r="F5921" t="s">
        <v>7381</v>
      </c>
    </row>
    <row r="5922" spans="1:6" x14ac:dyDescent="0.25">
      <c r="A5922" t="s">
        <v>6077</v>
      </c>
      <c r="B5922" t="s">
        <v>5101</v>
      </c>
      <c r="C5922" t="s">
        <v>234</v>
      </c>
      <c r="D5922" t="str">
        <f>HYPERLINK("http://service.sap.com/sap/support/notes/1688812","1688812")</f>
        <v>1688812</v>
      </c>
      <c r="E5922">
        <v>1</v>
      </c>
      <c r="F5922" t="s">
        <v>7382</v>
      </c>
    </row>
    <row r="5923" spans="1:6" x14ac:dyDescent="0.25">
      <c r="A5923" t="s">
        <v>6077</v>
      </c>
      <c r="B5923" t="s">
        <v>5103</v>
      </c>
      <c r="C5923" t="s">
        <v>5104</v>
      </c>
    </row>
    <row r="5924" spans="1:6" x14ac:dyDescent="0.25">
      <c r="A5924" t="s">
        <v>6077</v>
      </c>
      <c r="B5924" t="s">
        <v>7383</v>
      </c>
      <c r="C5924" t="s">
        <v>7384</v>
      </c>
      <c r="D5924" t="str">
        <f>HYPERLINK("http://service.sap.com/sap/support/notes/1674728","1674728")</f>
        <v>1674728</v>
      </c>
      <c r="E5924">
        <v>1</v>
      </c>
      <c r="F5924" t="s">
        <v>7385</v>
      </c>
    </row>
    <row r="5925" spans="1:6" x14ac:dyDescent="0.25">
      <c r="A5925" t="s">
        <v>6077</v>
      </c>
      <c r="B5925" t="s">
        <v>28</v>
      </c>
      <c r="C5925" t="s">
        <v>29</v>
      </c>
    </row>
    <row r="5926" spans="1:6" x14ac:dyDescent="0.25">
      <c r="A5926" t="s">
        <v>6077</v>
      </c>
      <c r="B5926" t="s">
        <v>30</v>
      </c>
      <c r="C5926" t="s">
        <v>31</v>
      </c>
    </row>
    <row r="5927" spans="1:6" x14ac:dyDescent="0.25">
      <c r="A5927" t="s">
        <v>6077</v>
      </c>
      <c r="B5927" t="s">
        <v>5108</v>
      </c>
      <c r="C5927" t="s">
        <v>7386</v>
      </c>
    </row>
    <row r="5928" spans="1:6" x14ac:dyDescent="0.25">
      <c r="A5928" t="s">
        <v>6077</v>
      </c>
      <c r="B5928" t="s">
        <v>5113</v>
      </c>
      <c r="C5928" t="s">
        <v>337</v>
      </c>
    </row>
    <row r="5929" spans="1:6" x14ac:dyDescent="0.25">
      <c r="A5929" t="s">
        <v>6077</v>
      </c>
      <c r="B5929" t="s">
        <v>5114</v>
      </c>
      <c r="C5929" t="s">
        <v>5115</v>
      </c>
      <c r="D5929" t="str">
        <f>HYPERLINK("http://service.sap.com/sap/support/notes/1233100","1233100")</f>
        <v>1233100</v>
      </c>
      <c r="E5929">
        <v>4</v>
      </c>
      <c r="F5929" t="s">
        <v>7387</v>
      </c>
    </row>
    <row r="5930" spans="1:6" x14ac:dyDescent="0.25">
      <c r="A5930" t="s">
        <v>6077</v>
      </c>
      <c r="B5930" t="s">
        <v>32</v>
      </c>
      <c r="C5930" t="s">
        <v>33</v>
      </c>
      <c r="D5930" t="str">
        <f>HYPERLINK("http://service.sap.com/sap/support/notes/1675471","1675471")</f>
        <v>1675471</v>
      </c>
      <c r="E5930">
        <v>2</v>
      </c>
      <c r="F5930" t="s">
        <v>7388</v>
      </c>
    </row>
    <row r="5931" spans="1:6" x14ac:dyDescent="0.25">
      <c r="A5931" t="s">
        <v>6077</v>
      </c>
      <c r="B5931" t="s">
        <v>5146</v>
      </c>
      <c r="C5931" t="s">
        <v>5147</v>
      </c>
      <c r="D5931" t="str">
        <f>HYPERLINK("http://service.sap.com/sap/support/notes/1471608","1471608")</f>
        <v>1471608</v>
      </c>
      <c r="E5931">
        <v>5</v>
      </c>
      <c r="F5931" t="s">
        <v>7389</v>
      </c>
    </row>
    <row r="5932" spans="1:6" x14ac:dyDescent="0.25">
      <c r="A5932" t="s">
        <v>6077</v>
      </c>
      <c r="B5932" t="s">
        <v>5146</v>
      </c>
      <c r="C5932" t="s">
        <v>5147</v>
      </c>
      <c r="D5932" t="str">
        <f>HYPERLINK("http://service.sap.com/sap/support/notes/1675007","1675007")</f>
        <v>1675007</v>
      </c>
      <c r="E5932">
        <v>1</v>
      </c>
      <c r="F5932" t="s">
        <v>7390</v>
      </c>
    </row>
    <row r="5933" spans="1:6" x14ac:dyDescent="0.25">
      <c r="A5933" t="s">
        <v>6077</v>
      </c>
      <c r="B5933" t="s">
        <v>5155</v>
      </c>
      <c r="C5933" t="s">
        <v>5156</v>
      </c>
      <c r="D5933" t="str">
        <f>HYPERLINK("http://service.sap.com/sap/support/notes/1677788","1677788")</f>
        <v>1677788</v>
      </c>
      <c r="E5933">
        <v>2</v>
      </c>
      <c r="F5933" t="s">
        <v>7391</v>
      </c>
    </row>
    <row r="5934" spans="1:6" x14ac:dyDescent="0.25">
      <c r="A5934" t="s">
        <v>6077</v>
      </c>
      <c r="B5934" t="s">
        <v>5155</v>
      </c>
      <c r="C5934" t="s">
        <v>5156</v>
      </c>
      <c r="D5934" t="str">
        <f>HYPERLINK("http://service.sap.com/sap/support/notes/1680487","1680487")</f>
        <v>1680487</v>
      </c>
      <c r="E5934">
        <v>2</v>
      </c>
      <c r="F5934" t="s">
        <v>7392</v>
      </c>
    </row>
    <row r="5935" spans="1:6" x14ac:dyDescent="0.25">
      <c r="A5935" t="s">
        <v>6077</v>
      </c>
      <c r="B5935" t="s">
        <v>5155</v>
      </c>
      <c r="C5935" t="s">
        <v>5156</v>
      </c>
      <c r="D5935" t="str">
        <f>HYPERLINK("http://service.sap.com/sap/support/notes/1688025","1688025")</f>
        <v>1688025</v>
      </c>
      <c r="E5935">
        <v>2</v>
      </c>
      <c r="F5935" t="s">
        <v>7393</v>
      </c>
    </row>
    <row r="5936" spans="1:6" x14ac:dyDescent="0.25">
      <c r="A5936" t="s">
        <v>6077</v>
      </c>
      <c r="B5936" t="s">
        <v>5155</v>
      </c>
      <c r="C5936" t="s">
        <v>5156</v>
      </c>
      <c r="D5936" t="str">
        <f>HYPERLINK("http://service.sap.com/sap/support/notes/1695001","1695001")</f>
        <v>1695001</v>
      </c>
      <c r="E5936">
        <v>2</v>
      </c>
      <c r="F5936" t="s">
        <v>7394</v>
      </c>
    </row>
    <row r="5937" spans="1:6" x14ac:dyDescent="0.25">
      <c r="A5937" t="s">
        <v>6077</v>
      </c>
      <c r="B5937" t="s">
        <v>34</v>
      </c>
      <c r="C5937" t="s">
        <v>14</v>
      </c>
    </row>
    <row r="5938" spans="1:6" x14ac:dyDescent="0.25">
      <c r="A5938" t="s">
        <v>6077</v>
      </c>
      <c r="B5938" t="s">
        <v>7395</v>
      </c>
      <c r="C5938" t="s">
        <v>7396</v>
      </c>
      <c r="D5938" t="str">
        <f>HYPERLINK("http://service.sap.com/sap/support/notes/1694329","1694329")</f>
        <v>1694329</v>
      </c>
      <c r="E5938">
        <v>2</v>
      </c>
      <c r="F5938" t="s">
        <v>7397</v>
      </c>
    </row>
    <row r="5939" spans="1:6" x14ac:dyDescent="0.25">
      <c r="A5939" t="s">
        <v>6077</v>
      </c>
      <c r="B5939" t="s">
        <v>35</v>
      </c>
      <c r="C5939" t="s">
        <v>1187</v>
      </c>
      <c r="D5939" t="str">
        <f>HYPERLINK("http://service.sap.com/sap/support/notes/1675254","1675254")</f>
        <v>1675254</v>
      </c>
      <c r="E5939">
        <v>2</v>
      </c>
      <c r="F5939" t="s">
        <v>7398</v>
      </c>
    </row>
    <row r="5940" spans="1:6" x14ac:dyDescent="0.25">
      <c r="A5940" t="s">
        <v>6077</v>
      </c>
      <c r="B5940" t="s">
        <v>35</v>
      </c>
      <c r="C5940" t="s">
        <v>1187</v>
      </c>
      <c r="D5940" t="str">
        <f>HYPERLINK("http://service.sap.com/sap/support/notes/1682533","1682533")</f>
        <v>1682533</v>
      </c>
      <c r="E5940">
        <v>3</v>
      </c>
      <c r="F5940" t="s">
        <v>7399</v>
      </c>
    </row>
    <row r="5941" spans="1:6" x14ac:dyDescent="0.25">
      <c r="A5941" t="s">
        <v>6077</v>
      </c>
      <c r="B5941" t="s">
        <v>35</v>
      </c>
      <c r="C5941" t="s">
        <v>1187</v>
      </c>
      <c r="D5941" t="str">
        <f>HYPERLINK("http://service.sap.com/sap/support/notes/1688864","1688864")</f>
        <v>1688864</v>
      </c>
      <c r="E5941">
        <v>1</v>
      </c>
      <c r="F5941" t="s">
        <v>7400</v>
      </c>
    </row>
    <row r="5942" spans="1:6" x14ac:dyDescent="0.25">
      <c r="A5942" t="s">
        <v>6077</v>
      </c>
      <c r="B5942" t="s">
        <v>35</v>
      </c>
      <c r="C5942" t="s">
        <v>1187</v>
      </c>
      <c r="D5942" t="str">
        <f>HYPERLINK("http://service.sap.com/sap/support/notes/1691929","1691929")</f>
        <v>1691929</v>
      </c>
      <c r="E5942">
        <v>2</v>
      </c>
      <c r="F5942" t="s">
        <v>7401</v>
      </c>
    </row>
    <row r="5943" spans="1:6" x14ac:dyDescent="0.25">
      <c r="A5943" t="s">
        <v>6077</v>
      </c>
      <c r="B5943" t="s">
        <v>35</v>
      </c>
      <c r="C5943" t="s">
        <v>1187</v>
      </c>
      <c r="D5943" t="str">
        <f>HYPERLINK("http://service.sap.com/sap/support/notes/1693276","1693276")</f>
        <v>1693276</v>
      </c>
      <c r="E5943">
        <v>3</v>
      </c>
      <c r="F5943" t="s">
        <v>7402</v>
      </c>
    </row>
    <row r="5944" spans="1:6" x14ac:dyDescent="0.25">
      <c r="A5944" t="s">
        <v>6077</v>
      </c>
      <c r="B5944" t="s">
        <v>35</v>
      </c>
      <c r="C5944" t="s">
        <v>1187</v>
      </c>
      <c r="D5944" t="str">
        <f>HYPERLINK("http://service.sap.com/sap/support/notes/1693782","1693782")</f>
        <v>1693782</v>
      </c>
      <c r="E5944">
        <v>2</v>
      </c>
      <c r="F5944" t="s">
        <v>7403</v>
      </c>
    </row>
    <row r="5945" spans="1:6" x14ac:dyDescent="0.25">
      <c r="A5945" t="s">
        <v>6077</v>
      </c>
      <c r="B5945" t="s">
        <v>5203</v>
      </c>
      <c r="C5945" t="s">
        <v>5204</v>
      </c>
      <c r="D5945" t="str">
        <f>HYPERLINK("http://service.sap.com/sap/support/notes/1502807","1502807")</f>
        <v>1502807</v>
      </c>
      <c r="E5945">
        <v>2</v>
      </c>
      <c r="F5945" t="s">
        <v>7404</v>
      </c>
    </row>
    <row r="5946" spans="1:6" x14ac:dyDescent="0.25">
      <c r="A5946" t="s">
        <v>6077</v>
      </c>
      <c r="B5946" t="s">
        <v>5207</v>
      </c>
      <c r="C5946" t="s">
        <v>7405</v>
      </c>
    </row>
    <row r="5947" spans="1:6" x14ac:dyDescent="0.25">
      <c r="A5947" t="s">
        <v>6077</v>
      </c>
      <c r="B5947" t="s">
        <v>5215</v>
      </c>
      <c r="C5947" t="s">
        <v>961</v>
      </c>
      <c r="D5947" t="str">
        <f>HYPERLINK("http://service.sap.com/sap/support/notes/1624889","1624889")</f>
        <v>1624889</v>
      </c>
      <c r="E5947">
        <v>2</v>
      </c>
      <c r="F5947" t="s">
        <v>7406</v>
      </c>
    </row>
    <row r="5948" spans="1:6" x14ac:dyDescent="0.25">
      <c r="A5948" t="s">
        <v>6077</v>
      </c>
      <c r="B5948" t="s">
        <v>5225</v>
      </c>
      <c r="C5948" t="s">
        <v>170</v>
      </c>
      <c r="D5948" t="str">
        <f>HYPERLINK("http://service.sap.com/sap/support/notes/1675570","1675570")</f>
        <v>1675570</v>
      </c>
      <c r="E5948">
        <v>2</v>
      </c>
      <c r="F5948" t="s">
        <v>7407</v>
      </c>
    </row>
    <row r="5949" spans="1:6" x14ac:dyDescent="0.25">
      <c r="A5949" t="s">
        <v>6077</v>
      </c>
      <c r="B5949" t="s">
        <v>5225</v>
      </c>
      <c r="C5949" t="s">
        <v>170</v>
      </c>
      <c r="D5949" t="str">
        <f>HYPERLINK("http://service.sap.com/sap/support/notes/1681540","1681540")</f>
        <v>1681540</v>
      </c>
      <c r="E5949">
        <v>1</v>
      </c>
      <c r="F5949" t="s">
        <v>7408</v>
      </c>
    </row>
    <row r="5950" spans="1:6" x14ac:dyDescent="0.25">
      <c r="A5950" t="s">
        <v>6077</v>
      </c>
      <c r="B5950" t="s">
        <v>5231</v>
      </c>
      <c r="C5950" t="s">
        <v>5232</v>
      </c>
      <c r="D5950" t="str">
        <f>HYPERLINK("http://service.sap.com/sap/support/notes/1146410","1146410")</f>
        <v>1146410</v>
      </c>
      <c r="E5950">
        <v>6</v>
      </c>
      <c r="F5950" t="s">
        <v>7409</v>
      </c>
    </row>
    <row r="5951" spans="1:6" x14ac:dyDescent="0.25">
      <c r="A5951" t="s">
        <v>6077</v>
      </c>
      <c r="B5951" t="s">
        <v>7410</v>
      </c>
      <c r="C5951" t="s">
        <v>7411</v>
      </c>
      <c r="D5951" t="str">
        <f>HYPERLINK("http://service.sap.com/sap/support/notes/1679668","1679668")</f>
        <v>1679668</v>
      </c>
      <c r="E5951">
        <v>2</v>
      </c>
      <c r="F5951" t="s">
        <v>7412</v>
      </c>
    </row>
    <row r="5952" spans="1:6" x14ac:dyDescent="0.25">
      <c r="A5952" t="s">
        <v>6077</v>
      </c>
      <c r="B5952" t="s">
        <v>1216</v>
      </c>
      <c r="C5952" t="s">
        <v>1217</v>
      </c>
    </row>
    <row r="5953" spans="1:6" x14ac:dyDescent="0.25">
      <c r="A5953" t="s">
        <v>6077</v>
      </c>
      <c r="B5953" t="s">
        <v>1218</v>
      </c>
      <c r="C5953" t="s">
        <v>1219</v>
      </c>
      <c r="D5953" t="str">
        <f>HYPERLINK("http://service.sap.com/sap/support/notes/1626926","1626926")</f>
        <v>1626926</v>
      </c>
      <c r="E5953">
        <v>2</v>
      </c>
      <c r="F5953" t="s">
        <v>7413</v>
      </c>
    </row>
    <row r="5954" spans="1:6" x14ac:dyDescent="0.25">
      <c r="A5954" t="s">
        <v>6077</v>
      </c>
      <c r="B5954" t="s">
        <v>1218</v>
      </c>
      <c r="C5954" t="s">
        <v>1219</v>
      </c>
      <c r="D5954" t="str">
        <f>HYPERLINK("http://service.sap.com/sap/support/notes/1654241","1654241")</f>
        <v>1654241</v>
      </c>
      <c r="E5954">
        <v>3</v>
      </c>
      <c r="F5954" t="s">
        <v>7414</v>
      </c>
    </row>
    <row r="5955" spans="1:6" x14ac:dyDescent="0.25">
      <c r="A5955" t="s">
        <v>6077</v>
      </c>
      <c r="B5955" t="s">
        <v>1218</v>
      </c>
      <c r="C5955" t="s">
        <v>1219</v>
      </c>
      <c r="D5955" t="str">
        <f>HYPERLINK("http://service.sap.com/sap/support/notes/1669791","1669791")</f>
        <v>1669791</v>
      </c>
      <c r="E5955">
        <v>2</v>
      </c>
      <c r="F5955" t="s">
        <v>7415</v>
      </c>
    </row>
    <row r="5956" spans="1:6" x14ac:dyDescent="0.25">
      <c r="A5956" t="s">
        <v>6077</v>
      </c>
      <c r="B5956" t="s">
        <v>1218</v>
      </c>
      <c r="C5956" t="s">
        <v>1219</v>
      </c>
      <c r="D5956" t="str">
        <f>HYPERLINK("http://service.sap.com/sap/support/notes/1675198","1675198")</f>
        <v>1675198</v>
      </c>
      <c r="E5956">
        <v>2</v>
      </c>
      <c r="F5956" t="s">
        <v>7416</v>
      </c>
    </row>
    <row r="5957" spans="1:6" x14ac:dyDescent="0.25">
      <c r="A5957" t="s">
        <v>6077</v>
      </c>
      <c r="B5957" t="s">
        <v>1218</v>
      </c>
      <c r="C5957" t="s">
        <v>1219</v>
      </c>
      <c r="D5957" t="str">
        <f>HYPERLINK("http://service.sap.com/sap/support/notes/1675241","1675241")</f>
        <v>1675241</v>
      </c>
      <c r="E5957">
        <v>2</v>
      </c>
      <c r="F5957" t="s">
        <v>7417</v>
      </c>
    </row>
    <row r="5958" spans="1:6" x14ac:dyDescent="0.25">
      <c r="A5958" t="s">
        <v>6077</v>
      </c>
      <c r="B5958" t="s">
        <v>1218</v>
      </c>
      <c r="C5958" t="s">
        <v>1219</v>
      </c>
      <c r="D5958" t="str">
        <f>HYPERLINK("http://service.sap.com/sap/support/notes/1675283","1675283")</f>
        <v>1675283</v>
      </c>
      <c r="E5958">
        <v>1</v>
      </c>
      <c r="F5958" t="s">
        <v>7418</v>
      </c>
    </row>
    <row r="5959" spans="1:6" x14ac:dyDescent="0.25">
      <c r="A5959" t="s">
        <v>6077</v>
      </c>
      <c r="B5959" t="s">
        <v>1218</v>
      </c>
      <c r="C5959" t="s">
        <v>1219</v>
      </c>
      <c r="D5959" t="str">
        <f>HYPERLINK("http://service.sap.com/sap/support/notes/1677251","1677251")</f>
        <v>1677251</v>
      </c>
      <c r="E5959">
        <v>2</v>
      </c>
      <c r="F5959" t="s">
        <v>7419</v>
      </c>
    </row>
    <row r="5960" spans="1:6" x14ac:dyDescent="0.25">
      <c r="A5960" t="s">
        <v>6077</v>
      </c>
      <c r="B5960" t="s">
        <v>1218</v>
      </c>
      <c r="C5960" t="s">
        <v>1219</v>
      </c>
      <c r="D5960" t="str">
        <f>HYPERLINK("http://service.sap.com/sap/support/notes/1678796","1678796")</f>
        <v>1678796</v>
      </c>
      <c r="E5960">
        <v>1</v>
      </c>
      <c r="F5960" t="s">
        <v>7420</v>
      </c>
    </row>
    <row r="5961" spans="1:6" x14ac:dyDescent="0.25">
      <c r="A5961" t="s">
        <v>6077</v>
      </c>
      <c r="B5961" t="s">
        <v>1218</v>
      </c>
      <c r="C5961" t="s">
        <v>1219</v>
      </c>
      <c r="D5961" t="str">
        <f>HYPERLINK("http://service.sap.com/sap/support/notes/1681474","1681474")</f>
        <v>1681474</v>
      </c>
      <c r="E5961">
        <v>5</v>
      </c>
      <c r="F5961" t="s">
        <v>7421</v>
      </c>
    </row>
    <row r="5962" spans="1:6" x14ac:dyDescent="0.25">
      <c r="A5962" t="s">
        <v>6077</v>
      </c>
      <c r="B5962" t="s">
        <v>1218</v>
      </c>
      <c r="C5962" t="s">
        <v>1219</v>
      </c>
      <c r="D5962" t="str">
        <f>HYPERLINK("http://service.sap.com/sap/support/notes/1682346","1682346")</f>
        <v>1682346</v>
      </c>
      <c r="E5962">
        <v>1</v>
      </c>
      <c r="F5962" t="s">
        <v>7422</v>
      </c>
    </row>
    <row r="5963" spans="1:6" x14ac:dyDescent="0.25">
      <c r="A5963" t="s">
        <v>6077</v>
      </c>
      <c r="B5963" t="s">
        <v>1218</v>
      </c>
      <c r="C5963" t="s">
        <v>1219</v>
      </c>
      <c r="D5963" t="str">
        <f>HYPERLINK("http://service.sap.com/sap/support/notes/1692031","1692031")</f>
        <v>1692031</v>
      </c>
      <c r="E5963">
        <v>2</v>
      </c>
      <c r="F5963" t="s">
        <v>7423</v>
      </c>
    </row>
    <row r="5964" spans="1:6" x14ac:dyDescent="0.25">
      <c r="A5964" t="s">
        <v>6077</v>
      </c>
      <c r="B5964" t="s">
        <v>5260</v>
      </c>
      <c r="C5964" t="s">
        <v>33</v>
      </c>
      <c r="D5964" t="str">
        <f>HYPERLINK("http://service.sap.com/sap/support/notes/1665024","1665024")</f>
        <v>1665024</v>
      </c>
      <c r="E5964">
        <v>2</v>
      </c>
      <c r="F5964" t="s">
        <v>7424</v>
      </c>
    </row>
    <row r="5965" spans="1:6" x14ac:dyDescent="0.25">
      <c r="A5965" t="s">
        <v>6077</v>
      </c>
      <c r="B5965" t="s">
        <v>5260</v>
      </c>
      <c r="C5965" t="s">
        <v>33</v>
      </c>
      <c r="D5965" t="str">
        <f>HYPERLINK("http://service.sap.com/sap/support/notes/1693713","1693713")</f>
        <v>1693713</v>
      </c>
      <c r="E5965">
        <v>2</v>
      </c>
      <c r="F5965" t="s">
        <v>7425</v>
      </c>
    </row>
    <row r="5966" spans="1:6" x14ac:dyDescent="0.25">
      <c r="A5966" t="s">
        <v>6077</v>
      </c>
      <c r="B5966" t="s">
        <v>1227</v>
      </c>
      <c r="C5966" t="s">
        <v>1228</v>
      </c>
    </row>
    <row r="5967" spans="1:6" x14ac:dyDescent="0.25">
      <c r="A5967" t="s">
        <v>6077</v>
      </c>
      <c r="B5967" t="s">
        <v>1232</v>
      </c>
      <c r="C5967" t="s">
        <v>1233</v>
      </c>
      <c r="D5967" t="str">
        <f>HYPERLINK("http://service.sap.com/sap/support/notes/1679274","1679274")</f>
        <v>1679274</v>
      </c>
      <c r="E5967">
        <v>2</v>
      </c>
      <c r="F5967" t="s">
        <v>7426</v>
      </c>
    </row>
    <row r="5968" spans="1:6" x14ac:dyDescent="0.25">
      <c r="A5968" t="s">
        <v>6077</v>
      </c>
      <c r="B5968" t="s">
        <v>1232</v>
      </c>
      <c r="C5968" t="s">
        <v>1233</v>
      </c>
      <c r="D5968" t="str">
        <f>HYPERLINK("http://service.sap.com/sap/support/notes/1681757","1681757")</f>
        <v>1681757</v>
      </c>
      <c r="E5968">
        <v>1</v>
      </c>
      <c r="F5968" t="s">
        <v>7427</v>
      </c>
    </row>
    <row r="5969" spans="1:6" x14ac:dyDescent="0.25">
      <c r="A5969" t="s">
        <v>6077</v>
      </c>
      <c r="B5969" t="s">
        <v>1232</v>
      </c>
      <c r="C5969" t="s">
        <v>1233</v>
      </c>
      <c r="D5969" t="str">
        <f>HYPERLINK("http://service.sap.com/sap/support/notes/1682077","1682077")</f>
        <v>1682077</v>
      </c>
      <c r="E5969">
        <v>1</v>
      </c>
      <c r="F5969" t="s">
        <v>7428</v>
      </c>
    </row>
    <row r="5970" spans="1:6" x14ac:dyDescent="0.25">
      <c r="A5970" t="s">
        <v>6077</v>
      </c>
      <c r="B5970" t="s">
        <v>1232</v>
      </c>
      <c r="C5970" t="s">
        <v>1233</v>
      </c>
      <c r="D5970" t="str">
        <f>HYPERLINK("http://service.sap.com/sap/support/notes/1687445","1687445")</f>
        <v>1687445</v>
      </c>
      <c r="E5970">
        <v>3</v>
      </c>
      <c r="F5970" t="s">
        <v>7429</v>
      </c>
    </row>
    <row r="5971" spans="1:6" x14ac:dyDescent="0.25">
      <c r="A5971" t="s">
        <v>6077</v>
      </c>
      <c r="B5971" t="s">
        <v>7430</v>
      </c>
      <c r="C5971" t="s">
        <v>1627</v>
      </c>
      <c r="D5971" t="str">
        <f>HYPERLINK("http://service.sap.com/sap/support/notes/1686297","1686297")</f>
        <v>1686297</v>
      </c>
      <c r="E5971">
        <v>1</v>
      </c>
      <c r="F5971" t="s">
        <v>7431</v>
      </c>
    </row>
    <row r="5972" spans="1:6" x14ac:dyDescent="0.25">
      <c r="A5972" t="s">
        <v>6077</v>
      </c>
      <c r="B5972" t="s">
        <v>1236</v>
      </c>
      <c r="C5972" t="s">
        <v>168</v>
      </c>
    </row>
    <row r="5973" spans="1:6" x14ac:dyDescent="0.25">
      <c r="A5973" t="s">
        <v>6077</v>
      </c>
      <c r="B5973" t="s">
        <v>1237</v>
      </c>
      <c r="C5973" t="s">
        <v>337</v>
      </c>
    </row>
    <row r="5974" spans="1:6" x14ac:dyDescent="0.25">
      <c r="A5974" t="s">
        <v>6077</v>
      </c>
      <c r="B5974" t="s">
        <v>1238</v>
      </c>
      <c r="C5974" t="s">
        <v>1239</v>
      </c>
      <c r="D5974" t="str">
        <f>HYPERLINK("http://service.sap.com/sap/support/notes/1556114","1556114")</f>
        <v>1556114</v>
      </c>
      <c r="E5974">
        <v>4</v>
      </c>
      <c r="F5974" t="s">
        <v>7432</v>
      </c>
    </row>
    <row r="5975" spans="1:6" x14ac:dyDescent="0.25">
      <c r="A5975" t="s">
        <v>6077</v>
      </c>
      <c r="B5975" t="s">
        <v>1238</v>
      </c>
      <c r="C5975" t="s">
        <v>1239</v>
      </c>
      <c r="D5975" t="str">
        <f>HYPERLINK("http://service.sap.com/sap/support/notes/1641502","1641502")</f>
        <v>1641502</v>
      </c>
      <c r="E5975">
        <v>3</v>
      </c>
      <c r="F5975" t="s">
        <v>7433</v>
      </c>
    </row>
    <row r="5976" spans="1:6" x14ac:dyDescent="0.25">
      <c r="A5976" t="s">
        <v>6077</v>
      </c>
      <c r="B5976" t="s">
        <v>1238</v>
      </c>
      <c r="C5976" t="s">
        <v>1239</v>
      </c>
      <c r="D5976" t="str">
        <f>HYPERLINK("http://service.sap.com/sap/support/notes/1671064","1671064")</f>
        <v>1671064</v>
      </c>
      <c r="E5976">
        <v>2</v>
      </c>
      <c r="F5976" t="s">
        <v>7434</v>
      </c>
    </row>
    <row r="5977" spans="1:6" x14ac:dyDescent="0.25">
      <c r="A5977" t="s">
        <v>6077</v>
      </c>
      <c r="B5977" t="s">
        <v>1238</v>
      </c>
      <c r="C5977" t="s">
        <v>1239</v>
      </c>
      <c r="D5977" t="str">
        <f>HYPERLINK("http://service.sap.com/sap/support/notes/1677504","1677504")</f>
        <v>1677504</v>
      </c>
      <c r="E5977">
        <v>1</v>
      </c>
      <c r="F5977" t="s">
        <v>7435</v>
      </c>
    </row>
    <row r="5978" spans="1:6" x14ac:dyDescent="0.25">
      <c r="A5978" t="s">
        <v>6077</v>
      </c>
      <c r="B5978" t="s">
        <v>1238</v>
      </c>
      <c r="C5978" t="s">
        <v>1239</v>
      </c>
      <c r="D5978" t="str">
        <f>HYPERLINK("http://service.sap.com/sap/support/notes/1680954","1680954")</f>
        <v>1680954</v>
      </c>
      <c r="E5978">
        <v>7</v>
      </c>
      <c r="F5978" t="s">
        <v>7436</v>
      </c>
    </row>
    <row r="5979" spans="1:6" x14ac:dyDescent="0.25">
      <c r="A5979" t="s">
        <v>6077</v>
      </c>
      <c r="B5979" t="s">
        <v>1238</v>
      </c>
      <c r="C5979" t="s">
        <v>1239</v>
      </c>
      <c r="D5979" t="str">
        <f>HYPERLINK("http://service.sap.com/sap/support/notes/1682437","1682437")</f>
        <v>1682437</v>
      </c>
      <c r="E5979">
        <v>1</v>
      </c>
      <c r="F5979" t="s">
        <v>7437</v>
      </c>
    </row>
    <row r="5980" spans="1:6" x14ac:dyDescent="0.25">
      <c r="A5980" t="s">
        <v>6077</v>
      </c>
      <c r="B5980" t="s">
        <v>1238</v>
      </c>
      <c r="C5980" t="s">
        <v>1239</v>
      </c>
      <c r="D5980" t="str">
        <f>HYPERLINK("http://service.sap.com/sap/support/notes/1688306","1688306")</f>
        <v>1688306</v>
      </c>
      <c r="E5980">
        <v>1</v>
      </c>
      <c r="F5980" t="s">
        <v>7438</v>
      </c>
    </row>
    <row r="5981" spans="1:6" x14ac:dyDescent="0.25">
      <c r="A5981" t="s">
        <v>6077</v>
      </c>
      <c r="B5981" t="s">
        <v>1243</v>
      </c>
      <c r="C5981" t="s">
        <v>1244</v>
      </c>
      <c r="D5981" t="str">
        <f>HYPERLINK("http://service.sap.com/sap/support/notes/1647015","1647015")</f>
        <v>1647015</v>
      </c>
      <c r="E5981">
        <v>4</v>
      </c>
      <c r="F5981" t="s">
        <v>7439</v>
      </c>
    </row>
    <row r="5982" spans="1:6" x14ac:dyDescent="0.25">
      <c r="A5982" t="s">
        <v>6077</v>
      </c>
      <c r="B5982" t="s">
        <v>1243</v>
      </c>
      <c r="C5982" t="s">
        <v>1244</v>
      </c>
      <c r="D5982" t="str">
        <f>HYPERLINK("http://service.sap.com/sap/support/notes/1684899","1684899")</f>
        <v>1684899</v>
      </c>
      <c r="E5982">
        <v>1</v>
      </c>
      <c r="F5982" t="s">
        <v>7440</v>
      </c>
    </row>
    <row r="5983" spans="1:6" x14ac:dyDescent="0.25">
      <c r="A5983" t="s">
        <v>6077</v>
      </c>
      <c r="B5983" t="s">
        <v>5300</v>
      </c>
      <c r="C5983" t="s">
        <v>5115</v>
      </c>
      <c r="D5983" t="str">
        <f>HYPERLINK("http://service.sap.com/sap/support/notes/1353175","1353175")</f>
        <v>1353175</v>
      </c>
      <c r="E5983">
        <v>6</v>
      </c>
      <c r="F5983" t="s">
        <v>7441</v>
      </c>
    </row>
    <row r="5984" spans="1:6" x14ac:dyDescent="0.25">
      <c r="A5984" t="s">
        <v>6077</v>
      </c>
      <c r="B5984" t="s">
        <v>5300</v>
      </c>
      <c r="C5984" t="s">
        <v>5115</v>
      </c>
      <c r="D5984" t="str">
        <f>HYPERLINK("http://service.sap.com/sap/support/notes/1415675","1415675")</f>
        <v>1415675</v>
      </c>
      <c r="E5984">
        <v>6</v>
      </c>
      <c r="F5984" t="s">
        <v>7442</v>
      </c>
    </row>
    <row r="5985" spans="1:6" x14ac:dyDescent="0.25">
      <c r="A5985" t="s">
        <v>6077</v>
      </c>
      <c r="B5985" t="s">
        <v>5300</v>
      </c>
      <c r="C5985" t="s">
        <v>5115</v>
      </c>
      <c r="D5985" t="str">
        <f>HYPERLINK("http://service.sap.com/sap/support/notes/1687778","1687778")</f>
        <v>1687778</v>
      </c>
      <c r="E5985">
        <v>1</v>
      </c>
      <c r="F5985" t="s">
        <v>7443</v>
      </c>
    </row>
    <row r="5986" spans="1:6" x14ac:dyDescent="0.25">
      <c r="A5986" t="s">
        <v>6077</v>
      </c>
      <c r="B5986" t="s">
        <v>1249</v>
      </c>
      <c r="C5986" t="s">
        <v>563</v>
      </c>
      <c r="D5986" t="str">
        <f>HYPERLINK("http://service.sap.com/sap/support/notes/1678811","1678811")</f>
        <v>1678811</v>
      </c>
      <c r="E5986">
        <v>1</v>
      </c>
      <c r="F5986" t="s">
        <v>5304</v>
      </c>
    </row>
    <row r="5987" spans="1:6" x14ac:dyDescent="0.25">
      <c r="A5987" t="s">
        <v>6077</v>
      </c>
      <c r="B5987" t="s">
        <v>1249</v>
      </c>
      <c r="C5987" t="s">
        <v>563</v>
      </c>
      <c r="D5987" t="str">
        <f>HYPERLINK("http://service.sap.com/sap/support/notes/1688023","1688023")</f>
        <v>1688023</v>
      </c>
      <c r="E5987">
        <v>1</v>
      </c>
      <c r="F5987" t="s">
        <v>7444</v>
      </c>
    </row>
    <row r="5988" spans="1:6" x14ac:dyDescent="0.25">
      <c r="A5988" t="s">
        <v>6077</v>
      </c>
      <c r="B5988" t="s">
        <v>1254</v>
      </c>
      <c r="C5988" t="s">
        <v>1255</v>
      </c>
      <c r="D5988" t="str">
        <f>HYPERLINK("http://service.sap.com/sap/support/notes/1676571","1676571")</f>
        <v>1676571</v>
      </c>
      <c r="E5988">
        <v>1</v>
      </c>
      <c r="F5988" t="s">
        <v>7445</v>
      </c>
    </row>
    <row r="5989" spans="1:6" x14ac:dyDescent="0.25">
      <c r="A5989" t="s">
        <v>6077</v>
      </c>
      <c r="B5989" t="s">
        <v>5311</v>
      </c>
      <c r="C5989" t="s">
        <v>3340</v>
      </c>
      <c r="D5989" t="str">
        <f>HYPERLINK("http://service.sap.com/sap/support/notes/1677949","1677949")</f>
        <v>1677949</v>
      </c>
      <c r="E5989">
        <v>3</v>
      </c>
      <c r="F5989" t="s">
        <v>7446</v>
      </c>
    </row>
    <row r="5990" spans="1:6" x14ac:dyDescent="0.25">
      <c r="A5990" t="s">
        <v>6077</v>
      </c>
      <c r="B5990" t="s">
        <v>5311</v>
      </c>
      <c r="C5990" t="s">
        <v>3340</v>
      </c>
      <c r="D5990" t="str">
        <f>HYPERLINK("http://service.sap.com/sap/support/notes/1682629","1682629")</f>
        <v>1682629</v>
      </c>
      <c r="E5990">
        <v>2</v>
      </c>
      <c r="F5990" t="s">
        <v>7447</v>
      </c>
    </row>
    <row r="5991" spans="1:6" x14ac:dyDescent="0.25">
      <c r="A5991" t="s">
        <v>6077</v>
      </c>
      <c r="B5991" t="s">
        <v>5315</v>
      </c>
      <c r="C5991" t="s">
        <v>5316</v>
      </c>
      <c r="D5991" t="str">
        <f>HYPERLINK("http://service.sap.com/sap/support/notes/1663670","1663670")</f>
        <v>1663670</v>
      </c>
      <c r="E5991">
        <v>1</v>
      </c>
      <c r="F5991" t="s">
        <v>7448</v>
      </c>
    </row>
    <row r="5992" spans="1:6" x14ac:dyDescent="0.25">
      <c r="A5992" t="s">
        <v>6077</v>
      </c>
      <c r="B5992" t="s">
        <v>5320</v>
      </c>
      <c r="C5992" t="s">
        <v>22</v>
      </c>
      <c r="D5992" t="str">
        <f>HYPERLINK("http://service.sap.com/sap/support/notes/1676076","1676076")</f>
        <v>1676076</v>
      </c>
      <c r="E5992">
        <v>3</v>
      </c>
      <c r="F5992" t="s">
        <v>7449</v>
      </c>
    </row>
    <row r="5993" spans="1:6" x14ac:dyDescent="0.25">
      <c r="A5993" t="s">
        <v>6077</v>
      </c>
      <c r="B5993" t="s">
        <v>5320</v>
      </c>
      <c r="C5993" t="s">
        <v>22</v>
      </c>
      <c r="D5993" t="str">
        <f>HYPERLINK("http://service.sap.com/sap/support/notes/1676156","1676156")</f>
        <v>1676156</v>
      </c>
      <c r="E5993">
        <v>2</v>
      </c>
      <c r="F5993" t="s">
        <v>7450</v>
      </c>
    </row>
    <row r="5994" spans="1:6" x14ac:dyDescent="0.25">
      <c r="A5994" t="s">
        <v>6077</v>
      </c>
      <c r="B5994" t="s">
        <v>5320</v>
      </c>
      <c r="C5994" t="s">
        <v>22</v>
      </c>
      <c r="D5994" t="str">
        <f>HYPERLINK("http://service.sap.com/sap/support/notes/1687344","1687344")</f>
        <v>1687344</v>
      </c>
      <c r="E5994">
        <v>1</v>
      </c>
      <c r="F5994" t="s">
        <v>7451</v>
      </c>
    </row>
    <row r="5995" spans="1:6" x14ac:dyDescent="0.25">
      <c r="A5995" t="s">
        <v>6077</v>
      </c>
      <c r="B5995" t="s">
        <v>5327</v>
      </c>
      <c r="C5995" t="s">
        <v>5328</v>
      </c>
      <c r="D5995" t="str">
        <f>HYPERLINK("http://service.sap.com/sap/support/notes/1664816","1664816")</f>
        <v>1664816</v>
      </c>
      <c r="E5995">
        <v>1</v>
      </c>
      <c r="F5995" t="s">
        <v>7452</v>
      </c>
    </row>
    <row r="5996" spans="1:6" x14ac:dyDescent="0.25">
      <c r="A5996" t="s">
        <v>6077</v>
      </c>
      <c r="B5996" t="s">
        <v>5327</v>
      </c>
      <c r="C5996" t="s">
        <v>5328</v>
      </c>
      <c r="D5996" t="str">
        <f>HYPERLINK("http://service.sap.com/sap/support/notes/1682478","1682478")</f>
        <v>1682478</v>
      </c>
      <c r="E5996">
        <v>2</v>
      </c>
      <c r="F5996" t="s">
        <v>7453</v>
      </c>
    </row>
    <row r="5997" spans="1:6" x14ac:dyDescent="0.25">
      <c r="A5997" t="s">
        <v>6077</v>
      </c>
      <c r="B5997" t="s">
        <v>5327</v>
      </c>
      <c r="C5997" t="s">
        <v>5328</v>
      </c>
      <c r="D5997" t="str">
        <f>HYPERLINK("http://service.sap.com/sap/support/notes/1687133","1687133")</f>
        <v>1687133</v>
      </c>
      <c r="E5997">
        <v>2</v>
      </c>
      <c r="F5997" t="s">
        <v>7454</v>
      </c>
    </row>
    <row r="5998" spans="1:6" x14ac:dyDescent="0.25">
      <c r="A5998" t="s">
        <v>6077</v>
      </c>
      <c r="B5998" t="s">
        <v>5331</v>
      </c>
      <c r="C5998" t="s">
        <v>4250</v>
      </c>
      <c r="D5998" t="str">
        <f>HYPERLINK("http://service.sap.com/sap/support/notes/1687704","1687704")</f>
        <v>1687704</v>
      </c>
      <c r="E5998">
        <v>4</v>
      </c>
      <c r="F5998" t="s">
        <v>7455</v>
      </c>
    </row>
    <row r="5999" spans="1:6" x14ac:dyDescent="0.25">
      <c r="A5999" t="s">
        <v>6077</v>
      </c>
      <c r="B5999" t="s">
        <v>1258</v>
      </c>
      <c r="C5999" t="s">
        <v>1259</v>
      </c>
      <c r="D5999" t="str">
        <f>HYPERLINK("http://service.sap.com/sap/support/notes/1681778","1681778")</f>
        <v>1681778</v>
      </c>
      <c r="E5999">
        <v>1</v>
      </c>
      <c r="F5999" t="s">
        <v>7456</v>
      </c>
    </row>
    <row r="6000" spans="1:6" x14ac:dyDescent="0.25">
      <c r="A6000" t="s">
        <v>6077</v>
      </c>
      <c r="B6000" t="s">
        <v>7457</v>
      </c>
      <c r="C6000" t="s">
        <v>4401</v>
      </c>
      <c r="D6000" t="str">
        <f>HYPERLINK("http://service.sap.com/sap/support/notes/1606955","1606955")</f>
        <v>1606955</v>
      </c>
      <c r="E6000">
        <v>1</v>
      </c>
      <c r="F6000" t="s">
        <v>7458</v>
      </c>
    </row>
    <row r="6001" spans="1:6" x14ac:dyDescent="0.25">
      <c r="A6001" t="s">
        <v>6077</v>
      </c>
      <c r="B6001" t="s">
        <v>7457</v>
      </c>
      <c r="C6001" t="s">
        <v>4401</v>
      </c>
      <c r="D6001" t="str">
        <f>HYPERLINK("http://service.sap.com/sap/support/notes/1687974","1687974")</f>
        <v>1687974</v>
      </c>
      <c r="E6001">
        <v>3</v>
      </c>
      <c r="F6001" t="s">
        <v>7459</v>
      </c>
    </row>
    <row r="6002" spans="1:6" x14ac:dyDescent="0.25">
      <c r="A6002" t="s">
        <v>6077</v>
      </c>
      <c r="B6002" t="s">
        <v>1260</v>
      </c>
      <c r="C6002" t="s">
        <v>337</v>
      </c>
      <c r="D6002" t="str">
        <f>HYPERLINK("http://service.sap.com/sap/support/notes/1161861","1161861")</f>
        <v>1161861</v>
      </c>
      <c r="E6002">
        <v>11</v>
      </c>
      <c r="F6002" t="s">
        <v>7460</v>
      </c>
    </row>
    <row r="6003" spans="1:6" x14ac:dyDescent="0.25">
      <c r="A6003" t="s">
        <v>6077</v>
      </c>
      <c r="B6003" t="s">
        <v>1260</v>
      </c>
      <c r="C6003" t="s">
        <v>337</v>
      </c>
      <c r="D6003" t="str">
        <f>HYPERLINK("http://service.sap.com/sap/support/notes/1692756","1692756")</f>
        <v>1692756</v>
      </c>
      <c r="E6003">
        <v>2</v>
      </c>
      <c r="F6003" t="s">
        <v>7461</v>
      </c>
    </row>
    <row r="6004" spans="1:6" x14ac:dyDescent="0.25">
      <c r="A6004" t="s">
        <v>6077</v>
      </c>
      <c r="B6004" t="s">
        <v>1264</v>
      </c>
      <c r="C6004" t="s">
        <v>1265</v>
      </c>
      <c r="D6004" t="str">
        <f>HYPERLINK("http://service.sap.com/sap/support/notes/1640663","1640663")</f>
        <v>1640663</v>
      </c>
      <c r="E6004">
        <v>3</v>
      </c>
      <c r="F6004" t="s">
        <v>7462</v>
      </c>
    </row>
    <row r="6005" spans="1:6" x14ac:dyDescent="0.25">
      <c r="A6005" t="s">
        <v>6077</v>
      </c>
      <c r="B6005" t="s">
        <v>1264</v>
      </c>
      <c r="C6005" t="s">
        <v>1265</v>
      </c>
      <c r="D6005" t="str">
        <f>HYPERLINK("http://service.sap.com/sap/support/notes/1665244","1665244")</f>
        <v>1665244</v>
      </c>
      <c r="E6005">
        <v>2</v>
      </c>
      <c r="F6005" t="s">
        <v>7463</v>
      </c>
    </row>
    <row r="6006" spans="1:6" x14ac:dyDescent="0.25">
      <c r="A6006" t="s">
        <v>6077</v>
      </c>
      <c r="B6006" t="s">
        <v>1264</v>
      </c>
      <c r="C6006" t="s">
        <v>1265</v>
      </c>
      <c r="D6006" t="str">
        <f>HYPERLINK("http://service.sap.com/sap/support/notes/1693415","1693415")</f>
        <v>1693415</v>
      </c>
      <c r="E6006">
        <v>1</v>
      </c>
      <c r="F6006" t="s">
        <v>7464</v>
      </c>
    </row>
    <row r="6007" spans="1:6" x14ac:dyDescent="0.25">
      <c r="A6007" t="s">
        <v>6077</v>
      </c>
      <c r="B6007" t="s">
        <v>1268</v>
      </c>
      <c r="C6007" t="s">
        <v>1269</v>
      </c>
      <c r="D6007" t="str">
        <f>HYPERLINK("http://service.sap.com/sap/support/notes/1673050","1673050")</f>
        <v>1673050</v>
      </c>
      <c r="E6007">
        <v>7</v>
      </c>
      <c r="F6007" t="s">
        <v>7465</v>
      </c>
    </row>
    <row r="6008" spans="1:6" x14ac:dyDescent="0.25">
      <c r="A6008" t="s">
        <v>6077</v>
      </c>
      <c r="B6008" t="s">
        <v>1268</v>
      </c>
      <c r="C6008" t="s">
        <v>1269</v>
      </c>
      <c r="D6008" t="str">
        <f>HYPERLINK("http://service.sap.com/sap/support/notes/1676573","1676573")</f>
        <v>1676573</v>
      </c>
      <c r="E6008">
        <v>1</v>
      </c>
      <c r="F6008" t="s">
        <v>7466</v>
      </c>
    </row>
    <row r="6009" spans="1:6" x14ac:dyDescent="0.25">
      <c r="A6009" t="s">
        <v>6077</v>
      </c>
      <c r="B6009" t="s">
        <v>1275</v>
      </c>
      <c r="C6009" t="s">
        <v>1276</v>
      </c>
      <c r="D6009" t="str">
        <f>HYPERLINK("http://service.sap.com/sap/support/notes/1682991","1682991")</f>
        <v>1682991</v>
      </c>
      <c r="E6009">
        <v>1</v>
      </c>
      <c r="F6009" t="s">
        <v>7467</v>
      </c>
    </row>
    <row r="6010" spans="1:6" x14ac:dyDescent="0.25">
      <c r="A6010" t="s">
        <v>6077</v>
      </c>
      <c r="B6010" t="s">
        <v>1278</v>
      </c>
      <c r="C6010" t="s">
        <v>1279</v>
      </c>
      <c r="D6010" t="str">
        <f>HYPERLINK("http://service.sap.com/sap/support/notes/1672298","1672298")</f>
        <v>1672298</v>
      </c>
      <c r="E6010">
        <v>3</v>
      </c>
      <c r="F6010" t="s">
        <v>7468</v>
      </c>
    </row>
    <row r="6011" spans="1:6" x14ac:dyDescent="0.25">
      <c r="A6011" t="s">
        <v>6077</v>
      </c>
      <c r="B6011" t="s">
        <v>1278</v>
      </c>
      <c r="C6011" t="s">
        <v>1279</v>
      </c>
      <c r="D6011" t="str">
        <f>HYPERLINK("http://service.sap.com/sap/support/notes/1677912","1677912")</f>
        <v>1677912</v>
      </c>
      <c r="E6011">
        <v>2</v>
      </c>
      <c r="F6011" t="s">
        <v>7469</v>
      </c>
    </row>
    <row r="6012" spans="1:6" x14ac:dyDescent="0.25">
      <c r="A6012" t="s">
        <v>6077</v>
      </c>
      <c r="B6012" t="s">
        <v>1278</v>
      </c>
      <c r="C6012" t="s">
        <v>1279</v>
      </c>
      <c r="D6012" t="str">
        <f>HYPERLINK("http://service.sap.com/sap/support/notes/1680057","1680057")</f>
        <v>1680057</v>
      </c>
      <c r="E6012">
        <v>3</v>
      </c>
      <c r="F6012" t="s">
        <v>7470</v>
      </c>
    </row>
    <row r="6013" spans="1:6" x14ac:dyDescent="0.25">
      <c r="A6013" t="s">
        <v>6077</v>
      </c>
      <c r="B6013" t="s">
        <v>1278</v>
      </c>
      <c r="C6013" t="s">
        <v>1279</v>
      </c>
      <c r="D6013" t="str">
        <f>HYPERLINK("http://service.sap.com/sap/support/notes/1682395","1682395")</f>
        <v>1682395</v>
      </c>
      <c r="E6013">
        <v>2</v>
      </c>
      <c r="F6013" t="s">
        <v>7471</v>
      </c>
    </row>
    <row r="6014" spans="1:6" x14ac:dyDescent="0.25">
      <c r="A6014" t="s">
        <v>6077</v>
      </c>
      <c r="B6014" t="s">
        <v>5351</v>
      </c>
      <c r="C6014" t="s">
        <v>5352</v>
      </c>
      <c r="D6014" t="str">
        <f>HYPERLINK("http://service.sap.com/sap/support/notes/1582920","1582920")</f>
        <v>1582920</v>
      </c>
      <c r="E6014">
        <v>9</v>
      </c>
      <c r="F6014" t="s">
        <v>7472</v>
      </c>
    </row>
    <row r="6015" spans="1:6" x14ac:dyDescent="0.25">
      <c r="A6015" t="s">
        <v>6077</v>
      </c>
      <c r="B6015" t="s">
        <v>5354</v>
      </c>
      <c r="C6015" t="s">
        <v>5355</v>
      </c>
      <c r="D6015" t="str">
        <f>HYPERLINK("http://service.sap.com/sap/support/notes/1651582","1651582")</f>
        <v>1651582</v>
      </c>
      <c r="E6015">
        <v>2</v>
      </c>
      <c r="F6015" t="s">
        <v>7473</v>
      </c>
    </row>
    <row r="6016" spans="1:6" x14ac:dyDescent="0.25">
      <c r="A6016" t="s">
        <v>6077</v>
      </c>
      <c r="B6016" t="s">
        <v>5354</v>
      </c>
      <c r="C6016" t="s">
        <v>5355</v>
      </c>
      <c r="D6016" t="str">
        <f>HYPERLINK("http://service.sap.com/sap/support/notes/1669626","1669626")</f>
        <v>1669626</v>
      </c>
      <c r="E6016">
        <v>1</v>
      </c>
      <c r="F6016" t="s">
        <v>5364</v>
      </c>
    </row>
    <row r="6017" spans="1:6" x14ac:dyDescent="0.25">
      <c r="A6017" t="s">
        <v>6077</v>
      </c>
      <c r="B6017" t="s">
        <v>5354</v>
      </c>
      <c r="C6017" t="s">
        <v>5355</v>
      </c>
      <c r="D6017" t="str">
        <f>HYPERLINK("http://service.sap.com/sap/support/notes/1675487","1675487")</f>
        <v>1675487</v>
      </c>
      <c r="E6017">
        <v>1</v>
      </c>
      <c r="F6017" t="s">
        <v>7474</v>
      </c>
    </row>
    <row r="6018" spans="1:6" x14ac:dyDescent="0.25">
      <c r="A6018" t="s">
        <v>6077</v>
      </c>
      <c r="B6018" t="s">
        <v>5354</v>
      </c>
      <c r="C6018" t="s">
        <v>5355</v>
      </c>
      <c r="D6018" t="str">
        <f>HYPERLINK("http://service.sap.com/sap/support/notes/1686248","1686248")</f>
        <v>1686248</v>
      </c>
      <c r="E6018">
        <v>1</v>
      </c>
      <c r="F6018" t="s">
        <v>7475</v>
      </c>
    </row>
    <row r="6019" spans="1:6" x14ac:dyDescent="0.25">
      <c r="A6019" t="s">
        <v>6077</v>
      </c>
      <c r="B6019" t="s">
        <v>1284</v>
      </c>
      <c r="C6019" t="s">
        <v>1285</v>
      </c>
      <c r="D6019" t="str">
        <f>HYPERLINK("http://service.sap.com/sap/support/notes/1557062","1557062")</f>
        <v>1557062</v>
      </c>
      <c r="E6019">
        <v>5</v>
      </c>
      <c r="F6019" t="s">
        <v>5373</v>
      </c>
    </row>
    <row r="6020" spans="1:6" x14ac:dyDescent="0.25">
      <c r="A6020" t="s">
        <v>6077</v>
      </c>
      <c r="B6020" t="s">
        <v>1284</v>
      </c>
      <c r="C6020" t="s">
        <v>1285</v>
      </c>
      <c r="D6020" t="str">
        <f>HYPERLINK("http://service.sap.com/sap/support/notes/1651879","1651879")</f>
        <v>1651879</v>
      </c>
      <c r="E6020">
        <v>5</v>
      </c>
      <c r="F6020" t="s">
        <v>7476</v>
      </c>
    </row>
    <row r="6021" spans="1:6" x14ac:dyDescent="0.25">
      <c r="A6021" t="s">
        <v>6077</v>
      </c>
      <c r="B6021" t="s">
        <v>1284</v>
      </c>
      <c r="C6021" t="s">
        <v>1285</v>
      </c>
      <c r="D6021" t="str">
        <f>HYPERLINK("http://service.sap.com/sap/support/notes/1675375","1675375")</f>
        <v>1675375</v>
      </c>
      <c r="E6021">
        <v>2</v>
      </c>
      <c r="F6021" t="s">
        <v>7477</v>
      </c>
    </row>
    <row r="6022" spans="1:6" x14ac:dyDescent="0.25">
      <c r="A6022" t="s">
        <v>6077</v>
      </c>
      <c r="B6022" t="s">
        <v>1284</v>
      </c>
      <c r="C6022" t="s">
        <v>1285</v>
      </c>
      <c r="D6022" t="str">
        <f>HYPERLINK("http://service.sap.com/sap/support/notes/1677114","1677114")</f>
        <v>1677114</v>
      </c>
      <c r="E6022">
        <v>1</v>
      </c>
      <c r="F6022" t="s">
        <v>7478</v>
      </c>
    </row>
    <row r="6023" spans="1:6" x14ac:dyDescent="0.25">
      <c r="A6023" t="s">
        <v>6077</v>
      </c>
      <c r="B6023" t="s">
        <v>1284</v>
      </c>
      <c r="C6023" t="s">
        <v>1285</v>
      </c>
      <c r="D6023" t="str">
        <f>HYPERLINK("http://service.sap.com/sap/support/notes/1677830","1677830")</f>
        <v>1677830</v>
      </c>
      <c r="E6023">
        <v>2</v>
      </c>
      <c r="F6023" t="s">
        <v>7479</v>
      </c>
    </row>
    <row r="6024" spans="1:6" x14ac:dyDescent="0.25">
      <c r="A6024" t="s">
        <v>6077</v>
      </c>
      <c r="B6024" t="s">
        <v>1284</v>
      </c>
      <c r="C6024" t="s">
        <v>1285</v>
      </c>
      <c r="D6024" t="str">
        <f>HYPERLINK("http://service.sap.com/sap/support/notes/1681603","1681603")</f>
        <v>1681603</v>
      </c>
      <c r="E6024">
        <v>1</v>
      </c>
      <c r="F6024" t="s">
        <v>7480</v>
      </c>
    </row>
    <row r="6025" spans="1:6" x14ac:dyDescent="0.25">
      <c r="A6025" t="s">
        <v>6077</v>
      </c>
      <c r="B6025" t="s">
        <v>1284</v>
      </c>
      <c r="C6025" t="s">
        <v>1285</v>
      </c>
      <c r="D6025" t="str">
        <f>HYPERLINK("http://service.sap.com/sap/support/notes/1683082","1683082")</f>
        <v>1683082</v>
      </c>
      <c r="E6025">
        <v>3</v>
      </c>
      <c r="F6025" t="s">
        <v>7481</v>
      </c>
    </row>
    <row r="6026" spans="1:6" x14ac:dyDescent="0.25">
      <c r="A6026" t="s">
        <v>6077</v>
      </c>
      <c r="B6026" t="s">
        <v>1287</v>
      </c>
      <c r="C6026" t="s">
        <v>1288</v>
      </c>
    </row>
    <row r="6027" spans="1:6" x14ac:dyDescent="0.25">
      <c r="A6027" t="s">
        <v>6077</v>
      </c>
      <c r="B6027" t="s">
        <v>5399</v>
      </c>
      <c r="C6027" t="s">
        <v>5400</v>
      </c>
      <c r="D6027" t="str">
        <f>HYPERLINK("http://service.sap.com/sap/support/notes/1676158","1676158")</f>
        <v>1676158</v>
      </c>
      <c r="E6027">
        <v>1</v>
      </c>
      <c r="F6027" t="s">
        <v>7482</v>
      </c>
    </row>
    <row r="6028" spans="1:6" x14ac:dyDescent="0.25">
      <c r="A6028" t="s">
        <v>6077</v>
      </c>
      <c r="B6028" t="s">
        <v>1289</v>
      </c>
      <c r="C6028" t="s">
        <v>1290</v>
      </c>
    </row>
    <row r="6029" spans="1:6" x14ac:dyDescent="0.25">
      <c r="A6029" t="s">
        <v>6077</v>
      </c>
      <c r="B6029" t="s">
        <v>1291</v>
      </c>
      <c r="C6029" t="s">
        <v>1292</v>
      </c>
      <c r="D6029" t="str">
        <f>HYPERLINK("http://service.sap.com/sap/support/notes/1690058","1690058")</f>
        <v>1690058</v>
      </c>
      <c r="E6029">
        <v>2</v>
      </c>
      <c r="F6029" t="s">
        <v>7483</v>
      </c>
    </row>
    <row r="6030" spans="1:6" x14ac:dyDescent="0.25">
      <c r="A6030" t="s">
        <v>6077</v>
      </c>
      <c r="B6030" t="s">
        <v>1295</v>
      </c>
      <c r="C6030" t="s">
        <v>1296</v>
      </c>
    </row>
    <row r="6031" spans="1:6" x14ac:dyDescent="0.25">
      <c r="A6031" t="s">
        <v>6077</v>
      </c>
      <c r="B6031" t="s">
        <v>1300</v>
      </c>
      <c r="C6031" t="s">
        <v>1301</v>
      </c>
      <c r="D6031" t="str">
        <f>HYPERLINK("http://service.sap.com/sap/support/notes/1684619","1684619")</f>
        <v>1684619</v>
      </c>
      <c r="E6031">
        <v>1</v>
      </c>
      <c r="F6031" t="s">
        <v>7484</v>
      </c>
    </row>
    <row r="6032" spans="1:6" x14ac:dyDescent="0.25">
      <c r="A6032" t="s">
        <v>6077</v>
      </c>
      <c r="B6032" t="s">
        <v>1303</v>
      </c>
      <c r="C6032" t="s">
        <v>1304</v>
      </c>
      <c r="D6032" t="str">
        <f>HYPERLINK("http://service.sap.com/sap/support/notes/1671297","1671297")</f>
        <v>1671297</v>
      </c>
      <c r="E6032">
        <v>2</v>
      </c>
      <c r="F6032" t="s">
        <v>7485</v>
      </c>
    </row>
    <row r="6033" spans="1:6" x14ac:dyDescent="0.25">
      <c r="A6033" t="s">
        <v>6077</v>
      </c>
      <c r="B6033" t="s">
        <v>1306</v>
      </c>
      <c r="C6033" t="s">
        <v>14</v>
      </c>
    </row>
    <row r="6034" spans="1:6" x14ac:dyDescent="0.25">
      <c r="A6034" t="s">
        <v>6077</v>
      </c>
      <c r="B6034" t="s">
        <v>1307</v>
      </c>
      <c r="C6034" t="s">
        <v>1308</v>
      </c>
      <c r="D6034" t="str">
        <f>HYPERLINK("http://service.sap.com/sap/support/notes/1630484","1630484")</f>
        <v>1630484</v>
      </c>
      <c r="E6034">
        <v>3</v>
      </c>
      <c r="F6034" t="s">
        <v>7486</v>
      </c>
    </row>
    <row r="6035" spans="1:6" x14ac:dyDescent="0.25">
      <c r="A6035" t="s">
        <v>6077</v>
      </c>
      <c r="B6035" t="s">
        <v>1311</v>
      </c>
      <c r="C6035" t="s">
        <v>1312</v>
      </c>
    </row>
    <row r="6036" spans="1:6" x14ac:dyDescent="0.25">
      <c r="A6036" t="s">
        <v>6077</v>
      </c>
      <c r="B6036" t="s">
        <v>7487</v>
      </c>
      <c r="C6036" t="s">
        <v>7488</v>
      </c>
      <c r="D6036" t="str">
        <f>HYPERLINK("http://service.sap.com/sap/support/notes/1667294","1667294")</f>
        <v>1667294</v>
      </c>
      <c r="E6036">
        <v>1</v>
      </c>
      <c r="F6036" t="s">
        <v>7489</v>
      </c>
    </row>
    <row r="6037" spans="1:6" x14ac:dyDescent="0.25">
      <c r="A6037" t="s">
        <v>6077</v>
      </c>
      <c r="B6037" t="s">
        <v>1317</v>
      </c>
      <c r="C6037" t="s">
        <v>170</v>
      </c>
      <c r="D6037" t="str">
        <f>HYPERLINK("http://service.sap.com/sap/support/notes/1686334","1686334")</f>
        <v>1686334</v>
      </c>
      <c r="E6037">
        <v>1</v>
      </c>
      <c r="F6037" t="s">
        <v>7490</v>
      </c>
    </row>
    <row r="6038" spans="1:6" x14ac:dyDescent="0.25">
      <c r="A6038" t="s">
        <v>6077</v>
      </c>
      <c r="B6038" t="s">
        <v>5432</v>
      </c>
      <c r="C6038" t="s">
        <v>5433</v>
      </c>
      <c r="D6038" t="str">
        <f>HYPERLINK("http://service.sap.com/sap/support/notes/1663980","1663980")</f>
        <v>1663980</v>
      </c>
      <c r="E6038">
        <v>1</v>
      </c>
      <c r="F6038" t="s">
        <v>7491</v>
      </c>
    </row>
    <row r="6039" spans="1:6" x14ac:dyDescent="0.25">
      <c r="A6039" t="s">
        <v>6077</v>
      </c>
      <c r="B6039" t="s">
        <v>5432</v>
      </c>
      <c r="C6039" t="s">
        <v>5433</v>
      </c>
      <c r="D6039" t="str">
        <f>HYPERLINK("http://service.sap.com/sap/support/notes/1673935","1673935")</f>
        <v>1673935</v>
      </c>
      <c r="E6039">
        <v>1</v>
      </c>
      <c r="F6039" t="s">
        <v>7492</v>
      </c>
    </row>
    <row r="6040" spans="1:6" x14ac:dyDescent="0.25">
      <c r="A6040" t="s">
        <v>6077</v>
      </c>
      <c r="B6040" t="s">
        <v>1322</v>
      </c>
      <c r="C6040" t="s">
        <v>869</v>
      </c>
      <c r="D6040" t="str">
        <f>HYPERLINK("http://service.sap.com/sap/support/notes/1658761","1658761")</f>
        <v>1658761</v>
      </c>
      <c r="E6040">
        <v>2</v>
      </c>
      <c r="F6040" t="s">
        <v>7493</v>
      </c>
    </row>
    <row r="6041" spans="1:6" x14ac:dyDescent="0.25">
      <c r="A6041" t="s">
        <v>6077</v>
      </c>
      <c r="B6041" t="s">
        <v>1322</v>
      </c>
      <c r="C6041" t="s">
        <v>869</v>
      </c>
      <c r="D6041" t="str">
        <f>HYPERLINK("http://service.sap.com/sap/support/notes/1684480","1684480")</f>
        <v>1684480</v>
      </c>
      <c r="E6041">
        <v>1</v>
      </c>
      <c r="F6041" t="s">
        <v>7494</v>
      </c>
    </row>
    <row r="6042" spans="1:6" x14ac:dyDescent="0.25">
      <c r="A6042" t="s">
        <v>6077</v>
      </c>
      <c r="B6042" t="s">
        <v>1324</v>
      </c>
      <c r="C6042" t="s">
        <v>337</v>
      </c>
    </row>
    <row r="6043" spans="1:6" x14ac:dyDescent="0.25">
      <c r="A6043" t="s">
        <v>6077</v>
      </c>
      <c r="B6043" t="s">
        <v>5451</v>
      </c>
      <c r="C6043" t="s">
        <v>5452</v>
      </c>
      <c r="D6043" t="str">
        <f>HYPERLINK("http://service.sap.com/sap/support/notes/1673958","1673958")</f>
        <v>1673958</v>
      </c>
      <c r="E6043">
        <v>1</v>
      </c>
      <c r="F6043" t="s">
        <v>7495</v>
      </c>
    </row>
    <row r="6044" spans="1:6" x14ac:dyDescent="0.25">
      <c r="A6044" t="s">
        <v>6077</v>
      </c>
      <c r="B6044" t="s">
        <v>5454</v>
      </c>
      <c r="C6044" t="s">
        <v>5455</v>
      </c>
      <c r="D6044" t="str">
        <f>HYPERLINK("http://service.sap.com/sap/support/notes/1682412","1682412")</f>
        <v>1682412</v>
      </c>
      <c r="E6044">
        <v>1</v>
      </c>
      <c r="F6044" t="s">
        <v>7496</v>
      </c>
    </row>
    <row r="6045" spans="1:6" x14ac:dyDescent="0.25">
      <c r="A6045" t="s">
        <v>6077</v>
      </c>
      <c r="B6045" t="s">
        <v>5465</v>
      </c>
      <c r="C6045" t="s">
        <v>5466</v>
      </c>
      <c r="D6045" t="str">
        <f>HYPERLINK("http://service.sap.com/sap/support/notes/1660985","1660985")</f>
        <v>1660985</v>
      </c>
      <c r="E6045">
        <v>2</v>
      </c>
      <c r="F6045" t="s">
        <v>7497</v>
      </c>
    </row>
    <row r="6046" spans="1:6" x14ac:dyDescent="0.25">
      <c r="A6046" t="s">
        <v>6077</v>
      </c>
      <c r="B6046" t="s">
        <v>1338</v>
      </c>
      <c r="C6046" t="s">
        <v>1339</v>
      </c>
    </row>
    <row r="6047" spans="1:6" x14ac:dyDescent="0.25">
      <c r="A6047" t="s">
        <v>6077</v>
      </c>
      <c r="B6047" t="s">
        <v>7498</v>
      </c>
      <c r="C6047" t="s">
        <v>7499</v>
      </c>
      <c r="D6047" t="str">
        <f>HYPERLINK("http://service.sap.com/sap/support/notes/1682444","1682444")</f>
        <v>1682444</v>
      </c>
      <c r="E6047">
        <v>2</v>
      </c>
      <c r="F6047" t="s">
        <v>7500</v>
      </c>
    </row>
    <row r="6048" spans="1:6" x14ac:dyDescent="0.25">
      <c r="A6048" t="s">
        <v>6077</v>
      </c>
      <c r="B6048" t="s">
        <v>1343</v>
      </c>
      <c r="C6048" t="s">
        <v>1344</v>
      </c>
      <c r="D6048" t="str">
        <f>HYPERLINK("http://service.sap.com/sap/support/notes/1679804","1679804")</f>
        <v>1679804</v>
      </c>
      <c r="E6048">
        <v>2</v>
      </c>
      <c r="F6048" t="s">
        <v>7501</v>
      </c>
    </row>
    <row r="6049" spans="1:6" x14ac:dyDescent="0.25">
      <c r="A6049" t="s">
        <v>6077</v>
      </c>
      <c r="B6049" t="s">
        <v>1343</v>
      </c>
      <c r="C6049" t="s">
        <v>1344</v>
      </c>
      <c r="D6049" t="str">
        <f>HYPERLINK("http://service.sap.com/sap/support/notes/1687833","1687833")</f>
        <v>1687833</v>
      </c>
      <c r="E6049">
        <v>1</v>
      </c>
      <c r="F6049" t="s">
        <v>7502</v>
      </c>
    </row>
    <row r="6050" spans="1:6" x14ac:dyDescent="0.25">
      <c r="A6050" t="s">
        <v>6077</v>
      </c>
      <c r="B6050" t="s">
        <v>5490</v>
      </c>
      <c r="C6050" t="s">
        <v>5491</v>
      </c>
      <c r="D6050" t="str">
        <f>HYPERLINK("http://service.sap.com/sap/support/notes/1679376","1679376")</f>
        <v>1679376</v>
      </c>
      <c r="E6050">
        <v>1</v>
      </c>
      <c r="F6050" t="s">
        <v>7503</v>
      </c>
    </row>
    <row r="6051" spans="1:6" x14ac:dyDescent="0.25">
      <c r="A6051" t="s">
        <v>6077</v>
      </c>
      <c r="B6051" t="s">
        <v>1350</v>
      </c>
      <c r="C6051" t="s">
        <v>1351</v>
      </c>
    </row>
    <row r="6052" spans="1:6" x14ac:dyDescent="0.25">
      <c r="A6052" t="s">
        <v>6077</v>
      </c>
      <c r="B6052" t="s">
        <v>1352</v>
      </c>
      <c r="C6052" t="s">
        <v>117</v>
      </c>
    </row>
    <row r="6053" spans="1:6" x14ac:dyDescent="0.25">
      <c r="A6053" t="s">
        <v>6077</v>
      </c>
      <c r="B6053" t="s">
        <v>5506</v>
      </c>
      <c r="C6053" t="s">
        <v>5507</v>
      </c>
      <c r="D6053" t="str">
        <f>HYPERLINK("http://service.sap.com/sap/support/notes/1680733","1680733")</f>
        <v>1680733</v>
      </c>
      <c r="E6053">
        <v>1</v>
      </c>
      <c r="F6053" t="s">
        <v>7504</v>
      </c>
    </row>
    <row r="6054" spans="1:6" x14ac:dyDescent="0.25">
      <c r="A6054" t="s">
        <v>6077</v>
      </c>
      <c r="B6054" t="s">
        <v>7505</v>
      </c>
      <c r="C6054" t="s">
        <v>7506</v>
      </c>
      <c r="D6054" t="str">
        <f>HYPERLINK("http://service.sap.com/sap/support/notes/1476934","1476934")</f>
        <v>1476934</v>
      </c>
      <c r="E6054">
        <v>3</v>
      </c>
      <c r="F6054" t="s">
        <v>7507</v>
      </c>
    </row>
    <row r="6055" spans="1:6" x14ac:dyDescent="0.25">
      <c r="A6055" t="s">
        <v>6077</v>
      </c>
      <c r="B6055" t="s">
        <v>7505</v>
      </c>
      <c r="C6055" t="s">
        <v>7506</v>
      </c>
      <c r="D6055" t="str">
        <f>HYPERLINK("http://service.sap.com/sap/support/notes/1612511","1612511")</f>
        <v>1612511</v>
      </c>
      <c r="E6055">
        <v>2</v>
      </c>
      <c r="F6055" t="s">
        <v>7508</v>
      </c>
    </row>
    <row r="6056" spans="1:6" x14ac:dyDescent="0.25">
      <c r="A6056" t="s">
        <v>6077</v>
      </c>
      <c r="B6056" t="s">
        <v>7509</v>
      </c>
      <c r="C6056" t="s">
        <v>7510</v>
      </c>
    </row>
    <row r="6057" spans="1:6" x14ac:dyDescent="0.25">
      <c r="A6057" t="s">
        <v>6077</v>
      </c>
      <c r="B6057" t="s">
        <v>7511</v>
      </c>
      <c r="C6057" t="s">
        <v>7512</v>
      </c>
      <c r="D6057" t="str">
        <f>HYPERLINK("http://service.sap.com/sap/support/notes/1678144","1678144")</f>
        <v>1678144</v>
      </c>
      <c r="E6057">
        <v>4</v>
      </c>
      <c r="F6057" t="s">
        <v>7513</v>
      </c>
    </row>
    <row r="6058" spans="1:6" x14ac:dyDescent="0.25">
      <c r="A6058" t="s">
        <v>6077</v>
      </c>
      <c r="B6058" t="s">
        <v>7511</v>
      </c>
      <c r="C6058" t="s">
        <v>7512</v>
      </c>
      <c r="D6058" t="str">
        <f>HYPERLINK("http://service.sap.com/sap/support/notes/1683732","1683732")</f>
        <v>1683732</v>
      </c>
      <c r="E6058">
        <v>2</v>
      </c>
      <c r="F6058" t="s">
        <v>7514</v>
      </c>
    </row>
    <row r="6059" spans="1:6" x14ac:dyDescent="0.25">
      <c r="A6059" t="s">
        <v>6077</v>
      </c>
      <c r="B6059" t="s">
        <v>7515</v>
      </c>
      <c r="C6059" t="s">
        <v>14</v>
      </c>
      <c r="D6059" t="str">
        <f>HYPERLINK("http://service.sap.com/sap/support/notes/1677179","1677179")</f>
        <v>1677179</v>
      </c>
      <c r="E6059">
        <v>1</v>
      </c>
      <c r="F6059" t="s">
        <v>7516</v>
      </c>
    </row>
    <row r="6060" spans="1:6" x14ac:dyDescent="0.25">
      <c r="A6060" t="s">
        <v>6077</v>
      </c>
      <c r="B6060" t="s">
        <v>5528</v>
      </c>
      <c r="C6060" t="s">
        <v>5529</v>
      </c>
    </row>
    <row r="6061" spans="1:6" x14ac:dyDescent="0.25">
      <c r="A6061" t="s">
        <v>6077</v>
      </c>
      <c r="B6061" t="s">
        <v>5530</v>
      </c>
      <c r="C6061" t="s">
        <v>5531</v>
      </c>
    </row>
    <row r="6062" spans="1:6" x14ac:dyDescent="0.25">
      <c r="A6062" t="s">
        <v>6077</v>
      </c>
      <c r="B6062" t="s">
        <v>5532</v>
      </c>
      <c r="C6062" t="s">
        <v>5533</v>
      </c>
    </row>
    <row r="6063" spans="1:6" x14ac:dyDescent="0.25">
      <c r="A6063" t="s">
        <v>6077</v>
      </c>
      <c r="B6063" t="s">
        <v>5534</v>
      </c>
      <c r="C6063" t="s">
        <v>5535</v>
      </c>
    </row>
    <row r="6064" spans="1:6" x14ac:dyDescent="0.25">
      <c r="A6064" t="s">
        <v>6077</v>
      </c>
      <c r="B6064" t="s">
        <v>5536</v>
      </c>
      <c r="C6064" t="s">
        <v>132</v>
      </c>
      <c r="D6064" t="str">
        <f>HYPERLINK("http://service.sap.com/sap/support/notes/1681202","1681202")</f>
        <v>1681202</v>
      </c>
      <c r="E6064">
        <v>1</v>
      </c>
      <c r="F6064" t="s">
        <v>7517</v>
      </c>
    </row>
    <row r="6065" spans="1:6" x14ac:dyDescent="0.25">
      <c r="A6065" t="s">
        <v>6077</v>
      </c>
      <c r="B6065" t="s">
        <v>7518</v>
      </c>
      <c r="C6065" t="s">
        <v>141</v>
      </c>
      <c r="D6065" t="str">
        <f>HYPERLINK("http://service.sap.com/sap/support/notes/1681383","1681383")</f>
        <v>1681383</v>
      </c>
      <c r="E6065">
        <v>1</v>
      </c>
      <c r="F6065" t="s">
        <v>7519</v>
      </c>
    </row>
    <row r="6066" spans="1:6" x14ac:dyDescent="0.25">
      <c r="A6066" t="s">
        <v>6077</v>
      </c>
      <c r="B6066" t="s">
        <v>5539</v>
      </c>
      <c r="C6066" t="s">
        <v>5540</v>
      </c>
    </row>
    <row r="6067" spans="1:6" x14ac:dyDescent="0.25">
      <c r="A6067" t="s">
        <v>6077</v>
      </c>
      <c r="B6067" t="s">
        <v>5541</v>
      </c>
      <c r="C6067" t="s">
        <v>5542</v>
      </c>
      <c r="D6067" t="str">
        <f>HYPERLINK("http://service.sap.com/sap/support/notes/1652849","1652849")</f>
        <v>1652849</v>
      </c>
      <c r="E6067">
        <v>1</v>
      </c>
      <c r="F6067" t="s">
        <v>5546</v>
      </c>
    </row>
    <row r="6068" spans="1:6" x14ac:dyDescent="0.25">
      <c r="A6068" t="s">
        <v>6077</v>
      </c>
      <c r="B6068" t="s">
        <v>5541</v>
      </c>
      <c r="C6068" t="s">
        <v>5542</v>
      </c>
      <c r="D6068" t="str">
        <f>HYPERLINK("http://service.sap.com/sap/support/notes/1696894","1696894")</f>
        <v>1696894</v>
      </c>
      <c r="E6068">
        <v>1</v>
      </c>
      <c r="F6068" t="s">
        <v>7520</v>
      </c>
    </row>
    <row r="6069" spans="1:6" x14ac:dyDescent="0.25">
      <c r="A6069" t="s">
        <v>6077</v>
      </c>
      <c r="B6069" t="s">
        <v>5548</v>
      </c>
      <c r="C6069" t="s">
        <v>5549</v>
      </c>
      <c r="D6069" t="str">
        <f>HYPERLINK("http://service.sap.com/sap/support/notes/1658140","1658140")</f>
        <v>1658140</v>
      </c>
      <c r="E6069">
        <v>1</v>
      </c>
      <c r="F6069" t="s">
        <v>7521</v>
      </c>
    </row>
    <row r="6070" spans="1:6" x14ac:dyDescent="0.25">
      <c r="A6070" t="s">
        <v>6077</v>
      </c>
      <c r="B6070" t="s">
        <v>5552</v>
      </c>
      <c r="C6070" t="s">
        <v>5553</v>
      </c>
      <c r="D6070" t="str">
        <f>HYPERLINK("http://service.sap.com/sap/support/notes/1672231","1672231")</f>
        <v>1672231</v>
      </c>
      <c r="E6070">
        <v>1</v>
      </c>
      <c r="F6070" t="s">
        <v>7522</v>
      </c>
    </row>
    <row r="6071" spans="1:6" x14ac:dyDescent="0.25">
      <c r="A6071" t="s">
        <v>6077</v>
      </c>
      <c r="B6071" t="s">
        <v>5556</v>
      </c>
      <c r="C6071" t="s">
        <v>5557</v>
      </c>
      <c r="D6071" t="str">
        <f>HYPERLINK("http://service.sap.com/sap/support/notes/1675160","1675160")</f>
        <v>1675160</v>
      </c>
      <c r="E6071">
        <v>1</v>
      </c>
      <c r="F6071" t="s">
        <v>7523</v>
      </c>
    </row>
    <row r="6072" spans="1:6" x14ac:dyDescent="0.25">
      <c r="A6072" t="s">
        <v>6077</v>
      </c>
      <c r="B6072" t="s">
        <v>5556</v>
      </c>
      <c r="C6072" t="s">
        <v>5557</v>
      </c>
      <c r="D6072" t="str">
        <f>HYPERLINK("http://service.sap.com/sap/support/notes/1681216","1681216")</f>
        <v>1681216</v>
      </c>
      <c r="E6072">
        <v>1</v>
      </c>
      <c r="F6072" t="s">
        <v>7524</v>
      </c>
    </row>
    <row r="6073" spans="1:6" x14ac:dyDescent="0.25">
      <c r="A6073" t="s">
        <v>6077</v>
      </c>
      <c r="B6073" t="s">
        <v>5556</v>
      </c>
      <c r="C6073" t="s">
        <v>5557</v>
      </c>
      <c r="D6073" t="str">
        <f>HYPERLINK("http://service.sap.com/sap/support/notes/1693936","1693936")</f>
        <v>1693936</v>
      </c>
      <c r="E6073">
        <v>1</v>
      </c>
      <c r="F6073" t="s">
        <v>7525</v>
      </c>
    </row>
    <row r="6074" spans="1:6" x14ac:dyDescent="0.25">
      <c r="A6074" t="s">
        <v>6077</v>
      </c>
      <c r="B6074" t="s">
        <v>1356</v>
      </c>
      <c r="C6074" t="s">
        <v>1357</v>
      </c>
    </row>
    <row r="6075" spans="1:6" x14ac:dyDescent="0.25">
      <c r="A6075" t="s">
        <v>6077</v>
      </c>
      <c r="B6075" t="s">
        <v>5563</v>
      </c>
      <c r="C6075" t="s">
        <v>5564</v>
      </c>
    </row>
    <row r="6076" spans="1:6" x14ac:dyDescent="0.25">
      <c r="A6076" t="s">
        <v>6077</v>
      </c>
      <c r="B6076" t="s">
        <v>7526</v>
      </c>
      <c r="C6076" t="s">
        <v>7527</v>
      </c>
    </row>
    <row r="6077" spans="1:6" x14ac:dyDescent="0.25">
      <c r="A6077" t="s">
        <v>6077</v>
      </c>
      <c r="B6077" t="s">
        <v>7528</v>
      </c>
      <c r="C6077" t="s">
        <v>7529</v>
      </c>
      <c r="D6077" t="str">
        <f>HYPERLINK("http://service.sap.com/sap/support/notes/1695120","1695120")</f>
        <v>1695120</v>
      </c>
      <c r="E6077">
        <v>1</v>
      </c>
      <c r="F6077" t="s">
        <v>7530</v>
      </c>
    </row>
    <row r="6078" spans="1:6" x14ac:dyDescent="0.25">
      <c r="A6078" t="s">
        <v>6077</v>
      </c>
      <c r="B6078" t="s">
        <v>7528</v>
      </c>
      <c r="C6078" t="s">
        <v>7529</v>
      </c>
      <c r="D6078" t="str">
        <f>HYPERLINK("http://service.sap.com/sap/support/notes/1695191","1695191")</f>
        <v>1695191</v>
      </c>
      <c r="E6078">
        <v>1</v>
      </c>
      <c r="F6078" t="s">
        <v>7531</v>
      </c>
    </row>
    <row r="6079" spans="1:6" x14ac:dyDescent="0.25">
      <c r="A6079" t="s">
        <v>6077</v>
      </c>
      <c r="B6079" t="s">
        <v>7532</v>
      </c>
      <c r="C6079" t="s">
        <v>7533</v>
      </c>
      <c r="D6079" t="str">
        <f>HYPERLINK("http://service.sap.com/sap/support/notes/1690198","1690198")</f>
        <v>1690198</v>
      </c>
      <c r="E6079">
        <v>1</v>
      </c>
      <c r="F6079" t="s">
        <v>7534</v>
      </c>
    </row>
    <row r="6080" spans="1:6" x14ac:dyDescent="0.25">
      <c r="A6080" t="s">
        <v>6077</v>
      </c>
      <c r="B6080" t="s">
        <v>5568</v>
      </c>
      <c r="C6080" t="s">
        <v>5569</v>
      </c>
    </row>
    <row r="6081" spans="1:6" x14ac:dyDescent="0.25">
      <c r="A6081" t="s">
        <v>6077</v>
      </c>
      <c r="B6081" t="s">
        <v>5570</v>
      </c>
      <c r="C6081" t="s">
        <v>5571</v>
      </c>
      <c r="D6081" t="str">
        <f>HYPERLINK("http://service.sap.com/sap/support/notes/1659983","1659983")</f>
        <v>1659983</v>
      </c>
      <c r="E6081">
        <v>1</v>
      </c>
      <c r="F6081" t="s">
        <v>7535</v>
      </c>
    </row>
    <row r="6082" spans="1:6" x14ac:dyDescent="0.25">
      <c r="A6082" t="s">
        <v>6077</v>
      </c>
      <c r="B6082" t="s">
        <v>5570</v>
      </c>
      <c r="C6082" t="s">
        <v>5571</v>
      </c>
      <c r="D6082" t="str">
        <f>HYPERLINK("http://service.sap.com/sap/support/notes/1681217","1681217")</f>
        <v>1681217</v>
      </c>
      <c r="E6082">
        <v>2</v>
      </c>
      <c r="F6082" t="s">
        <v>7536</v>
      </c>
    </row>
    <row r="6083" spans="1:6" x14ac:dyDescent="0.25">
      <c r="A6083" t="s">
        <v>6077</v>
      </c>
      <c r="B6083" t="s">
        <v>5575</v>
      </c>
      <c r="C6083" t="s">
        <v>5576</v>
      </c>
      <c r="D6083" t="str">
        <f>HYPERLINK("http://service.sap.com/sap/support/notes/1672466","1672466")</f>
        <v>1672466</v>
      </c>
      <c r="E6083">
        <v>1</v>
      </c>
      <c r="F6083" t="s">
        <v>7537</v>
      </c>
    </row>
    <row r="6084" spans="1:6" x14ac:dyDescent="0.25">
      <c r="A6084" t="s">
        <v>6077</v>
      </c>
      <c r="B6084" t="s">
        <v>5575</v>
      </c>
      <c r="C6084" t="s">
        <v>5576</v>
      </c>
      <c r="D6084" t="str">
        <f>HYPERLINK("http://service.sap.com/sap/support/notes/1679788","1679788")</f>
        <v>1679788</v>
      </c>
      <c r="E6084">
        <v>4</v>
      </c>
      <c r="F6084" t="s">
        <v>7538</v>
      </c>
    </row>
    <row r="6085" spans="1:6" x14ac:dyDescent="0.25">
      <c r="A6085" t="s">
        <v>6077</v>
      </c>
      <c r="B6085" t="s">
        <v>5579</v>
      </c>
      <c r="C6085" t="s">
        <v>5580</v>
      </c>
      <c r="D6085" t="str">
        <f>HYPERLINK("http://service.sap.com/sap/support/notes/1680488","1680488")</f>
        <v>1680488</v>
      </c>
      <c r="E6085">
        <v>1</v>
      </c>
      <c r="F6085" t="s">
        <v>7539</v>
      </c>
    </row>
    <row r="6086" spans="1:6" x14ac:dyDescent="0.25">
      <c r="A6086" t="s">
        <v>6077</v>
      </c>
      <c r="B6086" t="s">
        <v>1358</v>
      </c>
      <c r="C6086" t="s">
        <v>1359</v>
      </c>
      <c r="D6086" t="str">
        <f>HYPERLINK("http://service.sap.com/sap/support/notes/1597510","1597510")</f>
        <v>1597510</v>
      </c>
      <c r="E6086">
        <v>1</v>
      </c>
      <c r="F6086" t="s">
        <v>1360</v>
      </c>
    </row>
    <row r="6087" spans="1:6" x14ac:dyDescent="0.25">
      <c r="A6087" t="s">
        <v>6077</v>
      </c>
      <c r="B6087" t="s">
        <v>1358</v>
      </c>
      <c r="C6087" t="s">
        <v>1359</v>
      </c>
      <c r="D6087" t="str">
        <f>HYPERLINK("http://service.sap.com/sap/support/notes/1679110","1679110")</f>
        <v>1679110</v>
      </c>
      <c r="E6087">
        <v>4</v>
      </c>
      <c r="F6087" t="s">
        <v>7540</v>
      </c>
    </row>
    <row r="6088" spans="1:6" x14ac:dyDescent="0.25">
      <c r="A6088" t="s">
        <v>6077</v>
      </c>
      <c r="B6088" t="s">
        <v>7541</v>
      </c>
      <c r="C6088" t="s">
        <v>7542</v>
      </c>
      <c r="D6088" t="str">
        <f>HYPERLINK("http://service.sap.com/sap/support/notes/1674972","1674972")</f>
        <v>1674972</v>
      </c>
      <c r="E6088">
        <v>2</v>
      </c>
      <c r="F6088" t="s">
        <v>7543</v>
      </c>
    </row>
    <row r="6089" spans="1:6" x14ac:dyDescent="0.25">
      <c r="A6089" t="s">
        <v>6077</v>
      </c>
      <c r="B6089" t="s">
        <v>7541</v>
      </c>
      <c r="C6089" t="s">
        <v>7542</v>
      </c>
      <c r="D6089" t="str">
        <f>HYPERLINK("http://service.sap.com/sap/support/notes/1683597","1683597")</f>
        <v>1683597</v>
      </c>
      <c r="E6089">
        <v>1</v>
      </c>
      <c r="F6089" t="s">
        <v>7544</v>
      </c>
    </row>
    <row r="6090" spans="1:6" x14ac:dyDescent="0.25">
      <c r="A6090" t="s">
        <v>6077</v>
      </c>
      <c r="B6090" t="s">
        <v>39</v>
      </c>
      <c r="C6090" t="s">
        <v>40</v>
      </c>
    </row>
    <row r="6091" spans="1:6" x14ac:dyDescent="0.25">
      <c r="A6091" t="s">
        <v>6077</v>
      </c>
      <c r="B6091" t="s">
        <v>1368</v>
      </c>
      <c r="C6091" t="s">
        <v>1369</v>
      </c>
    </row>
    <row r="6092" spans="1:6" x14ac:dyDescent="0.25">
      <c r="A6092" t="s">
        <v>6077</v>
      </c>
      <c r="B6092" t="s">
        <v>1370</v>
      </c>
      <c r="C6092" t="s">
        <v>1371</v>
      </c>
      <c r="D6092" t="str">
        <f>HYPERLINK("http://service.sap.com/sap/support/notes/1344872","1344872")</f>
        <v>1344872</v>
      </c>
      <c r="E6092">
        <v>1</v>
      </c>
      <c r="F6092" t="s">
        <v>5585</v>
      </c>
    </row>
    <row r="6093" spans="1:6" x14ac:dyDescent="0.25">
      <c r="A6093" t="s">
        <v>6077</v>
      </c>
      <c r="B6093" t="s">
        <v>1370</v>
      </c>
      <c r="C6093" t="s">
        <v>1371</v>
      </c>
      <c r="D6093" t="str">
        <f>HYPERLINK("http://service.sap.com/sap/support/notes/1651225","1651225")</f>
        <v>1651225</v>
      </c>
      <c r="E6093">
        <v>1</v>
      </c>
      <c r="F6093" t="s">
        <v>7545</v>
      </c>
    </row>
    <row r="6094" spans="1:6" x14ac:dyDescent="0.25">
      <c r="A6094" t="s">
        <v>6077</v>
      </c>
      <c r="B6094" t="s">
        <v>1370</v>
      </c>
      <c r="C6094" t="s">
        <v>1371</v>
      </c>
      <c r="D6094" t="str">
        <f>HYPERLINK("http://service.sap.com/sap/support/notes/1669460","1669460")</f>
        <v>1669460</v>
      </c>
      <c r="E6094">
        <v>2</v>
      </c>
      <c r="F6094" t="s">
        <v>7546</v>
      </c>
    </row>
    <row r="6095" spans="1:6" x14ac:dyDescent="0.25">
      <c r="A6095" t="s">
        <v>6077</v>
      </c>
      <c r="B6095" t="s">
        <v>1370</v>
      </c>
      <c r="C6095" t="s">
        <v>1371</v>
      </c>
      <c r="D6095" t="str">
        <f>HYPERLINK("http://service.sap.com/sap/support/notes/1682283","1682283")</f>
        <v>1682283</v>
      </c>
      <c r="E6095">
        <v>1</v>
      </c>
      <c r="F6095" t="s">
        <v>7547</v>
      </c>
    </row>
    <row r="6096" spans="1:6" x14ac:dyDescent="0.25">
      <c r="A6096" t="s">
        <v>6077</v>
      </c>
      <c r="B6096" t="s">
        <v>1372</v>
      </c>
      <c r="C6096" t="s">
        <v>1373</v>
      </c>
      <c r="D6096" t="str">
        <f>HYPERLINK("http://service.sap.com/sap/support/notes/1628348","1628348")</f>
        <v>1628348</v>
      </c>
      <c r="E6096">
        <v>7</v>
      </c>
      <c r="F6096" t="s">
        <v>5600</v>
      </c>
    </row>
    <row r="6097" spans="1:6" x14ac:dyDescent="0.25">
      <c r="A6097" t="s">
        <v>6077</v>
      </c>
      <c r="B6097" t="s">
        <v>1372</v>
      </c>
      <c r="C6097" t="s">
        <v>1373</v>
      </c>
      <c r="D6097" t="str">
        <f>HYPERLINK("http://service.sap.com/sap/support/notes/1637001","1637001")</f>
        <v>1637001</v>
      </c>
      <c r="E6097">
        <v>2</v>
      </c>
      <c r="F6097" t="s">
        <v>7548</v>
      </c>
    </row>
    <row r="6098" spans="1:6" x14ac:dyDescent="0.25">
      <c r="A6098" t="s">
        <v>6077</v>
      </c>
      <c r="B6098" t="s">
        <v>1372</v>
      </c>
      <c r="C6098" t="s">
        <v>1373</v>
      </c>
      <c r="D6098" t="str">
        <f>HYPERLINK("http://service.sap.com/sap/support/notes/1639996","1639996")</f>
        <v>1639996</v>
      </c>
      <c r="E6098">
        <v>24</v>
      </c>
      <c r="F6098" t="s">
        <v>7549</v>
      </c>
    </row>
    <row r="6099" spans="1:6" x14ac:dyDescent="0.25">
      <c r="A6099" t="s">
        <v>6077</v>
      </c>
      <c r="B6099" t="s">
        <v>1372</v>
      </c>
      <c r="C6099" t="s">
        <v>1373</v>
      </c>
      <c r="D6099" t="str">
        <f>HYPERLINK("http://service.sap.com/sap/support/notes/1644636","1644636")</f>
        <v>1644636</v>
      </c>
      <c r="E6099">
        <v>5</v>
      </c>
      <c r="F6099" t="s">
        <v>7550</v>
      </c>
    </row>
    <row r="6100" spans="1:6" x14ac:dyDescent="0.25">
      <c r="A6100" t="s">
        <v>6077</v>
      </c>
      <c r="B6100" t="s">
        <v>1372</v>
      </c>
      <c r="C6100" t="s">
        <v>1373</v>
      </c>
      <c r="D6100" t="str">
        <f>HYPERLINK("http://service.sap.com/sap/support/notes/1644956","1644956")</f>
        <v>1644956</v>
      </c>
      <c r="E6100">
        <v>8</v>
      </c>
      <c r="F6100" t="s">
        <v>7551</v>
      </c>
    </row>
    <row r="6101" spans="1:6" x14ac:dyDescent="0.25">
      <c r="A6101" t="s">
        <v>6077</v>
      </c>
      <c r="B6101" t="s">
        <v>1372</v>
      </c>
      <c r="C6101" t="s">
        <v>1373</v>
      </c>
      <c r="D6101" t="str">
        <f>HYPERLINK("http://service.sap.com/sap/support/notes/1647385","1647385")</f>
        <v>1647385</v>
      </c>
      <c r="E6101">
        <v>2</v>
      </c>
      <c r="F6101" t="s">
        <v>7552</v>
      </c>
    </row>
    <row r="6102" spans="1:6" x14ac:dyDescent="0.25">
      <c r="A6102" t="s">
        <v>6077</v>
      </c>
      <c r="B6102" t="s">
        <v>1372</v>
      </c>
      <c r="C6102" t="s">
        <v>1373</v>
      </c>
      <c r="D6102" t="str">
        <f>HYPERLINK("http://service.sap.com/sap/support/notes/1649703","1649703")</f>
        <v>1649703</v>
      </c>
      <c r="E6102">
        <v>1</v>
      </c>
      <c r="F6102" t="s">
        <v>5607</v>
      </c>
    </row>
    <row r="6103" spans="1:6" x14ac:dyDescent="0.25">
      <c r="A6103" t="s">
        <v>6077</v>
      </c>
      <c r="B6103" t="s">
        <v>1372</v>
      </c>
      <c r="C6103" t="s">
        <v>1373</v>
      </c>
      <c r="D6103" t="str">
        <f>HYPERLINK("http://service.sap.com/sap/support/notes/1654954","1654954")</f>
        <v>1654954</v>
      </c>
      <c r="E6103">
        <v>7</v>
      </c>
      <c r="F6103" t="s">
        <v>7553</v>
      </c>
    </row>
    <row r="6104" spans="1:6" x14ac:dyDescent="0.25">
      <c r="A6104" t="s">
        <v>6077</v>
      </c>
      <c r="B6104" t="s">
        <v>1372</v>
      </c>
      <c r="C6104" t="s">
        <v>1373</v>
      </c>
      <c r="D6104" t="str">
        <f>HYPERLINK("http://service.sap.com/sap/support/notes/1660801","1660801")</f>
        <v>1660801</v>
      </c>
      <c r="E6104">
        <v>2</v>
      </c>
      <c r="F6104" t="s">
        <v>7554</v>
      </c>
    </row>
    <row r="6105" spans="1:6" x14ac:dyDescent="0.25">
      <c r="A6105" t="s">
        <v>6077</v>
      </c>
      <c r="B6105" t="s">
        <v>1372</v>
      </c>
      <c r="C6105" t="s">
        <v>1373</v>
      </c>
      <c r="D6105" t="str">
        <f>HYPERLINK("http://service.sap.com/sap/support/notes/1669798","1669798")</f>
        <v>1669798</v>
      </c>
      <c r="E6105">
        <v>2</v>
      </c>
      <c r="F6105" t="s">
        <v>7555</v>
      </c>
    </row>
    <row r="6106" spans="1:6" x14ac:dyDescent="0.25">
      <c r="A6106" t="s">
        <v>6077</v>
      </c>
      <c r="B6106" t="s">
        <v>1372</v>
      </c>
      <c r="C6106" t="s">
        <v>1373</v>
      </c>
      <c r="D6106" t="str">
        <f>HYPERLINK("http://service.sap.com/sap/support/notes/1671045","1671045")</f>
        <v>1671045</v>
      </c>
      <c r="E6106">
        <v>2</v>
      </c>
      <c r="F6106" t="s">
        <v>7556</v>
      </c>
    </row>
    <row r="6107" spans="1:6" x14ac:dyDescent="0.25">
      <c r="A6107" t="s">
        <v>6077</v>
      </c>
      <c r="B6107" t="s">
        <v>1372</v>
      </c>
      <c r="C6107" t="s">
        <v>1373</v>
      </c>
      <c r="D6107" t="str">
        <f>HYPERLINK("http://service.sap.com/sap/support/notes/1674372","1674372")</f>
        <v>1674372</v>
      </c>
      <c r="E6107">
        <v>2</v>
      </c>
      <c r="F6107" t="s">
        <v>7557</v>
      </c>
    </row>
    <row r="6108" spans="1:6" x14ac:dyDescent="0.25">
      <c r="A6108" t="s">
        <v>6077</v>
      </c>
      <c r="B6108" t="s">
        <v>1372</v>
      </c>
      <c r="C6108" t="s">
        <v>1373</v>
      </c>
      <c r="D6108" t="str">
        <f>HYPERLINK("http://service.sap.com/sap/support/notes/1674686","1674686")</f>
        <v>1674686</v>
      </c>
      <c r="E6108">
        <v>4</v>
      </c>
      <c r="F6108" t="s">
        <v>7558</v>
      </c>
    </row>
    <row r="6109" spans="1:6" x14ac:dyDescent="0.25">
      <c r="A6109" t="s">
        <v>6077</v>
      </c>
      <c r="B6109" t="s">
        <v>7559</v>
      </c>
      <c r="C6109" t="s">
        <v>7560</v>
      </c>
      <c r="D6109" t="str">
        <f>HYPERLINK("http://service.sap.com/sap/support/notes/1678649","1678649")</f>
        <v>1678649</v>
      </c>
      <c r="E6109">
        <v>4</v>
      </c>
      <c r="F6109" t="s">
        <v>7561</v>
      </c>
    </row>
    <row r="6110" spans="1:6" x14ac:dyDescent="0.25">
      <c r="A6110" t="s">
        <v>6077</v>
      </c>
      <c r="B6110" t="s">
        <v>1379</v>
      </c>
      <c r="C6110" t="s">
        <v>1380</v>
      </c>
      <c r="D6110" t="str">
        <f>HYPERLINK("http://service.sap.com/sap/support/notes/1654777","1654777")</f>
        <v>1654777</v>
      </c>
      <c r="E6110">
        <v>6</v>
      </c>
      <c r="F6110" t="s">
        <v>7562</v>
      </c>
    </row>
    <row r="6111" spans="1:6" x14ac:dyDescent="0.25">
      <c r="A6111" t="s">
        <v>6077</v>
      </c>
      <c r="B6111" t="s">
        <v>1379</v>
      </c>
      <c r="C6111" t="s">
        <v>1380</v>
      </c>
      <c r="D6111" t="str">
        <f>HYPERLINK("http://service.sap.com/sap/support/notes/1667732","1667732")</f>
        <v>1667732</v>
      </c>
      <c r="E6111">
        <v>3</v>
      </c>
      <c r="F6111" t="s">
        <v>7563</v>
      </c>
    </row>
    <row r="6112" spans="1:6" x14ac:dyDescent="0.25">
      <c r="A6112" t="s">
        <v>6077</v>
      </c>
      <c r="B6112" t="s">
        <v>1379</v>
      </c>
      <c r="C6112" t="s">
        <v>1380</v>
      </c>
      <c r="D6112" t="str">
        <f>HYPERLINK("http://service.sap.com/sap/support/notes/1671881","1671881")</f>
        <v>1671881</v>
      </c>
      <c r="E6112">
        <v>2</v>
      </c>
      <c r="F6112" t="s">
        <v>7564</v>
      </c>
    </row>
    <row r="6113" spans="1:6" x14ac:dyDescent="0.25">
      <c r="A6113" t="s">
        <v>6077</v>
      </c>
      <c r="B6113" t="s">
        <v>1379</v>
      </c>
      <c r="C6113" t="s">
        <v>1380</v>
      </c>
      <c r="D6113" t="str">
        <f>HYPERLINK("http://service.sap.com/sap/support/notes/1673222","1673222")</f>
        <v>1673222</v>
      </c>
      <c r="E6113">
        <v>2</v>
      </c>
      <c r="F6113" t="s">
        <v>7565</v>
      </c>
    </row>
    <row r="6114" spans="1:6" x14ac:dyDescent="0.25">
      <c r="A6114" t="s">
        <v>6077</v>
      </c>
      <c r="B6114" t="s">
        <v>1379</v>
      </c>
      <c r="C6114" t="s">
        <v>1380</v>
      </c>
      <c r="D6114" t="str">
        <f>HYPERLINK("http://service.sap.com/sap/support/notes/1674815","1674815")</f>
        <v>1674815</v>
      </c>
      <c r="E6114">
        <v>1</v>
      </c>
      <c r="F6114" t="s">
        <v>7566</v>
      </c>
    </row>
    <row r="6115" spans="1:6" x14ac:dyDescent="0.25">
      <c r="A6115" t="s">
        <v>6077</v>
      </c>
      <c r="B6115" t="s">
        <v>1379</v>
      </c>
      <c r="C6115" t="s">
        <v>1380</v>
      </c>
      <c r="D6115" t="str">
        <f>HYPERLINK("http://service.sap.com/sap/support/notes/1674817","1674817")</f>
        <v>1674817</v>
      </c>
      <c r="E6115">
        <v>1</v>
      </c>
      <c r="F6115" t="s">
        <v>7567</v>
      </c>
    </row>
    <row r="6116" spans="1:6" x14ac:dyDescent="0.25">
      <c r="A6116" t="s">
        <v>6077</v>
      </c>
      <c r="B6116" t="s">
        <v>1379</v>
      </c>
      <c r="C6116" t="s">
        <v>1380</v>
      </c>
      <c r="D6116" t="str">
        <f>HYPERLINK("http://service.sap.com/sap/support/notes/1677119","1677119")</f>
        <v>1677119</v>
      </c>
      <c r="E6116">
        <v>1</v>
      </c>
      <c r="F6116" t="s">
        <v>7568</v>
      </c>
    </row>
    <row r="6117" spans="1:6" x14ac:dyDescent="0.25">
      <c r="A6117" t="s">
        <v>6077</v>
      </c>
      <c r="B6117" t="s">
        <v>1379</v>
      </c>
      <c r="C6117" t="s">
        <v>1380</v>
      </c>
      <c r="D6117" t="str">
        <f>HYPERLINK("http://service.sap.com/sap/support/notes/1678676","1678676")</f>
        <v>1678676</v>
      </c>
      <c r="E6117">
        <v>1</v>
      </c>
      <c r="F6117" t="s">
        <v>7569</v>
      </c>
    </row>
    <row r="6118" spans="1:6" x14ac:dyDescent="0.25">
      <c r="A6118" t="s">
        <v>6077</v>
      </c>
      <c r="B6118" t="s">
        <v>1379</v>
      </c>
      <c r="C6118" t="s">
        <v>1380</v>
      </c>
      <c r="D6118" t="str">
        <f>HYPERLINK("http://service.sap.com/sap/support/notes/1690193","1690193")</f>
        <v>1690193</v>
      </c>
      <c r="E6118">
        <v>1</v>
      </c>
      <c r="F6118" t="s">
        <v>7570</v>
      </c>
    </row>
    <row r="6119" spans="1:6" x14ac:dyDescent="0.25">
      <c r="A6119" t="s">
        <v>6077</v>
      </c>
      <c r="B6119" t="s">
        <v>5622</v>
      </c>
      <c r="C6119" t="s">
        <v>5623</v>
      </c>
      <c r="D6119" t="str">
        <f>HYPERLINK("http://service.sap.com/sap/support/notes/1666697","1666697")</f>
        <v>1666697</v>
      </c>
      <c r="E6119">
        <v>4</v>
      </c>
      <c r="F6119" t="s">
        <v>7571</v>
      </c>
    </row>
    <row r="6120" spans="1:6" x14ac:dyDescent="0.25">
      <c r="A6120" t="s">
        <v>6077</v>
      </c>
      <c r="B6120" t="s">
        <v>1382</v>
      </c>
      <c r="C6120" t="s">
        <v>141</v>
      </c>
      <c r="D6120" t="str">
        <f>HYPERLINK("http://service.sap.com/sap/support/notes/1643930","1643930")</f>
        <v>1643930</v>
      </c>
      <c r="E6120">
        <v>3</v>
      </c>
      <c r="F6120" t="s">
        <v>7572</v>
      </c>
    </row>
    <row r="6121" spans="1:6" x14ac:dyDescent="0.25">
      <c r="A6121" t="s">
        <v>6077</v>
      </c>
      <c r="B6121" t="s">
        <v>1382</v>
      </c>
      <c r="C6121" t="s">
        <v>141</v>
      </c>
      <c r="D6121" t="str">
        <f>HYPERLINK("http://service.sap.com/sap/support/notes/1657431","1657431")</f>
        <v>1657431</v>
      </c>
      <c r="E6121">
        <v>3</v>
      </c>
      <c r="F6121" t="s">
        <v>7573</v>
      </c>
    </row>
    <row r="6122" spans="1:6" x14ac:dyDescent="0.25">
      <c r="A6122" t="s">
        <v>6077</v>
      </c>
      <c r="B6122" t="s">
        <v>1382</v>
      </c>
      <c r="C6122" t="s">
        <v>141</v>
      </c>
      <c r="D6122" t="str">
        <f>HYPERLINK("http://service.sap.com/sap/support/notes/1664287","1664287")</f>
        <v>1664287</v>
      </c>
      <c r="E6122">
        <v>3</v>
      </c>
      <c r="F6122" t="s">
        <v>7574</v>
      </c>
    </row>
    <row r="6123" spans="1:6" x14ac:dyDescent="0.25">
      <c r="A6123" t="s">
        <v>6077</v>
      </c>
      <c r="B6123" t="s">
        <v>1382</v>
      </c>
      <c r="C6123" t="s">
        <v>141</v>
      </c>
      <c r="D6123" t="str">
        <f>HYPERLINK("http://service.sap.com/sap/support/notes/1683051","1683051")</f>
        <v>1683051</v>
      </c>
      <c r="E6123">
        <v>4</v>
      </c>
      <c r="F6123" t="s">
        <v>7575</v>
      </c>
    </row>
    <row r="6124" spans="1:6" x14ac:dyDescent="0.25">
      <c r="A6124" t="s">
        <v>6077</v>
      </c>
      <c r="B6124" t="s">
        <v>1385</v>
      </c>
      <c r="C6124" t="s">
        <v>1386</v>
      </c>
      <c r="D6124" t="str">
        <f>HYPERLINK("http://service.sap.com/sap/support/notes/1653001","1653001")</f>
        <v>1653001</v>
      </c>
      <c r="E6124">
        <v>2</v>
      </c>
      <c r="F6124" t="s">
        <v>7576</v>
      </c>
    </row>
    <row r="6125" spans="1:6" x14ac:dyDescent="0.25">
      <c r="A6125" t="s">
        <v>6077</v>
      </c>
      <c r="B6125" t="s">
        <v>1385</v>
      </c>
      <c r="C6125" t="s">
        <v>1386</v>
      </c>
      <c r="D6125" t="str">
        <f>HYPERLINK("http://service.sap.com/sap/support/notes/1653630","1653630")</f>
        <v>1653630</v>
      </c>
      <c r="E6125">
        <v>2</v>
      </c>
      <c r="F6125" t="s">
        <v>7577</v>
      </c>
    </row>
    <row r="6126" spans="1:6" x14ac:dyDescent="0.25">
      <c r="A6126" t="s">
        <v>6077</v>
      </c>
      <c r="B6126" t="s">
        <v>1385</v>
      </c>
      <c r="C6126" t="s">
        <v>1386</v>
      </c>
      <c r="D6126" t="str">
        <f>HYPERLINK("http://service.sap.com/sap/support/notes/1661137","1661137")</f>
        <v>1661137</v>
      </c>
      <c r="E6126">
        <v>3</v>
      </c>
      <c r="F6126" t="s">
        <v>7578</v>
      </c>
    </row>
    <row r="6127" spans="1:6" x14ac:dyDescent="0.25">
      <c r="A6127" t="s">
        <v>6077</v>
      </c>
      <c r="B6127" t="s">
        <v>1385</v>
      </c>
      <c r="C6127" t="s">
        <v>1386</v>
      </c>
      <c r="D6127" t="str">
        <f>HYPERLINK("http://service.sap.com/sap/support/notes/1672622","1672622")</f>
        <v>1672622</v>
      </c>
      <c r="E6127">
        <v>1</v>
      </c>
      <c r="F6127" t="s">
        <v>7579</v>
      </c>
    </row>
    <row r="6128" spans="1:6" x14ac:dyDescent="0.25">
      <c r="A6128" t="s">
        <v>6077</v>
      </c>
      <c r="B6128" t="s">
        <v>1385</v>
      </c>
      <c r="C6128" t="s">
        <v>1386</v>
      </c>
      <c r="D6128" t="str">
        <f>HYPERLINK("http://service.sap.com/sap/support/notes/1674453","1674453")</f>
        <v>1674453</v>
      </c>
      <c r="E6128">
        <v>1</v>
      </c>
      <c r="F6128" t="s">
        <v>7580</v>
      </c>
    </row>
    <row r="6129" spans="1:6" x14ac:dyDescent="0.25">
      <c r="A6129" t="s">
        <v>6077</v>
      </c>
      <c r="B6129" t="s">
        <v>1385</v>
      </c>
      <c r="C6129" t="s">
        <v>1386</v>
      </c>
      <c r="D6129" t="str">
        <f>HYPERLINK("http://service.sap.com/sap/support/notes/1677743","1677743")</f>
        <v>1677743</v>
      </c>
      <c r="E6129">
        <v>2</v>
      </c>
      <c r="F6129" t="s">
        <v>7581</v>
      </c>
    </row>
    <row r="6130" spans="1:6" x14ac:dyDescent="0.25">
      <c r="A6130" t="s">
        <v>6077</v>
      </c>
      <c r="B6130" t="s">
        <v>1385</v>
      </c>
      <c r="C6130" t="s">
        <v>1386</v>
      </c>
      <c r="D6130" t="str">
        <f>HYPERLINK("http://service.sap.com/sap/support/notes/1682537","1682537")</f>
        <v>1682537</v>
      </c>
      <c r="E6130">
        <v>2</v>
      </c>
      <c r="F6130" t="s">
        <v>7582</v>
      </c>
    </row>
    <row r="6131" spans="1:6" x14ac:dyDescent="0.25">
      <c r="A6131" t="s">
        <v>6077</v>
      </c>
      <c r="B6131" t="s">
        <v>1385</v>
      </c>
      <c r="C6131" t="s">
        <v>1386</v>
      </c>
      <c r="D6131" t="str">
        <f>HYPERLINK("http://service.sap.com/sap/support/notes/1682781","1682781")</f>
        <v>1682781</v>
      </c>
      <c r="E6131">
        <v>2</v>
      </c>
      <c r="F6131" t="s">
        <v>7583</v>
      </c>
    </row>
    <row r="6132" spans="1:6" x14ac:dyDescent="0.25">
      <c r="A6132" t="s">
        <v>6077</v>
      </c>
      <c r="B6132" t="s">
        <v>1385</v>
      </c>
      <c r="C6132" t="s">
        <v>1386</v>
      </c>
      <c r="D6132" t="str">
        <f>HYPERLINK("http://service.sap.com/sap/support/notes/1683506","1683506")</f>
        <v>1683506</v>
      </c>
      <c r="E6132">
        <v>3</v>
      </c>
      <c r="F6132" t="s">
        <v>7584</v>
      </c>
    </row>
    <row r="6133" spans="1:6" x14ac:dyDescent="0.25">
      <c r="A6133" t="s">
        <v>6077</v>
      </c>
      <c r="B6133" t="s">
        <v>1385</v>
      </c>
      <c r="C6133" t="s">
        <v>1386</v>
      </c>
      <c r="D6133" t="str">
        <f>HYPERLINK("http://service.sap.com/sap/support/notes/1686800","1686800")</f>
        <v>1686800</v>
      </c>
      <c r="E6133">
        <v>2</v>
      </c>
      <c r="F6133" t="s">
        <v>7585</v>
      </c>
    </row>
    <row r="6134" spans="1:6" x14ac:dyDescent="0.25">
      <c r="A6134" t="s">
        <v>6077</v>
      </c>
      <c r="B6134" t="s">
        <v>1385</v>
      </c>
      <c r="C6134" t="s">
        <v>1386</v>
      </c>
      <c r="D6134" t="str">
        <f>HYPERLINK("http://service.sap.com/sap/support/notes/1686809","1686809")</f>
        <v>1686809</v>
      </c>
      <c r="E6134">
        <v>1</v>
      </c>
      <c r="F6134" t="s">
        <v>7586</v>
      </c>
    </row>
    <row r="6135" spans="1:6" x14ac:dyDescent="0.25">
      <c r="A6135" t="s">
        <v>6077</v>
      </c>
      <c r="B6135" t="s">
        <v>1385</v>
      </c>
      <c r="C6135" t="s">
        <v>1386</v>
      </c>
      <c r="D6135" t="str">
        <f>HYPERLINK("http://service.sap.com/sap/support/notes/1689497","1689497")</f>
        <v>1689497</v>
      </c>
      <c r="E6135">
        <v>1</v>
      </c>
      <c r="F6135" t="s">
        <v>7587</v>
      </c>
    </row>
    <row r="6136" spans="1:6" x14ac:dyDescent="0.25">
      <c r="A6136" t="s">
        <v>6077</v>
      </c>
      <c r="B6136" t="s">
        <v>1385</v>
      </c>
      <c r="C6136" t="s">
        <v>1386</v>
      </c>
      <c r="D6136" t="str">
        <f>HYPERLINK("http://service.sap.com/sap/support/notes/1689581","1689581")</f>
        <v>1689581</v>
      </c>
      <c r="E6136">
        <v>1</v>
      </c>
      <c r="F6136" t="s">
        <v>7588</v>
      </c>
    </row>
    <row r="6137" spans="1:6" x14ac:dyDescent="0.25">
      <c r="A6137" t="s">
        <v>6077</v>
      </c>
      <c r="B6137" t="s">
        <v>1385</v>
      </c>
      <c r="C6137" t="s">
        <v>1386</v>
      </c>
      <c r="D6137" t="str">
        <f>HYPERLINK("http://service.sap.com/sap/support/notes/1689901","1689901")</f>
        <v>1689901</v>
      </c>
      <c r="E6137">
        <v>2</v>
      </c>
      <c r="F6137" t="s">
        <v>7589</v>
      </c>
    </row>
    <row r="6138" spans="1:6" x14ac:dyDescent="0.25">
      <c r="A6138" t="s">
        <v>6077</v>
      </c>
      <c r="B6138" t="s">
        <v>1397</v>
      </c>
      <c r="C6138" t="s">
        <v>1398</v>
      </c>
      <c r="D6138" t="str">
        <f>HYPERLINK("http://service.sap.com/sap/support/notes/1653000","1653000")</f>
        <v>1653000</v>
      </c>
      <c r="E6138">
        <v>2</v>
      </c>
      <c r="F6138" t="s">
        <v>7590</v>
      </c>
    </row>
    <row r="6139" spans="1:6" x14ac:dyDescent="0.25">
      <c r="A6139" t="s">
        <v>6077</v>
      </c>
      <c r="B6139" t="s">
        <v>1397</v>
      </c>
      <c r="C6139" t="s">
        <v>1398</v>
      </c>
      <c r="D6139" t="str">
        <f>HYPERLINK("http://service.sap.com/sap/support/notes/1663592","1663592")</f>
        <v>1663592</v>
      </c>
      <c r="E6139">
        <v>2</v>
      </c>
      <c r="F6139" t="s">
        <v>7591</v>
      </c>
    </row>
    <row r="6140" spans="1:6" x14ac:dyDescent="0.25">
      <c r="A6140" t="s">
        <v>6077</v>
      </c>
      <c r="B6140" t="s">
        <v>1397</v>
      </c>
      <c r="C6140" t="s">
        <v>1398</v>
      </c>
      <c r="D6140" t="str">
        <f>HYPERLINK("http://service.sap.com/sap/support/notes/1672927","1672927")</f>
        <v>1672927</v>
      </c>
      <c r="E6140">
        <v>3</v>
      </c>
      <c r="F6140" t="s">
        <v>7592</v>
      </c>
    </row>
    <row r="6141" spans="1:6" x14ac:dyDescent="0.25">
      <c r="A6141" t="s">
        <v>6077</v>
      </c>
      <c r="B6141" t="s">
        <v>1397</v>
      </c>
      <c r="C6141" t="s">
        <v>1398</v>
      </c>
      <c r="D6141" t="str">
        <f>HYPERLINK("http://service.sap.com/sap/support/notes/1672965","1672965")</f>
        <v>1672965</v>
      </c>
      <c r="E6141">
        <v>1</v>
      </c>
      <c r="F6141" t="s">
        <v>7593</v>
      </c>
    </row>
    <row r="6142" spans="1:6" x14ac:dyDescent="0.25">
      <c r="A6142" t="s">
        <v>6077</v>
      </c>
      <c r="B6142" t="s">
        <v>1397</v>
      </c>
      <c r="C6142" t="s">
        <v>1398</v>
      </c>
      <c r="D6142" t="str">
        <f>HYPERLINK("http://service.sap.com/sap/support/notes/1673991","1673991")</f>
        <v>1673991</v>
      </c>
      <c r="E6142">
        <v>1</v>
      </c>
      <c r="F6142" t="s">
        <v>5686</v>
      </c>
    </row>
    <row r="6143" spans="1:6" x14ac:dyDescent="0.25">
      <c r="A6143" t="s">
        <v>6077</v>
      </c>
      <c r="B6143" t="s">
        <v>1397</v>
      </c>
      <c r="C6143" t="s">
        <v>1398</v>
      </c>
      <c r="D6143" t="str">
        <f>HYPERLINK("http://service.sap.com/sap/support/notes/1677405","1677405")</f>
        <v>1677405</v>
      </c>
      <c r="E6143">
        <v>1</v>
      </c>
      <c r="F6143" t="s">
        <v>7594</v>
      </c>
    </row>
    <row r="6144" spans="1:6" x14ac:dyDescent="0.25">
      <c r="A6144" t="s">
        <v>6077</v>
      </c>
      <c r="B6144" t="s">
        <v>1407</v>
      </c>
      <c r="C6144" t="s">
        <v>1408</v>
      </c>
      <c r="D6144" t="str">
        <f>HYPERLINK("http://service.sap.com/sap/support/notes/1634700","1634700")</f>
        <v>1634700</v>
      </c>
      <c r="E6144">
        <v>4</v>
      </c>
      <c r="F6144" t="s">
        <v>7595</v>
      </c>
    </row>
    <row r="6145" spans="1:6" x14ac:dyDescent="0.25">
      <c r="A6145" t="s">
        <v>6077</v>
      </c>
      <c r="B6145" t="s">
        <v>1407</v>
      </c>
      <c r="C6145" t="s">
        <v>1408</v>
      </c>
      <c r="D6145" t="str">
        <f>HYPERLINK("http://service.sap.com/sap/support/notes/1661140","1661140")</f>
        <v>1661140</v>
      </c>
      <c r="E6145">
        <v>5</v>
      </c>
      <c r="F6145" t="s">
        <v>7596</v>
      </c>
    </row>
    <row r="6146" spans="1:6" x14ac:dyDescent="0.25">
      <c r="A6146" t="s">
        <v>6077</v>
      </c>
      <c r="B6146" t="s">
        <v>1407</v>
      </c>
      <c r="C6146" t="s">
        <v>1408</v>
      </c>
      <c r="D6146" t="str">
        <f>HYPERLINK("http://service.sap.com/sap/support/notes/1662605","1662605")</f>
        <v>1662605</v>
      </c>
      <c r="E6146">
        <v>1</v>
      </c>
      <c r="F6146" t="s">
        <v>7597</v>
      </c>
    </row>
    <row r="6147" spans="1:6" x14ac:dyDescent="0.25">
      <c r="A6147" t="s">
        <v>6077</v>
      </c>
      <c r="B6147" t="s">
        <v>1407</v>
      </c>
      <c r="C6147" t="s">
        <v>1408</v>
      </c>
      <c r="D6147" t="str">
        <f>HYPERLINK("http://service.sap.com/sap/support/notes/1664453","1664453")</f>
        <v>1664453</v>
      </c>
      <c r="E6147">
        <v>7</v>
      </c>
      <c r="F6147" t="s">
        <v>5763</v>
      </c>
    </row>
    <row r="6148" spans="1:6" x14ac:dyDescent="0.25">
      <c r="A6148" t="s">
        <v>6077</v>
      </c>
      <c r="B6148" t="s">
        <v>1407</v>
      </c>
      <c r="C6148" t="s">
        <v>1408</v>
      </c>
      <c r="D6148" t="str">
        <f>HYPERLINK("http://service.sap.com/sap/support/notes/1670878","1670878")</f>
        <v>1670878</v>
      </c>
      <c r="E6148">
        <v>2</v>
      </c>
      <c r="F6148" t="s">
        <v>7598</v>
      </c>
    </row>
    <row r="6149" spans="1:6" x14ac:dyDescent="0.25">
      <c r="A6149" t="s">
        <v>6077</v>
      </c>
      <c r="B6149" t="s">
        <v>1407</v>
      </c>
      <c r="C6149" t="s">
        <v>1408</v>
      </c>
      <c r="D6149" t="str">
        <f>HYPERLINK("http://service.sap.com/sap/support/notes/1675019","1675019")</f>
        <v>1675019</v>
      </c>
      <c r="E6149">
        <v>1</v>
      </c>
      <c r="F6149" t="s">
        <v>7599</v>
      </c>
    </row>
    <row r="6150" spans="1:6" x14ac:dyDescent="0.25">
      <c r="A6150" t="s">
        <v>6077</v>
      </c>
      <c r="B6150" t="s">
        <v>1407</v>
      </c>
      <c r="C6150" t="s">
        <v>1408</v>
      </c>
      <c r="D6150" t="str">
        <f>HYPERLINK("http://service.sap.com/sap/support/notes/1676666","1676666")</f>
        <v>1676666</v>
      </c>
      <c r="E6150">
        <v>1</v>
      </c>
      <c r="F6150" t="s">
        <v>7600</v>
      </c>
    </row>
    <row r="6151" spans="1:6" x14ac:dyDescent="0.25">
      <c r="A6151" t="s">
        <v>6077</v>
      </c>
      <c r="B6151" t="s">
        <v>1407</v>
      </c>
      <c r="C6151" t="s">
        <v>1408</v>
      </c>
      <c r="D6151" t="str">
        <f>HYPERLINK("http://service.sap.com/sap/support/notes/1680338","1680338")</f>
        <v>1680338</v>
      </c>
      <c r="E6151">
        <v>1</v>
      </c>
      <c r="F6151" t="s">
        <v>7601</v>
      </c>
    </row>
    <row r="6152" spans="1:6" x14ac:dyDescent="0.25">
      <c r="A6152" t="s">
        <v>6077</v>
      </c>
      <c r="B6152" t="s">
        <v>1407</v>
      </c>
      <c r="C6152" t="s">
        <v>1408</v>
      </c>
      <c r="D6152" t="str">
        <f>HYPERLINK("http://service.sap.com/sap/support/notes/1681470","1681470")</f>
        <v>1681470</v>
      </c>
      <c r="E6152">
        <v>1</v>
      </c>
      <c r="F6152" t="s">
        <v>7602</v>
      </c>
    </row>
    <row r="6153" spans="1:6" x14ac:dyDescent="0.25">
      <c r="A6153" t="s">
        <v>6077</v>
      </c>
      <c r="B6153" t="s">
        <v>1407</v>
      </c>
      <c r="C6153" t="s">
        <v>1408</v>
      </c>
      <c r="D6153" t="str">
        <f>HYPERLINK("http://service.sap.com/sap/support/notes/1683152","1683152")</f>
        <v>1683152</v>
      </c>
      <c r="E6153">
        <v>1</v>
      </c>
      <c r="F6153" t="s">
        <v>7603</v>
      </c>
    </row>
    <row r="6154" spans="1:6" x14ac:dyDescent="0.25">
      <c r="A6154" t="s">
        <v>6077</v>
      </c>
      <c r="B6154" t="s">
        <v>1407</v>
      </c>
      <c r="C6154" t="s">
        <v>1408</v>
      </c>
      <c r="D6154" t="str">
        <f>HYPERLINK("http://service.sap.com/sap/support/notes/1684541","1684541")</f>
        <v>1684541</v>
      </c>
      <c r="E6154">
        <v>1</v>
      </c>
      <c r="F6154" t="s">
        <v>7604</v>
      </c>
    </row>
    <row r="6155" spans="1:6" x14ac:dyDescent="0.25">
      <c r="A6155" t="s">
        <v>6077</v>
      </c>
      <c r="B6155" t="s">
        <v>1407</v>
      </c>
      <c r="C6155" t="s">
        <v>1408</v>
      </c>
      <c r="D6155" t="str">
        <f>HYPERLINK("http://service.sap.com/sap/support/notes/1691319","1691319")</f>
        <v>1691319</v>
      </c>
      <c r="E6155">
        <v>1</v>
      </c>
      <c r="F6155" t="s">
        <v>7605</v>
      </c>
    </row>
    <row r="6156" spans="1:6" x14ac:dyDescent="0.25">
      <c r="A6156" t="s">
        <v>6077</v>
      </c>
      <c r="B6156" t="s">
        <v>1407</v>
      </c>
      <c r="C6156" t="s">
        <v>1408</v>
      </c>
      <c r="D6156" t="str">
        <f>HYPERLINK("http://service.sap.com/sap/support/notes/1691972","1691972")</f>
        <v>1691972</v>
      </c>
      <c r="E6156">
        <v>3</v>
      </c>
      <c r="F6156" t="s">
        <v>7606</v>
      </c>
    </row>
    <row r="6157" spans="1:6" x14ac:dyDescent="0.25">
      <c r="A6157" t="s">
        <v>6077</v>
      </c>
      <c r="B6157" t="s">
        <v>5765</v>
      </c>
      <c r="C6157" t="s">
        <v>3170</v>
      </c>
      <c r="D6157" t="str">
        <f>HYPERLINK("http://service.sap.com/sap/support/notes/1654390","1654390")</f>
        <v>1654390</v>
      </c>
      <c r="E6157">
        <v>2</v>
      </c>
      <c r="F6157" t="s">
        <v>7607</v>
      </c>
    </row>
    <row r="6158" spans="1:6" x14ac:dyDescent="0.25">
      <c r="A6158" t="s">
        <v>6077</v>
      </c>
      <c r="B6158" t="s">
        <v>5765</v>
      </c>
      <c r="C6158" t="s">
        <v>3170</v>
      </c>
      <c r="D6158" t="str">
        <f>HYPERLINK("http://service.sap.com/sap/support/notes/1677893","1677893")</f>
        <v>1677893</v>
      </c>
      <c r="E6158">
        <v>3</v>
      </c>
      <c r="F6158" t="s">
        <v>7608</v>
      </c>
    </row>
    <row r="6159" spans="1:6" x14ac:dyDescent="0.25">
      <c r="A6159" t="s">
        <v>6077</v>
      </c>
      <c r="B6159" t="s">
        <v>1419</v>
      </c>
      <c r="C6159" t="s">
        <v>1420</v>
      </c>
    </row>
    <row r="6160" spans="1:6" x14ac:dyDescent="0.25">
      <c r="A6160" t="s">
        <v>6077</v>
      </c>
      <c r="B6160" t="s">
        <v>7609</v>
      </c>
      <c r="C6160" t="s">
        <v>7610</v>
      </c>
      <c r="D6160" t="str">
        <f>HYPERLINK("http://service.sap.com/sap/support/notes/1622119","1622119")</f>
        <v>1622119</v>
      </c>
      <c r="E6160">
        <v>1</v>
      </c>
      <c r="F6160" t="s">
        <v>7611</v>
      </c>
    </row>
    <row r="6161" spans="1:6" x14ac:dyDescent="0.25">
      <c r="A6161" t="s">
        <v>6077</v>
      </c>
      <c r="B6161" t="s">
        <v>5780</v>
      </c>
      <c r="C6161" t="s">
        <v>132</v>
      </c>
      <c r="D6161" t="str">
        <f>HYPERLINK("http://service.sap.com/sap/support/notes/1645901","1645901")</f>
        <v>1645901</v>
      </c>
      <c r="E6161">
        <v>11</v>
      </c>
      <c r="F6161" t="s">
        <v>5783</v>
      </c>
    </row>
    <row r="6162" spans="1:6" x14ac:dyDescent="0.25">
      <c r="A6162" t="s">
        <v>6077</v>
      </c>
      <c r="B6162" t="s">
        <v>5780</v>
      </c>
      <c r="C6162" t="s">
        <v>132</v>
      </c>
      <c r="D6162" t="str">
        <f>HYPERLINK("http://service.sap.com/sap/support/notes/1672660","1672660")</f>
        <v>1672660</v>
      </c>
      <c r="E6162">
        <v>6</v>
      </c>
      <c r="F6162" t="s">
        <v>7612</v>
      </c>
    </row>
    <row r="6163" spans="1:6" x14ac:dyDescent="0.25">
      <c r="A6163" t="s">
        <v>6077</v>
      </c>
      <c r="B6163" t="s">
        <v>5780</v>
      </c>
      <c r="C6163" t="s">
        <v>132</v>
      </c>
      <c r="D6163" t="str">
        <f>HYPERLINK("http://service.sap.com/sap/support/notes/1688178","1688178")</f>
        <v>1688178</v>
      </c>
      <c r="E6163">
        <v>2</v>
      </c>
      <c r="F6163" t="s">
        <v>7613</v>
      </c>
    </row>
    <row r="6164" spans="1:6" x14ac:dyDescent="0.25">
      <c r="A6164" t="s">
        <v>6077</v>
      </c>
      <c r="B6164" t="s">
        <v>5780</v>
      </c>
      <c r="C6164" t="s">
        <v>132</v>
      </c>
      <c r="D6164" t="str">
        <f>HYPERLINK("http://service.sap.com/sap/support/notes/1688793","1688793")</f>
        <v>1688793</v>
      </c>
      <c r="E6164">
        <v>1</v>
      </c>
      <c r="F6164" t="s">
        <v>7614</v>
      </c>
    </row>
    <row r="6165" spans="1:6" x14ac:dyDescent="0.25">
      <c r="A6165" t="s">
        <v>6077</v>
      </c>
      <c r="B6165" t="s">
        <v>5780</v>
      </c>
      <c r="C6165" t="s">
        <v>132</v>
      </c>
      <c r="D6165" t="str">
        <f>HYPERLINK("http://service.sap.com/sap/support/notes/1690984","1690984")</f>
        <v>1690984</v>
      </c>
      <c r="E6165">
        <v>1</v>
      </c>
      <c r="F6165" t="s">
        <v>7615</v>
      </c>
    </row>
    <row r="6166" spans="1:6" x14ac:dyDescent="0.25">
      <c r="A6166" t="s">
        <v>6077</v>
      </c>
      <c r="B6166" t="s">
        <v>5780</v>
      </c>
      <c r="C6166" t="s">
        <v>132</v>
      </c>
      <c r="D6166" t="str">
        <f>HYPERLINK("http://service.sap.com/sap/support/notes/1692966","1692966")</f>
        <v>1692966</v>
      </c>
      <c r="E6166">
        <v>1</v>
      </c>
      <c r="F6166" t="s">
        <v>7616</v>
      </c>
    </row>
    <row r="6167" spans="1:6" x14ac:dyDescent="0.25">
      <c r="A6167" t="s">
        <v>6077</v>
      </c>
      <c r="B6167" t="s">
        <v>5780</v>
      </c>
      <c r="C6167" t="s">
        <v>132</v>
      </c>
      <c r="D6167" t="str">
        <f>HYPERLINK("http://service.sap.com/sap/support/notes/1694958","1694958")</f>
        <v>1694958</v>
      </c>
      <c r="E6167">
        <v>1</v>
      </c>
      <c r="F6167" t="s">
        <v>7617</v>
      </c>
    </row>
    <row r="6168" spans="1:6" x14ac:dyDescent="0.25">
      <c r="A6168" t="s">
        <v>6077</v>
      </c>
      <c r="B6168" t="s">
        <v>1421</v>
      </c>
      <c r="C6168" t="s">
        <v>1422</v>
      </c>
      <c r="D6168" t="str">
        <f>HYPERLINK("http://service.sap.com/sap/support/notes/1675924","1675924")</f>
        <v>1675924</v>
      </c>
      <c r="E6168">
        <v>2</v>
      </c>
      <c r="F6168" t="s">
        <v>7618</v>
      </c>
    </row>
    <row r="6169" spans="1:6" x14ac:dyDescent="0.25">
      <c r="A6169" t="s">
        <v>6077</v>
      </c>
      <c r="B6169" t="s">
        <v>1421</v>
      </c>
      <c r="C6169" t="s">
        <v>1422</v>
      </c>
      <c r="D6169" t="str">
        <f>HYPERLINK("http://service.sap.com/sap/support/notes/1681651","1681651")</f>
        <v>1681651</v>
      </c>
      <c r="E6169">
        <v>4</v>
      </c>
      <c r="F6169" t="s">
        <v>7619</v>
      </c>
    </row>
    <row r="6170" spans="1:6" x14ac:dyDescent="0.25">
      <c r="A6170" t="s">
        <v>6077</v>
      </c>
      <c r="B6170" t="s">
        <v>1421</v>
      </c>
      <c r="C6170" t="s">
        <v>1422</v>
      </c>
      <c r="D6170" t="str">
        <f>HYPERLINK("http://service.sap.com/sap/support/notes/1683711","1683711")</f>
        <v>1683711</v>
      </c>
      <c r="E6170">
        <v>1</v>
      </c>
      <c r="F6170" t="s">
        <v>7620</v>
      </c>
    </row>
    <row r="6171" spans="1:6" x14ac:dyDescent="0.25">
      <c r="A6171" t="s">
        <v>6077</v>
      </c>
      <c r="B6171" t="s">
        <v>1424</v>
      </c>
      <c r="C6171" t="s">
        <v>1425</v>
      </c>
      <c r="D6171" t="str">
        <f>HYPERLINK("http://service.sap.com/sap/support/notes/1679028","1679028")</f>
        <v>1679028</v>
      </c>
      <c r="E6171">
        <v>5</v>
      </c>
      <c r="F6171" t="s">
        <v>7621</v>
      </c>
    </row>
    <row r="6172" spans="1:6" x14ac:dyDescent="0.25">
      <c r="A6172" t="s">
        <v>6077</v>
      </c>
      <c r="B6172" t="s">
        <v>5796</v>
      </c>
      <c r="C6172" t="s">
        <v>5797</v>
      </c>
      <c r="D6172" t="str">
        <f>HYPERLINK("http://service.sap.com/sap/support/notes/1676883","1676883")</f>
        <v>1676883</v>
      </c>
      <c r="E6172">
        <v>2</v>
      </c>
      <c r="F6172" t="s">
        <v>7622</v>
      </c>
    </row>
    <row r="6173" spans="1:6" x14ac:dyDescent="0.25">
      <c r="A6173" t="s">
        <v>6077</v>
      </c>
      <c r="B6173" t="s">
        <v>5807</v>
      </c>
      <c r="C6173" t="s">
        <v>5808</v>
      </c>
    </row>
    <row r="6174" spans="1:6" x14ac:dyDescent="0.25">
      <c r="A6174" t="s">
        <v>6077</v>
      </c>
      <c r="B6174" t="s">
        <v>5809</v>
      </c>
      <c r="C6174" t="s">
        <v>132</v>
      </c>
      <c r="D6174" t="str">
        <f>HYPERLINK("http://service.sap.com/sap/support/notes/1670966","1670966")</f>
        <v>1670966</v>
      </c>
      <c r="E6174">
        <v>3</v>
      </c>
      <c r="F6174" t="s">
        <v>7623</v>
      </c>
    </row>
    <row r="6175" spans="1:6" x14ac:dyDescent="0.25">
      <c r="A6175" t="s">
        <v>6077</v>
      </c>
      <c r="B6175" t="s">
        <v>5809</v>
      </c>
      <c r="C6175" t="s">
        <v>132</v>
      </c>
      <c r="D6175" t="str">
        <f>HYPERLINK("http://service.sap.com/sap/support/notes/1686692","1686692")</f>
        <v>1686692</v>
      </c>
      <c r="E6175">
        <v>1</v>
      </c>
      <c r="F6175" t="s">
        <v>7624</v>
      </c>
    </row>
    <row r="6176" spans="1:6" x14ac:dyDescent="0.25">
      <c r="A6176" t="s">
        <v>6077</v>
      </c>
      <c r="B6176" t="s">
        <v>1432</v>
      </c>
      <c r="C6176" t="s">
        <v>1433</v>
      </c>
      <c r="D6176" t="str">
        <f>HYPERLINK("http://service.sap.com/sap/support/notes/1667080","1667080")</f>
        <v>1667080</v>
      </c>
      <c r="E6176">
        <v>2</v>
      </c>
      <c r="F6176" t="s">
        <v>7625</v>
      </c>
    </row>
    <row r="6177" spans="1:6" x14ac:dyDescent="0.25">
      <c r="A6177" t="s">
        <v>6077</v>
      </c>
      <c r="B6177" t="s">
        <v>1432</v>
      </c>
      <c r="C6177" t="s">
        <v>1433</v>
      </c>
      <c r="D6177" t="str">
        <f>HYPERLINK("http://service.sap.com/sap/support/notes/1683893","1683893")</f>
        <v>1683893</v>
      </c>
      <c r="E6177">
        <v>3</v>
      </c>
      <c r="F6177" t="s">
        <v>7626</v>
      </c>
    </row>
    <row r="6178" spans="1:6" x14ac:dyDescent="0.25">
      <c r="A6178" t="s">
        <v>6077</v>
      </c>
      <c r="B6178" t="s">
        <v>1434</v>
      </c>
      <c r="C6178" t="s">
        <v>1435</v>
      </c>
      <c r="D6178" t="str">
        <f>HYPERLINK("http://service.sap.com/sap/support/notes/1631841","1631841")</f>
        <v>1631841</v>
      </c>
      <c r="E6178">
        <v>3</v>
      </c>
      <c r="F6178" t="s">
        <v>7627</v>
      </c>
    </row>
    <row r="6179" spans="1:6" x14ac:dyDescent="0.25">
      <c r="A6179" t="s">
        <v>6077</v>
      </c>
      <c r="B6179" t="s">
        <v>1434</v>
      </c>
      <c r="C6179" t="s">
        <v>1435</v>
      </c>
      <c r="D6179" t="str">
        <f>HYPERLINK("http://service.sap.com/sap/support/notes/1637202","1637202")</f>
        <v>1637202</v>
      </c>
      <c r="E6179">
        <v>3</v>
      </c>
      <c r="F6179" t="s">
        <v>7628</v>
      </c>
    </row>
    <row r="6180" spans="1:6" x14ac:dyDescent="0.25">
      <c r="A6180" t="s">
        <v>6077</v>
      </c>
      <c r="B6180" t="s">
        <v>1434</v>
      </c>
      <c r="C6180" t="s">
        <v>1435</v>
      </c>
      <c r="D6180" t="str">
        <f>HYPERLINK("http://service.sap.com/sap/support/notes/1640508","1640508")</f>
        <v>1640508</v>
      </c>
      <c r="E6180">
        <v>2</v>
      </c>
      <c r="F6180" t="s">
        <v>7629</v>
      </c>
    </row>
    <row r="6181" spans="1:6" x14ac:dyDescent="0.25">
      <c r="A6181" t="s">
        <v>6077</v>
      </c>
      <c r="B6181" t="s">
        <v>1434</v>
      </c>
      <c r="C6181" t="s">
        <v>1435</v>
      </c>
      <c r="D6181" t="str">
        <f>HYPERLINK("http://service.sap.com/sap/support/notes/1688302","1688302")</f>
        <v>1688302</v>
      </c>
      <c r="E6181">
        <v>1</v>
      </c>
      <c r="F6181" t="s">
        <v>7630</v>
      </c>
    </row>
    <row r="6182" spans="1:6" x14ac:dyDescent="0.25">
      <c r="A6182" t="s">
        <v>6077</v>
      </c>
      <c r="B6182" t="s">
        <v>1441</v>
      </c>
      <c r="C6182" t="s">
        <v>1442</v>
      </c>
      <c r="D6182" t="str">
        <f>HYPERLINK("http://service.sap.com/sap/support/notes/1239193","1239193")</f>
        <v>1239193</v>
      </c>
      <c r="E6182">
        <v>9</v>
      </c>
      <c r="F6182" t="s">
        <v>7631</v>
      </c>
    </row>
    <row r="6183" spans="1:6" x14ac:dyDescent="0.25">
      <c r="A6183" t="s">
        <v>6077</v>
      </c>
      <c r="B6183" t="s">
        <v>1441</v>
      </c>
      <c r="C6183" t="s">
        <v>1442</v>
      </c>
      <c r="D6183" t="str">
        <f>HYPERLINK("http://service.sap.com/sap/support/notes/1633568","1633568")</f>
        <v>1633568</v>
      </c>
      <c r="E6183">
        <v>8</v>
      </c>
      <c r="F6183" t="s">
        <v>7632</v>
      </c>
    </row>
    <row r="6184" spans="1:6" x14ac:dyDescent="0.25">
      <c r="A6184" t="s">
        <v>6077</v>
      </c>
      <c r="B6184" t="s">
        <v>1441</v>
      </c>
      <c r="C6184" t="s">
        <v>1442</v>
      </c>
      <c r="D6184" t="str">
        <f>HYPERLINK("http://service.sap.com/sap/support/notes/1651676","1651676")</f>
        <v>1651676</v>
      </c>
      <c r="E6184">
        <v>4</v>
      </c>
      <c r="F6184" t="s">
        <v>7633</v>
      </c>
    </row>
    <row r="6185" spans="1:6" x14ac:dyDescent="0.25">
      <c r="A6185" t="s">
        <v>6077</v>
      </c>
      <c r="B6185" t="s">
        <v>1441</v>
      </c>
      <c r="C6185" t="s">
        <v>1442</v>
      </c>
      <c r="D6185" t="str">
        <f>HYPERLINK("http://service.sap.com/sap/support/notes/1675963","1675963")</f>
        <v>1675963</v>
      </c>
      <c r="E6185">
        <v>3</v>
      </c>
      <c r="F6185" t="s">
        <v>7634</v>
      </c>
    </row>
    <row r="6186" spans="1:6" x14ac:dyDescent="0.25">
      <c r="A6186" t="s">
        <v>6077</v>
      </c>
      <c r="B6186" t="s">
        <v>1441</v>
      </c>
      <c r="C6186" t="s">
        <v>1442</v>
      </c>
      <c r="D6186" t="str">
        <f>HYPERLINK("http://service.sap.com/sap/support/notes/1677738","1677738")</f>
        <v>1677738</v>
      </c>
      <c r="E6186">
        <v>2</v>
      </c>
      <c r="F6186" t="s">
        <v>7635</v>
      </c>
    </row>
    <row r="6187" spans="1:6" x14ac:dyDescent="0.25">
      <c r="A6187" t="s">
        <v>6077</v>
      </c>
      <c r="B6187" t="s">
        <v>1441</v>
      </c>
      <c r="C6187" t="s">
        <v>1442</v>
      </c>
      <c r="D6187" t="str">
        <f>HYPERLINK("http://service.sap.com/sap/support/notes/1678154","1678154")</f>
        <v>1678154</v>
      </c>
      <c r="E6187">
        <v>2</v>
      </c>
      <c r="F6187" t="s">
        <v>7636</v>
      </c>
    </row>
    <row r="6188" spans="1:6" x14ac:dyDescent="0.25">
      <c r="A6188" t="s">
        <v>6077</v>
      </c>
      <c r="B6188" t="s">
        <v>1441</v>
      </c>
      <c r="C6188" t="s">
        <v>1442</v>
      </c>
      <c r="D6188" t="str">
        <f>HYPERLINK("http://service.sap.com/sap/support/notes/1681179","1681179")</f>
        <v>1681179</v>
      </c>
      <c r="E6188">
        <v>2</v>
      </c>
      <c r="F6188" t="s">
        <v>7637</v>
      </c>
    </row>
    <row r="6189" spans="1:6" x14ac:dyDescent="0.25">
      <c r="A6189" t="s">
        <v>6077</v>
      </c>
      <c r="B6189" t="s">
        <v>1441</v>
      </c>
      <c r="C6189" t="s">
        <v>1442</v>
      </c>
      <c r="D6189" t="str">
        <f>HYPERLINK("http://service.sap.com/sap/support/notes/1684994","1684994")</f>
        <v>1684994</v>
      </c>
      <c r="E6189">
        <v>3</v>
      </c>
      <c r="F6189" t="s">
        <v>7638</v>
      </c>
    </row>
    <row r="6190" spans="1:6" x14ac:dyDescent="0.25">
      <c r="A6190" t="s">
        <v>6077</v>
      </c>
      <c r="B6190" t="s">
        <v>1441</v>
      </c>
      <c r="C6190" t="s">
        <v>1442</v>
      </c>
      <c r="D6190" t="str">
        <f>HYPERLINK("http://service.sap.com/sap/support/notes/1688367","1688367")</f>
        <v>1688367</v>
      </c>
      <c r="E6190">
        <v>3</v>
      </c>
      <c r="F6190" t="s">
        <v>7639</v>
      </c>
    </row>
    <row r="6191" spans="1:6" x14ac:dyDescent="0.25">
      <c r="A6191" t="s">
        <v>6077</v>
      </c>
      <c r="B6191" t="s">
        <v>1441</v>
      </c>
      <c r="C6191" t="s">
        <v>1442</v>
      </c>
      <c r="D6191" t="str">
        <f>HYPERLINK("http://service.sap.com/sap/support/notes/1694551","1694551")</f>
        <v>1694551</v>
      </c>
      <c r="E6191">
        <v>2</v>
      </c>
      <c r="F6191" t="s">
        <v>7640</v>
      </c>
    </row>
    <row r="6192" spans="1:6" x14ac:dyDescent="0.25">
      <c r="A6192" t="s">
        <v>6077</v>
      </c>
      <c r="B6192" t="s">
        <v>1450</v>
      </c>
      <c r="C6192" t="s">
        <v>1451</v>
      </c>
      <c r="D6192" t="str">
        <f>HYPERLINK("http://service.sap.com/sap/support/notes/1672634","1672634")</f>
        <v>1672634</v>
      </c>
      <c r="E6192">
        <v>4</v>
      </c>
      <c r="F6192" t="s">
        <v>7641</v>
      </c>
    </row>
    <row r="6193" spans="1:6" x14ac:dyDescent="0.25">
      <c r="A6193" t="s">
        <v>6077</v>
      </c>
      <c r="B6193" t="s">
        <v>1450</v>
      </c>
      <c r="C6193" t="s">
        <v>1451</v>
      </c>
      <c r="D6193" t="str">
        <f>HYPERLINK("http://service.sap.com/sap/support/notes/1673274","1673274")</f>
        <v>1673274</v>
      </c>
      <c r="E6193">
        <v>2</v>
      </c>
      <c r="F6193" t="s">
        <v>7642</v>
      </c>
    </row>
    <row r="6194" spans="1:6" x14ac:dyDescent="0.25">
      <c r="A6194" t="s">
        <v>6077</v>
      </c>
      <c r="B6194" t="s">
        <v>1450</v>
      </c>
      <c r="C6194" t="s">
        <v>1451</v>
      </c>
      <c r="D6194" t="str">
        <f>HYPERLINK("http://service.sap.com/sap/support/notes/1676256","1676256")</f>
        <v>1676256</v>
      </c>
      <c r="E6194">
        <v>3</v>
      </c>
      <c r="F6194" t="s">
        <v>7643</v>
      </c>
    </row>
    <row r="6195" spans="1:6" x14ac:dyDescent="0.25">
      <c r="A6195" t="s">
        <v>6077</v>
      </c>
      <c r="B6195" t="s">
        <v>1458</v>
      </c>
      <c r="C6195" t="s">
        <v>1459</v>
      </c>
    </row>
    <row r="6196" spans="1:6" x14ac:dyDescent="0.25">
      <c r="A6196" t="s">
        <v>6077</v>
      </c>
      <c r="B6196" t="s">
        <v>5882</v>
      </c>
      <c r="C6196" t="s">
        <v>141</v>
      </c>
      <c r="D6196" t="str">
        <f>HYPERLINK("http://service.sap.com/sap/support/notes/987254","987254")</f>
        <v>987254</v>
      </c>
      <c r="E6196">
        <v>3</v>
      </c>
      <c r="F6196" t="s">
        <v>7644</v>
      </c>
    </row>
    <row r="6197" spans="1:6" x14ac:dyDescent="0.25">
      <c r="A6197" t="s">
        <v>6077</v>
      </c>
      <c r="B6197" t="s">
        <v>1463</v>
      </c>
      <c r="C6197" t="s">
        <v>1464</v>
      </c>
      <c r="D6197" t="str">
        <f>HYPERLINK("http://service.sap.com/sap/support/notes/1677407","1677407")</f>
        <v>1677407</v>
      </c>
      <c r="E6197">
        <v>2</v>
      </c>
      <c r="F6197" t="s">
        <v>7645</v>
      </c>
    </row>
    <row r="6198" spans="1:6" x14ac:dyDescent="0.25">
      <c r="A6198" t="s">
        <v>6077</v>
      </c>
      <c r="B6198" t="s">
        <v>1463</v>
      </c>
      <c r="C6198" t="s">
        <v>1464</v>
      </c>
      <c r="D6198" t="str">
        <f>HYPERLINK("http://service.sap.com/sap/support/notes/1689484","1689484")</f>
        <v>1689484</v>
      </c>
      <c r="E6198">
        <v>1</v>
      </c>
      <c r="F6198" t="s">
        <v>7646</v>
      </c>
    </row>
    <row r="6199" spans="1:6" x14ac:dyDescent="0.25">
      <c r="A6199" t="s">
        <v>6077</v>
      </c>
      <c r="B6199" t="s">
        <v>7647</v>
      </c>
    </row>
    <row r="6200" spans="1:6" x14ac:dyDescent="0.25">
      <c r="A6200" t="s">
        <v>6077</v>
      </c>
      <c r="B6200" t="s">
        <v>7648</v>
      </c>
      <c r="C6200" t="s">
        <v>7649</v>
      </c>
      <c r="D6200" t="str">
        <f>HYPERLINK("http://service.sap.com/sap/support/notes/1690755","1690755")</f>
        <v>1690755</v>
      </c>
      <c r="E6200">
        <v>1</v>
      </c>
      <c r="F6200" t="s">
        <v>7650</v>
      </c>
    </row>
    <row r="6201" spans="1:6" x14ac:dyDescent="0.25">
      <c r="A6201" t="s">
        <v>6077</v>
      </c>
      <c r="B6201" t="s">
        <v>7651</v>
      </c>
      <c r="C6201" t="s">
        <v>7652</v>
      </c>
      <c r="D6201" t="str">
        <f>HYPERLINK("http://service.sap.com/sap/support/notes/1673841","1673841")</f>
        <v>1673841</v>
      </c>
      <c r="E6201">
        <v>1</v>
      </c>
      <c r="F6201" t="s">
        <v>7653</v>
      </c>
    </row>
    <row r="6202" spans="1:6" x14ac:dyDescent="0.25">
      <c r="A6202" t="s">
        <v>6077</v>
      </c>
      <c r="B6202" t="s">
        <v>1467</v>
      </c>
      <c r="C6202" t="s">
        <v>1468</v>
      </c>
      <c r="D6202" t="str">
        <f>HYPERLINK("http://service.sap.com/sap/support/notes/1682374","1682374")</f>
        <v>1682374</v>
      </c>
      <c r="E6202">
        <v>2</v>
      </c>
      <c r="F6202" t="s">
        <v>7654</v>
      </c>
    </row>
    <row r="6203" spans="1:6" x14ac:dyDescent="0.25">
      <c r="A6203" t="s">
        <v>6077</v>
      </c>
      <c r="B6203" t="s">
        <v>7655</v>
      </c>
      <c r="C6203" t="s">
        <v>7656</v>
      </c>
      <c r="D6203" t="str">
        <f>HYPERLINK("http://service.sap.com/sap/support/notes/1647039","1647039")</f>
        <v>1647039</v>
      </c>
      <c r="E6203">
        <v>5</v>
      </c>
      <c r="F6203" t="s">
        <v>7657</v>
      </c>
    </row>
    <row r="6204" spans="1:6" x14ac:dyDescent="0.25">
      <c r="A6204" t="s">
        <v>6077</v>
      </c>
      <c r="B6204" t="s">
        <v>7655</v>
      </c>
      <c r="C6204" t="s">
        <v>7656</v>
      </c>
      <c r="D6204" t="str">
        <f>HYPERLINK("http://service.sap.com/sap/support/notes/1679865","1679865")</f>
        <v>1679865</v>
      </c>
      <c r="E6204">
        <v>2</v>
      </c>
      <c r="F6204" t="s">
        <v>7658</v>
      </c>
    </row>
    <row r="6205" spans="1:6" x14ac:dyDescent="0.25">
      <c r="A6205" t="s">
        <v>6077</v>
      </c>
      <c r="B6205" t="s">
        <v>5905</v>
      </c>
      <c r="C6205" t="s">
        <v>5906</v>
      </c>
      <c r="D6205" t="str">
        <f>HYPERLINK("http://service.sap.com/sap/support/notes/1661517","1661517")</f>
        <v>1661517</v>
      </c>
      <c r="E6205">
        <v>1</v>
      </c>
      <c r="F6205" t="s">
        <v>7659</v>
      </c>
    </row>
    <row r="6206" spans="1:6" x14ac:dyDescent="0.25">
      <c r="A6206" t="s">
        <v>6077</v>
      </c>
      <c r="B6206" t="s">
        <v>5905</v>
      </c>
      <c r="C6206" t="s">
        <v>5906</v>
      </c>
      <c r="D6206" t="str">
        <f>HYPERLINK("http://service.sap.com/sap/support/notes/1671608","1671608")</f>
        <v>1671608</v>
      </c>
      <c r="E6206">
        <v>1</v>
      </c>
      <c r="F6206" t="s">
        <v>7660</v>
      </c>
    </row>
    <row r="6207" spans="1:6" x14ac:dyDescent="0.25">
      <c r="A6207" t="s">
        <v>6077</v>
      </c>
      <c r="B6207" t="s">
        <v>5905</v>
      </c>
      <c r="C6207" t="s">
        <v>5906</v>
      </c>
      <c r="D6207" t="str">
        <f>HYPERLINK("http://service.sap.com/sap/support/notes/1675188","1675188")</f>
        <v>1675188</v>
      </c>
      <c r="E6207">
        <v>1</v>
      </c>
      <c r="F6207" t="s">
        <v>7661</v>
      </c>
    </row>
    <row r="6208" spans="1:6" x14ac:dyDescent="0.25">
      <c r="A6208" t="s">
        <v>6077</v>
      </c>
      <c r="B6208" t="s">
        <v>5905</v>
      </c>
      <c r="C6208" t="s">
        <v>5906</v>
      </c>
      <c r="D6208" t="str">
        <f>HYPERLINK("http://service.sap.com/sap/support/notes/1677024","1677024")</f>
        <v>1677024</v>
      </c>
      <c r="E6208">
        <v>1</v>
      </c>
      <c r="F6208" t="s">
        <v>7662</v>
      </c>
    </row>
    <row r="6209" spans="1:6" x14ac:dyDescent="0.25">
      <c r="A6209" t="s">
        <v>6077</v>
      </c>
      <c r="B6209" t="s">
        <v>5905</v>
      </c>
      <c r="C6209" t="s">
        <v>5906</v>
      </c>
      <c r="D6209" t="str">
        <f>HYPERLINK("http://service.sap.com/sap/support/notes/1680112","1680112")</f>
        <v>1680112</v>
      </c>
      <c r="E6209">
        <v>1</v>
      </c>
      <c r="F6209" t="s">
        <v>7663</v>
      </c>
    </row>
    <row r="6210" spans="1:6" x14ac:dyDescent="0.25">
      <c r="A6210" t="s">
        <v>6077</v>
      </c>
      <c r="B6210" t="s">
        <v>5905</v>
      </c>
      <c r="C6210" t="s">
        <v>5906</v>
      </c>
      <c r="D6210" t="str">
        <f>HYPERLINK("http://service.sap.com/sap/support/notes/1680264","1680264")</f>
        <v>1680264</v>
      </c>
      <c r="E6210">
        <v>1</v>
      </c>
      <c r="F6210" t="s">
        <v>7664</v>
      </c>
    </row>
    <row r="6211" spans="1:6" x14ac:dyDescent="0.25">
      <c r="A6211" t="s">
        <v>6077</v>
      </c>
      <c r="B6211" t="s">
        <v>5905</v>
      </c>
      <c r="C6211" t="s">
        <v>5906</v>
      </c>
      <c r="D6211" t="str">
        <f>HYPERLINK("http://service.sap.com/sap/support/notes/1687154","1687154")</f>
        <v>1687154</v>
      </c>
      <c r="E6211">
        <v>1</v>
      </c>
      <c r="F6211" t="s">
        <v>7665</v>
      </c>
    </row>
    <row r="6212" spans="1:6" x14ac:dyDescent="0.25">
      <c r="A6212" t="s">
        <v>6077</v>
      </c>
      <c r="B6212" t="s">
        <v>1471</v>
      </c>
      <c r="C6212" t="s">
        <v>1472</v>
      </c>
    </row>
    <row r="6213" spans="1:6" x14ac:dyDescent="0.25">
      <c r="A6213" t="s">
        <v>6077</v>
      </c>
      <c r="B6213" t="s">
        <v>5917</v>
      </c>
      <c r="C6213" t="s">
        <v>132</v>
      </c>
      <c r="D6213" t="str">
        <f>HYPERLINK("http://service.sap.com/sap/support/notes/1681457","1681457")</f>
        <v>1681457</v>
      </c>
      <c r="E6213">
        <v>1</v>
      </c>
      <c r="F6213" t="s">
        <v>7666</v>
      </c>
    </row>
    <row r="6214" spans="1:6" x14ac:dyDescent="0.25">
      <c r="A6214" t="s">
        <v>6077</v>
      </c>
      <c r="B6214" t="s">
        <v>1473</v>
      </c>
      <c r="C6214" t="s">
        <v>1373</v>
      </c>
      <c r="D6214" t="str">
        <f>HYPERLINK("http://service.sap.com/sap/support/notes/1657145","1657145")</f>
        <v>1657145</v>
      </c>
      <c r="E6214">
        <v>2</v>
      </c>
      <c r="F6214" t="s">
        <v>7667</v>
      </c>
    </row>
    <row r="6215" spans="1:6" x14ac:dyDescent="0.25">
      <c r="A6215" t="s">
        <v>6077</v>
      </c>
      <c r="B6215" t="s">
        <v>1473</v>
      </c>
      <c r="C6215" t="s">
        <v>1373</v>
      </c>
      <c r="D6215" t="str">
        <f>HYPERLINK("http://service.sap.com/sap/support/notes/1659310","1659310")</f>
        <v>1659310</v>
      </c>
      <c r="E6215">
        <v>2</v>
      </c>
      <c r="F6215" t="s">
        <v>7668</v>
      </c>
    </row>
    <row r="6216" spans="1:6" x14ac:dyDescent="0.25">
      <c r="A6216" t="s">
        <v>6077</v>
      </c>
      <c r="B6216" t="s">
        <v>1473</v>
      </c>
      <c r="C6216" t="s">
        <v>1373</v>
      </c>
      <c r="D6216" t="str">
        <f>HYPERLINK("http://service.sap.com/sap/support/notes/1660742","1660742")</f>
        <v>1660742</v>
      </c>
      <c r="E6216">
        <v>2</v>
      </c>
      <c r="F6216" t="s">
        <v>7669</v>
      </c>
    </row>
    <row r="6217" spans="1:6" x14ac:dyDescent="0.25">
      <c r="A6217" t="s">
        <v>6077</v>
      </c>
      <c r="B6217" t="s">
        <v>1475</v>
      </c>
      <c r="C6217" t="s">
        <v>1476</v>
      </c>
      <c r="D6217" t="str">
        <f>HYPERLINK("http://service.sap.com/sap/support/notes/1675662","1675662")</f>
        <v>1675662</v>
      </c>
      <c r="E6217">
        <v>2</v>
      </c>
      <c r="F6217" t="s">
        <v>7670</v>
      </c>
    </row>
    <row r="6218" spans="1:6" x14ac:dyDescent="0.25">
      <c r="A6218" t="s">
        <v>6077</v>
      </c>
      <c r="B6218" t="s">
        <v>1475</v>
      </c>
      <c r="C6218" t="s">
        <v>1476</v>
      </c>
      <c r="D6218" t="str">
        <f>HYPERLINK("http://service.sap.com/sap/support/notes/1686402","1686402")</f>
        <v>1686402</v>
      </c>
      <c r="E6218">
        <v>2</v>
      </c>
      <c r="F6218" t="s">
        <v>7671</v>
      </c>
    </row>
    <row r="6219" spans="1:6" x14ac:dyDescent="0.25">
      <c r="A6219" t="s">
        <v>6077</v>
      </c>
      <c r="B6219" t="s">
        <v>1475</v>
      </c>
      <c r="C6219" t="s">
        <v>1476</v>
      </c>
      <c r="D6219" t="str">
        <f>HYPERLINK("http://service.sap.com/sap/support/notes/1701807","1701807")</f>
        <v>1701807</v>
      </c>
      <c r="E6219">
        <v>2</v>
      </c>
      <c r="F6219" t="s">
        <v>7672</v>
      </c>
    </row>
    <row r="6220" spans="1:6" x14ac:dyDescent="0.25">
      <c r="A6220" t="s">
        <v>6077</v>
      </c>
      <c r="B6220" t="s">
        <v>1478</v>
      </c>
      <c r="C6220" t="s">
        <v>134</v>
      </c>
      <c r="D6220" t="str">
        <f>HYPERLINK("http://service.sap.com/sap/support/notes/1574772","1574772")</f>
        <v>1574772</v>
      </c>
      <c r="E6220">
        <v>4</v>
      </c>
      <c r="F6220" t="s">
        <v>7673</v>
      </c>
    </row>
    <row r="6221" spans="1:6" x14ac:dyDescent="0.25">
      <c r="A6221" t="s">
        <v>6077</v>
      </c>
      <c r="B6221" t="s">
        <v>1478</v>
      </c>
      <c r="C6221" t="s">
        <v>134</v>
      </c>
      <c r="D6221" t="str">
        <f>HYPERLINK("http://service.sap.com/sap/support/notes/1583806","1583806")</f>
        <v>1583806</v>
      </c>
      <c r="E6221">
        <v>2</v>
      </c>
      <c r="F6221" t="s">
        <v>7674</v>
      </c>
    </row>
    <row r="6222" spans="1:6" x14ac:dyDescent="0.25">
      <c r="A6222" t="s">
        <v>6077</v>
      </c>
      <c r="B6222" t="s">
        <v>1478</v>
      </c>
      <c r="C6222" t="s">
        <v>134</v>
      </c>
      <c r="D6222" t="str">
        <f>HYPERLINK("http://service.sap.com/sap/support/notes/1673690","1673690")</f>
        <v>1673690</v>
      </c>
      <c r="E6222">
        <v>4</v>
      </c>
      <c r="F6222" t="s">
        <v>5946</v>
      </c>
    </row>
    <row r="6223" spans="1:6" x14ac:dyDescent="0.25">
      <c r="A6223" t="s">
        <v>6077</v>
      </c>
      <c r="B6223" t="s">
        <v>1478</v>
      </c>
      <c r="C6223" t="s">
        <v>134</v>
      </c>
      <c r="D6223" t="str">
        <f>HYPERLINK("http://service.sap.com/sap/support/notes/1676107","1676107")</f>
        <v>1676107</v>
      </c>
      <c r="E6223">
        <v>6</v>
      </c>
      <c r="F6223" t="s">
        <v>7675</v>
      </c>
    </row>
    <row r="6224" spans="1:6" x14ac:dyDescent="0.25">
      <c r="A6224" t="s">
        <v>6077</v>
      </c>
      <c r="B6224" t="s">
        <v>1478</v>
      </c>
      <c r="C6224" t="s">
        <v>134</v>
      </c>
      <c r="D6224" t="str">
        <f>HYPERLINK("http://service.sap.com/sap/support/notes/1676330","1676330")</f>
        <v>1676330</v>
      </c>
      <c r="E6224">
        <v>1</v>
      </c>
      <c r="F6224" t="s">
        <v>7676</v>
      </c>
    </row>
    <row r="6225" spans="1:6" x14ac:dyDescent="0.25">
      <c r="A6225" t="s">
        <v>6077</v>
      </c>
      <c r="B6225" t="s">
        <v>1478</v>
      </c>
      <c r="C6225" t="s">
        <v>134</v>
      </c>
      <c r="D6225" t="str">
        <f>HYPERLINK("http://service.sap.com/sap/support/notes/1677121","1677121")</f>
        <v>1677121</v>
      </c>
      <c r="E6225">
        <v>1</v>
      </c>
      <c r="F6225" t="s">
        <v>7677</v>
      </c>
    </row>
    <row r="6226" spans="1:6" x14ac:dyDescent="0.25">
      <c r="A6226" t="s">
        <v>6077</v>
      </c>
      <c r="B6226" t="s">
        <v>1478</v>
      </c>
      <c r="C6226" t="s">
        <v>134</v>
      </c>
      <c r="D6226" t="str">
        <f>HYPERLINK("http://service.sap.com/sap/support/notes/1679655","1679655")</f>
        <v>1679655</v>
      </c>
      <c r="E6226">
        <v>6</v>
      </c>
      <c r="F6226" t="s">
        <v>7678</v>
      </c>
    </row>
    <row r="6227" spans="1:6" x14ac:dyDescent="0.25">
      <c r="A6227" t="s">
        <v>6077</v>
      </c>
      <c r="B6227" t="s">
        <v>1478</v>
      </c>
      <c r="C6227" t="s">
        <v>134</v>
      </c>
      <c r="D6227" t="str">
        <f>HYPERLINK("http://service.sap.com/sap/support/notes/1682334","1682334")</f>
        <v>1682334</v>
      </c>
      <c r="E6227">
        <v>4</v>
      </c>
      <c r="F6227" t="s">
        <v>7679</v>
      </c>
    </row>
    <row r="6228" spans="1:6" x14ac:dyDescent="0.25">
      <c r="A6228" t="s">
        <v>6077</v>
      </c>
      <c r="B6228" t="s">
        <v>1478</v>
      </c>
      <c r="C6228" t="s">
        <v>134</v>
      </c>
      <c r="D6228" t="str">
        <f>HYPERLINK("http://service.sap.com/sap/support/notes/1683236","1683236")</f>
        <v>1683236</v>
      </c>
      <c r="E6228">
        <v>8</v>
      </c>
      <c r="F6228" t="s">
        <v>7680</v>
      </c>
    </row>
    <row r="6229" spans="1:6" x14ac:dyDescent="0.25">
      <c r="A6229" t="s">
        <v>6077</v>
      </c>
      <c r="B6229" t="s">
        <v>1484</v>
      </c>
      <c r="C6229" t="s">
        <v>1485</v>
      </c>
      <c r="D6229" t="str">
        <f>HYPERLINK("http://service.sap.com/sap/support/notes/1678663","1678663")</f>
        <v>1678663</v>
      </c>
      <c r="E6229">
        <v>6</v>
      </c>
      <c r="F6229" t="s">
        <v>7681</v>
      </c>
    </row>
    <row r="6230" spans="1:6" x14ac:dyDescent="0.25">
      <c r="A6230" t="s">
        <v>6077</v>
      </c>
      <c r="B6230" t="s">
        <v>1484</v>
      </c>
      <c r="C6230" t="s">
        <v>1485</v>
      </c>
      <c r="D6230" t="str">
        <f>HYPERLINK("http://service.sap.com/sap/support/notes/1686326","1686326")</f>
        <v>1686326</v>
      </c>
      <c r="E6230">
        <v>3</v>
      </c>
      <c r="F6230" t="s">
        <v>7682</v>
      </c>
    </row>
    <row r="6231" spans="1:6" x14ac:dyDescent="0.25">
      <c r="A6231" t="s">
        <v>6077</v>
      </c>
      <c r="B6231" t="s">
        <v>1484</v>
      </c>
      <c r="C6231" t="s">
        <v>1485</v>
      </c>
      <c r="D6231" t="str">
        <f>HYPERLINK("http://service.sap.com/sap/support/notes/1690438","1690438")</f>
        <v>1690438</v>
      </c>
      <c r="E6231">
        <v>1</v>
      </c>
      <c r="F6231" t="s">
        <v>7683</v>
      </c>
    </row>
    <row r="6232" spans="1:6" x14ac:dyDescent="0.25">
      <c r="A6232" t="s">
        <v>6077</v>
      </c>
      <c r="B6232" t="s">
        <v>1486</v>
      </c>
      <c r="C6232" t="s">
        <v>132</v>
      </c>
      <c r="D6232" t="str">
        <f>HYPERLINK("http://service.sap.com/sap/support/notes/1611845","1611845")</f>
        <v>1611845</v>
      </c>
      <c r="E6232">
        <v>8</v>
      </c>
      <c r="F6232" t="s">
        <v>7684</v>
      </c>
    </row>
    <row r="6233" spans="1:6" x14ac:dyDescent="0.25">
      <c r="A6233" t="s">
        <v>6077</v>
      </c>
      <c r="B6233" t="s">
        <v>1486</v>
      </c>
      <c r="C6233" t="s">
        <v>132</v>
      </c>
      <c r="D6233" t="str">
        <f>HYPERLINK("http://service.sap.com/sap/support/notes/1625763","1625763")</f>
        <v>1625763</v>
      </c>
      <c r="E6233">
        <v>4</v>
      </c>
      <c r="F6233" t="s">
        <v>7685</v>
      </c>
    </row>
    <row r="6234" spans="1:6" x14ac:dyDescent="0.25">
      <c r="A6234" t="s">
        <v>6077</v>
      </c>
      <c r="B6234" t="s">
        <v>1486</v>
      </c>
      <c r="C6234" t="s">
        <v>132</v>
      </c>
      <c r="D6234" t="str">
        <f>HYPERLINK("http://service.sap.com/sap/support/notes/1636164","1636164")</f>
        <v>1636164</v>
      </c>
      <c r="E6234">
        <v>2</v>
      </c>
      <c r="F6234" t="s">
        <v>7686</v>
      </c>
    </row>
    <row r="6235" spans="1:6" x14ac:dyDescent="0.25">
      <c r="A6235" t="s">
        <v>6077</v>
      </c>
      <c r="B6235" t="s">
        <v>1486</v>
      </c>
      <c r="C6235" t="s">
        <v>132</v>
      </c>
      <c r="D6235" t="str">
        <f>HYPERLINK("http://service.sap.com/sap/support/notes/1639702","1639702")</f>
        <v>1639702</v>
      </c>
      <c r="E6235">
        <v>2</v>
      </c>
      <c r="F6235" t="s">
        <v>7687</v>
      </c>
    </row>
    <row r="6236" spans="1:6" x14ac:dyDescent="0.25">
      <c r="A6236" t="s">
        <v>6077</v>
      </c>
      <c r="B6236" t="s">
        <v>1486</v>
      </c>
      <c r="C6236" t="s">
        <v>132</v>
      </c>
      <c r="D6236" t="str">
        <f>HYPERLINK("http://service.sap.com/sap/support/notes/1647232","1647232")</f>
        <v>1647232</v>
      </c>
      <c r="E6236">
        <v>2</v>
      </c>
      <c r="F6236" t="s">
        <v>7688</v>
      </c>
    </row>
    <row r="6237" spans="1:6" x14ac:dyDescent="0.25">
      <c r="A6237" t="s">
        <v>6077</v>
      </c>
      <c r="B6237" t="s">
        <v>1486</v>
      </c>
      <c r="C6237" t="s">
        <v>132</v>
      </c>
      <c r="D6237" t="str">
        <f>HYPERLINK("http://service.sap.com/sap/support/notes/1651288","1651288")</f>
        <v>1651288</v>
      </c>
      <c r="E6237">
        <v>7</v>
      </c>
      <c r="F6237" t="s">
        <v>7689</v>
      </c>
    </row>
    <row r="6238" spans="1:6" x14ac:dyDescent="0.25">
      <c r="A6238" t="s">
        <v>6077</v>
      </c>
      <c r="B6238" t="s">
        <v>1486</v>
      </c>
      <c r="C6238" t="s">
        <v>132</v>
      </c>
      <c r="D6238" t="str">
        <f>HYPERLINK("http://service.sap.com/sap/support/notes/1651959","1651959")</f>
        <v>1651959</v>
      </c>
      <c r="E6238">
        <v>1</v>
      </c>
      <c r="F6238" t="s">
        <v>7690</v>
      </c>
    </row>
    <row r="6239" spans="1:6" x14ac:dyDescent="0.25">
      <c r="A6239" t="s">
        <v>6077</v>
      </c>
      <c r="B6239" t="s">
        <v>1486</v>
      </c>
      <c r="C6239" t="s">
        <v>132</v>
      </c>
      <c r="D6239" t="str">
        <f>HYPERLINK("http://service.sap.com/sap/support/notes/1655804","1655804")</f>
        <v>1655804</v>
      </c>
      <c r="E6239">
        <v>2</v>
      </c>
      <c r="F6239" t="s">
        <v>7691</v>
      </c>
    </row>
    <row r="6240" spans="1:6" x14ac:dyDescent="0.25">
      <c r="A6240" t="s">
        <v>6077</v>
      </c>
      <c r="B6240" t="s">
        <v>1486</v>
      </c>
      <c r="C6240" t="s">
        <v>132</v>
      </c>
      <c r="D6240" t="str">
        <f>HYPERLINK("http://service.sap.com/sap/support/notes/1659984","1659984")</f>
        <v>1659984</v>
      </c>
      <c r="E6240">
        <v>3</v>
      </c>
      <c r="F6240" t="s">
        <v>7692</v>
      </c>
    </row>
    <row r="6241" spans="1:6" x14ac:dyDescent="0.25">
      <c r="A6241" t="s">
        <v>6077</v>
      </c>
      <c r="B6241" t="s">
        <v>1486</v>
      </c>
      <c r="C6241" t="s">
        <v>132</v>
      </c>
      <c r="D6241" t="str">
        <f>HYPERLINK("http://service.sap.com/sap/support/notes/1661390","1661390")</f>
        <v>1661390</v>
      </c>
      <c r="E6241">
        <v>2</v>
      </c>
      <c r="F6241" t="s">
        <v>7693</v>
      </c>
    </row>
    <row r="6242" spans="1:6" x14ac:dyDescent="0.25">
      <c r="A6242" t="s">
        <v>6077</v>
      </c>
      <c r="B6242" t="s">
        <v>1486</v>
      </c>
      <c r="C6242" t="s">
        <v>132</v>
      </c>
      <c r="D6242" t="str">
        <f>HYPERLINK("http://service.sap.com/sap/support/notes/1669160","1669160")</f>
        <v>1669160</v>
      </c>
      <c r="E6242">
        <v>4</v>
      </c>
      <c r="F6242" t="s">
        <v>7694</v>
      </c>
    </row>
    <row r="6243" spans="1:6" x14ac:dyDescent="0.25">
      <c r="A6243" t="s">
        <v>6077</v>
      </c>
      <c r="B6243" t="s">
        <v>1486</v>
      </c>
      <c r="C6243" t="s">
        <v>132</v>
      </c>
      <c r="D6243" t="str">
        <f>HYPERLINK("http://service.sap.com/sap/support/notes/1673299","1673299")</f>
        <v>1673299</v>
      </c>
      <c r="E6243">
        <v>2</v>
      </c>
      <c r="F6243" t="s">
        <v>7695</v>
      </c>
    </row>
    <row r="6244" spans="1:6" x14ac:dyDescent="0.25">
      <c r="A6244" t="s">
        <v>6077</v>
      </c>
      <c r="B6244" t="s">
        <v>1486</v>
      </c>
      <c r="C6244" t="s">
        <v>132</v>
      </c>
      <c r="D6244" t="str">
        <f>HYPERLINK("http://service.sap.com/sap/support/notes/1673772","1673772")</f>
        <v>1673772</v>
      </c>
      <c r="E6244">
        <v>2</v>
      </c>
      <c r="F6244" t="s">
        <v>7696</v>
      </c>
    </row>
    <row r="6245" spans="1:6" x14ac:dyDescent="0.25">
      <c r="A6245" t="s">
        <v>6077</v>
      </c>
      <c r="B6245" t="s">
        <v>1486</v>
      </c>
      <c r="C6245" t="s">
        <v>132</v>
      </c>
      <c r="D6245" t="str">
        <f>HYPERLINK("http://service.sap.com/sap/support/notes/1673900","1673900")</f>
        <v>1673900</v>
      </c>
      <c r="E6245">
        <v>1</v>
      </c>
      <c r="F6245" t="s">
        <v>7697</v>
      </c>
    </row>
    <row r="6246" spans="1:6" x14ac:dyDescent="0.25">
      <c r="A6246" t="s">
        <v>6077</v>
      </c>
      <c r="B6246" t="s">
        <v>1486</v>
      </c>
      <c r="C6246" t="s">
        <v>132</v>
      </c>
      <c r="D6246" t="str">
        <f>HYPERLINK("http://service.sap.com/sap/support/notes/1675196","1675196")</f>
        <v>1675196</v>
      </c>
      <c r="E6246">
        <v>5</v>
      </c>
      <c r="F6246" t="s">
        <v>7698</v>
      </c>
    </row>
    <row r="6247" spans="1:6" x14ac:dyDescent="0.25">
      <c r="A6247" t="s">
        <v>6077</v>
      </c>
      <c r="B6247" t="s">
        <v>1486</v>
      </c>
      <c r="C6247" t="s">
        <v>132</v>
      </c>
      <c r="D6247" t="str">
        <f>HYPERLINK("http://service.sap.com/sap/support/notes/1675416","1675416")</f>
        <v>1675416</v>
      </c>
      <c r="E6247">
        <v>3</v>
      </c>
      <c r="F6247" t="s">
        <v>7699</v>
      </c>
    </row>
    <row r="6248" spans="1:6" x14ac:dyDescent="0.25">
      <c r="A6248" t="s">
        <v>6077</v>
      </c>
      <c r="B6248" t="s">
        <v>1486</v>
      </c>
      <c r="C6248" t="s">
        <v>132</v>
      </c>
      <c r="D6248" t="str">
        <f>HYPERLINK("http://service.sap.com/sap/support/notes/1675755","1675755")</f>
        <v>1675755</v>
      </c>
      <c r="E6248">
        <v>1</v>
      </c>
      <c r="F6248" t="s">
        <v>7700</v>
      </c>
    </row>
    <row r="6249" spans="1:6" x14ac:dyDescent="0.25">
      <c r="A6249" t="s">
        <v>6077</v>
      </c>
      <c r="B6249" t="s">
        <v>1486</v>
      </c>
      <c r="C6249" t="s">
        <v>132</v>
      </c>
      <c r="D6249" t="str">
        <f>HYPERLINK("http://service.sap.com/sap/support/notes/1676378","1676378")</f>
        <v>1676378</v>
      </c>
      <c r="E6249">
        <v>1</v>
      </c>
      <c r="F6249" t="s">
        <v>7701</v>
      </c>
    </row>
    <row r="6250" spans="1:6" x14ac:dyDescent="0.25">
      <c r="A6250" t="s">
        <v>6077</v>
      </c>
      <c r="B6250" t="s">
        <v>1486</v>
      </c>
      <c r="C6250" t="s">
        <v>132</v>
      </c>
      <c r="D6250" t="str">
        <f>HYPERLINK("http://service.sap.com/sap/support/notes/1676871","1676871")</f>
        <v>1676871</v>
      </c>
      <c r="E6250">
        <v>1</v>
      </c>
      <c r="F6250" t="s">
        <v>7702</v>
      </c>
    </row>
    <row r="6251" spans="1:6" x14ac:dyDescent="0.25">
      <c r="A6251" t="s">
        <v>6077</v>
      </c>
      <c r="B6251" t="s">
        <v>1486</v>
      </c>
      <c r="C6251" t="s">
        <v>132</v>
      </c>
      <c r="D6251" t="str">
        <f>HYPERLINK("http://service.sap.com/sap/support/notes/1677313","1677313")</f>
        <v>1677313</v>
      </c>
      <c r="E6251">
        <v>1</v>
      </c>
      <c r="F6251" t="s">
        <v>7703</v>
      </c>
    </row>
    <row r="6252" spans="1:6" x14ac:dyDescent="0.25">
      <c r="A6252" t="s">
        <v>6077</v>
      </c>
      <c r="B6252" t="s">
        <v>1486</v>
      </c>
      <c r="C6252" t="s">
        <v>132</v>
      </c>
      <c r="D6252" t="str">
        <f>HYPERLINK("http://service.sap.com/sap/support/notes/1677351","1677351")</f>
        <v>1677351</v>
      </c>
      <c r="E6252">
        <v>1</v>
      </c>
      <c r="F6252" t="s">
        <v>7704</v>
      </c>
    </row>
    <row r="6253" spans="1:6" x14ac:dyDescent="0.25">
      <c r="A6253" t="s">
        <v>6077</v>
      </c>
      <c r="B6253" t="s">
        <v>1486</v>
      </c>
      <c r="C6253" t="s">
        <v>132</v>
      </c>
      <c r="D6253" t="str">
        <f>HYPERLINK("http://service.sap.com/sap/support/notes/1677422","1677422")</f>
        <v>1677422</v>
      </c>
      <c r="E6253">
        <v>2</v>
      </c>
      <c r="F6253" t="s">
        <v>7705</v>
      </c>
    </row>
    <row r="6254" spans="1:6" x14ac:dyDescent="0.25">
      <c r="A6254" t="s">
        <v>6077</v>
      </c>
      <c r="B6254" t="s">
        <v>1486</v>
      </c>
      <c r="C6254" t="s">
        <v>132</v>
      </c>
      <c r="D6254" t="str">
        <f>HYPERLINK("http://service.sap.com/sap/support/notes/1679051","1679051")</f>
        <v>1679051</v>
      </c>
      <c r="E6254">
        <v>1</v>
      </c>
      <c r="F6254" t="s">
        <v>7706</v>
      </c>
    </row>
    <row r="6255" spans="1:6" x14ac:dyDescent="0.25">
      <c r="A6255" t="s">
        <v>6077</v>
      </c>
      <c r="B6255" t="s">
        <v>1486</v>
      </c>
      <c r="C6255" t="s">
        <v>132</v>
      </c>
      <c r="D6255" t="str">
        <f>HYPERLINK("http://service.sap.com/sap/support/notes/1679301","1679301")</f>
        <v>1679301</v>
      </c>
      <c r="E6255">
        <v>1</v>
      </c>
      <c r="F6255" t="s">
        <v>7707</v>
      </c>
    </row>
    <row r="6256" spans="1:6" x14ac:dyDescent="0.25">
      <c r="A6256" t="s">
        <v>6077</v>
      </c>
      <c r="B6256" t="s">
        <v>1486</v>
      </c>
      <c r="C6256" t="s">
        <v>132</v>
      </c>
      <c r="D6256" t="str">
        <f>HYPERLINK("http://service.sap.com/sap/support/notes/1680307","1680307")</f>
        <v>1680307</v>
      </c>
      <c r="E6256">
        <v>3</v>
      </c>
      <c r="F6256" t="s">
        <v>7708</v>
      </c>
    </row>
    <row r="6257" spans="1:6" x14ac:dyDescent="0.25">
      <c r="A6257" t="s">
        <v>6077</v>
      </c>
      <c r="B6257" t="s">
        <v>1486</v>
      </c>
      <c r="C6257" t="s">
        <v>132</v>
      </c>
      <c r="D6257" t="str">
        <f>HYPERLINK("http://service.sap.com/sap/support/notes/1680896","1680896")</f>
        <v>1680896</v>
      </c>
      <c r="E6257">
        <v>2</v>
      </c>
      <c r="F6257" t="s">
        <v>7709</v>
      </c>
    </row>
    <row r="6258" spans="1:6" x14ac:dyDescent="0.25">
      <c r="A6258" t="s">
        <v>6077</v>
      </c>
      <c r="B6258" t="s">
        <v>1486</v>
      </c>
      <c r="C6258" t="s">
        <v>132</v>
      </c>
      <c r="D6258" t="str">
        <f>HYPERLINK("http://service.sap.com/sap/support/notes/1682834","1682834")</f>
        <v>1682834</v>
      </c>
      <c r="E6258">
        <v>2</v>
      </c>
      <c r="F6258" t="s">
        <v>7710</v>
      </c>
    </row>
    <row r="6259" spans="1:6" x14ac:dyDescent="0.25">
      <c r="A6259" t="s">
        <v>6077</v>
      </c>
      <c r="B6259" t="s">
        <v>1486</v>
      </c>
      <c r="C6259" t="s">
        <v>132</v>
      </c>
      <c r="D6259" t="str">
        <f>HYPERLINK("http://service.sap.com/sap/support/notes/1683473","1683473")</f>
        <v>1683473</v>
      </c>
      <c r="E6259">
        <v>2</v>
      </c>
      <c r="F6259" t="s">
        <v>7711</v>
      </c>
    </row>
    <row r="6260" spans="1:6" x14ac:dyDescent="0.25">
      <c r="A6260" t="s">
        <v>6077</v>
      </c>
      <c r="B6260" t="s">
        <v>1486</v>
      </c>
      <c r="C6260" t="s">
        <v>132</v>
      </c>
      <c r="D6260" t="str">
        <f>HYPERLINK("http://service.sap.com/sap/support/notes/1683989","1683989")</f>
        <v>1683989</v>
      </c>
      <c r="E6260">
        <v>1</v>
      </c>
      <c r="F6260" t="s">
        <v>7712</v>
      </c>
    </row>
    <row r="6261" spans="1:6" x14ac:dyDescent="0.25">
      <c r="A6261" t="s">
        <v>6077</v>
      </c>
      <c r="B6261" t="s">
        <v>1486</v>
      </c>
      <c r="C6261" t="s">
        <v>132</v>
      </c>
      <c r="D6261" t="str">
        <f>HYPERLINK("http://service.sap.com/sap/support/notes/1684364","1684364")</f>
        <v>1684364</v>
      </c>
      <c r="E6261">
        <v>1</v>
      </c>
      <c r="F6261" t="s">
        <v>7713</v>
      </c>
    </row>
    <row r="6262" spans="1:6" x14ac:dyDescent="0.25">
      <c r="A6262" t="s">
        <v>6077</v>
      </c>
      <c r="B6262" t="s">
        <v>1486</v>
      </c>
      <c r="C6262" t="s">
        <v>132</v>
      </c>
      <c r="D6262" t="str">
        <f>HYPERLINK("http://service.sap.com/sap/support/notes/1685592","1685592")</f>
        <v>1685592</v>
      </c>
      <c r="E6262">
        <v>3</v>
      </c>
      <c r="F6262" t="s">
        <v>7714</v>
      </c>
    </row>
    <row r="6263" spans="1:6" x14ac:dyDescent="0.25">
      <c r="A6263" t="s">
        <v>6077</v>
      </c>
      <c r="B6263" t="s">
        <v>1486</v>
      </c>
      <c r="C6263" t="s">
        <v>132</v>
      </c>
      <c r="D6263" t="str">
        <f>HYPERLINK("http://service.sap.com/sap/support/notes/1686048","1686048")</f>
        <v>1686048</v>
      </c>
      <c r="E6263">
        <v>3</v>
      </c>
      <c r="F6263" t="s">
        <v>7715</v>
      </c>
    </row>
    <row r="6264" spans="1:6" x14ac:dyDescent="0.25">
      <c r="A6264" t="s">
        <v>6077</v>
      </c>
      <c r="B6264" t="s">
        <v>1486</v>
      </c>
      <c r="C6264" t="s">
        <v>132</v>
      </c>
      <c r="D6264" t="str">
        <f>HYPERLINK("http://service.sap.com/sap/support/notes/1687086","1687086")</f>
        <v>1687086</v>
      </c>
      <c r="E6264">
        <v>2</v>
      </c>
      <c r="F6264" t="s">
        <v>7716</v>
      </c>
    </row>
    <row r="6265" spans="1:6" x14ac:dyDescent="0.25">
      <c r="A6265" t="s">
        <v>6077</v>
      </c>
      <c r="B6265" t="s">
        <v>1486</v>
      </c>
      <c r="C6265" t="s">
        <v>132</v>
      </c>
      <c r="D6265" t="str">
        <f>HYPERLINK("http://service.sap.com/sap/support/notes/1687224","1687224")</f>
        <v>1687224</v>
      </c>
      <c r="E6265">
        <v>1</v>
      </c>
      <c r="F6265" t="s">
        <v>7717</v>
      </c>
    </row>
    <row r="6266" spans="1:6" x14ac:dyDescent="0.25">
      <c r="A6266" t="s">
        <v>6077</v>
      </c>
      <c r="B6266" t="s">
        <v>1486</v>
      </c>
      <c r="C6266" t="s">
        <v>132</v>
      </c>
      <c r="D6266" t="str">
        <f>HYPERLINK("http://service.sap.com/sap/support/notes/1687452","1687452")</f>
        <v>1687452</v>
      </c>
      <c r="E6266">
        <v>1</v>
      </c>
      <c r="F6266" t="s">
        <v>7718</v>
      </c>
    </row>
    <row r="6267" spans="1:6" x14ac:dyDescent="0.25">
      <c r="A6267" t="s">
        <v>6077</v>
      </c>
      <c r="B6267" t="s">
        <v>1486</v>
      </c>
      <c r="C6267" t="s">
        <v>132</v>
      </c>
      <c r="D6267" t="str">
        <f>HYPERLINK("http://service.sap.com/sap/support/notes/1687659","1687659")</f>
        <v>1687659</v>
      </c>
      <c r="E6267">
        <v>2</v>
      </c>
      <c r="F6267" t="s">
        <v>7719</v>
      </c>
    </row>
    <row r="6268" spans="1:6" x14ac:dyDescent="0.25">
      <c r="A6268" t="s">
        <v>6077</v>
      </c>
      <c r="B6268" t="s">
        <v>1486</v>
      </c>
      <c r="C6268" t="s">
        <v>132</v>
      </c>
      <c r="D6268" t="str">
        <f>HYPERLINK("http://service.sap.com/sap/support/notes/1688948","1688948")</f>
        <v>1688948</v>
      </c>
      <c r="E6268">
        <v>2</v>
      </c>
      <c r="F6268" t="s">
        <v>7720</v>
      </c>
    </row>
    <row r="6269" spans="1:6" x14ac:dyDescent="0.25">
      <c r="A6269" t="s">
        <v>6077</v>
      </c>
      <c r="B6269" t="s">
        <v>1486</v>
      </c>
      <c r="C6269" t="s">
        <v>132</v>
      </c>
      <c r="D6269" t="str">
        <f>HYPERLINK("http://service.sap.com/sap/support/notes/1689495","1689495")</f>
        <v>1689495</v>
      </c>
      <c r="E6269">
        <v>1</v>
      </c>
      <c r="F6269" t="s">
        <v>7721</v>
      </c>
    </row>
    <row r="6270" spans="1:6" x14ac:dyDescent="0.25">
      <c r="A6270" t="s">
        <v>6077</v>
      </c>
      <c r="B6270" t="s">
        <v>1486</v>
      </c>
      <c r="C6270" t="s">
        <v>132</v>
      </c>
      <c r="D6270" t="str">
        <f>HYPERLINK("http://service.sap.com/sap/support/notes/1689953","1689953")</f>
        <v>1689953</v>
      </c>
      <c r="E6270">
        <v>1</v>
      </c>
      <c r="F6270" t="s">
        <v>7722</v>
      </c>
    </row>
    <row r="6271" spans="1:6" x14ac:dyDescent="0.25">
      <c r="A6271" t="s">
        <v>6077</v>
      </c>
      <c r="B6271" t="s">
        <v>1486</v>
      </c>
      <c r="C6271" t="s">
        <v>132</v>
      </c>
      <c r="D6271" t="str">
        <f>HYPERLINK("http://service.sap.com/sap/support/notes/1689999","1689999")</f>
        <v>1689999</v>
      </c>
      <c r="E6271">
        <v>2</v>
      </c>
      <c r="F6271" t="s">
        <v>7723</v>
      </c>
    </row>
    <row r="6272" spans="1:6" x14ac:dyDescent="0.25">
      <c r="A6272" t="s">
        <v>6077</v>
      </c>
      <c r="B6272" t="s">
        <v>1486</v>
      </c>
      <c r="C6272" t="s">
        <v>132</v>
      </c>
      <c r="D6272" t="str">
        <f>HYPERLINK("http://service.sap.com/sap/support/notes/1690672","1690672")</f>
        <v>1690672</v>
      </c>
      <c r="E6272">
        <v>1</v>
      </c>
      <c r="F6272" t="s">
        <v>7724</v>
      </c>
    </row>
    <row r="6273" spans="1:6" x14ac:dyDescent="0.25">
      <c r="A6273" t="s">
        <v>6077</v>
      </c>
      <c r="B6273" t="s">
        <v>1486</v>
      </c>
      <c r="C6273" t="s">
        <v>132</v>
      </c>
      <c r="D6273" t="str">
        <f>HYPERLINK("http://service.sap.com/sap/support/notes/1691588","1691588")</f>
        <v>1691588</v>
      </c>
      <c r="E6273">
        <v>2</v>
      </c>
      <c r="F6273" t="s">
        <v>7714</v>
      </c>
    </row>
    <row r="6274" spans="1:6" x14ac:dyDescent="0.25">
      <c r="A6274" t="s">
        <v>6077</v>
      </c>
      <c r="B6274" t="s">
        <v>1486</v>
      </c>
      <c r="C6274" t="s">
        <v>132</v>
      </c>
      <c r="D6274" t="str">
        <f>HYPERLINK("http://service.sap.com/sap/support/notes/1691979","1691979")</f>
        <v>1691979</v>
      </c>
      <c r="E6274">
        <v>1</v>
      </c>
      <c r="F6274" t="s">
        <v>7725</v>
      </c>
    </row>
    <row r="6275" spans="1:6" x14ac:dyDescent="0.25">
      <c r="A6275" t="s">
        <v>6077</v>
      </c>
      <c r="B6275" t="s">
        <v>1486</v>
      </c>
      <c r="C6275" t="s">
        <v>132</v>
      </c>
      <c r="D6275" t="str">
        <f>HYPERLINK("http://service.sap.com/sap/support/notes/1693776","1693776")</f>
        <v>1693776</v>
      </c>
      <c r="E6275">
        <v>2</v>
      </c>
      <c r="F6275" t="s">
        <v>7726</v>
      </c>
    </row>
    <row r="6276" spans="1:6" x14ac:dyDescent="0.25">
      <c r="A6276" t="s">
        <v>6077</v>
      </c>
      <c r="B6276" t="s">
        <v>1486</v>
      </c>
      <c r="C6276" t="s">
        <v>132</v>
      </c>
      <c r="D6276" t="str">
        <f>HYPERLINK("http://service.sap.com/sap/support/notes/1694988","1694988")</f>
        <v>1694988</v>
      </c>
      <c r="E6276">
        <v>2</v>
      </c>
      <c r="F6276" t="s">
        <v>7727</v>
      </c>
    </row>
    <row r="6277" spans="1:6" x14ac:dyDescent="0.25">
      <c r="A6277" t="s">
        <v>6077</v>
      </c>
      <c r="B6277" t="s">
        <v>1486</v>
      </c>
      <c r="C6277" t="s">
        <v>132</v>
      </c>
      <c r="D6277" t="str">
        <f>HYPERLINK("http://service.sap.com/sap/support/notes/1696319","1696319")</f>
        <v>1696319</v>
      </c>
      <c r="E6277">
        <v>2</v>
      </c>
      <c r="F6277" t="s">
        <v>7728</v>
      </c>
    </row>
    <row r="6278" spans="1:6" x14ac:dyDescent="0.25">
      <c r="A6278" t="s">
        <v>6077</v>
      </c>
      <c r="B6278" t="s">
        <v>1502</v>
      </c>
      <c r="C6278" t="s">
        <v>1373</v>
      </c>
      <c r="D6278" t="str">
        <f>HYPERLINK("http://service.sap.com/sap/support/notes/1673200","1673200")</f>
        <v>1673200</v>
      </c>
      <c r="E6278">
        <v>3</v>
      </c>
      <c r="F6278" t="s">
        <v>7729</v>
      </c>
    </row>
    <row r="6279" spans="1:6" x14ac:dyDescent="0.25">
      <c r="A6279" t="s">
        <v>6077</v>
      </c>
      <c r="B6279" t="s">
        <v>1502</v>
      </c>
      <c r="C6279" t="s">
        <v>1373</v>
      </c>
      <c r="D6279" t="str">
        <f>HYPERLINK("http://service.sap.com/sap/support/notes/1676997","1676997")</f>
        <v>1676997</v>
      </c>
      <c r="E6279">
        <v>1</v>
      </c>
      <c r="F6279" t="s">
        <v>7730</v>
      </c>
    </row>
    <row r="6280" spans="1:6" x14ac:dyDescent="0.25">
      <c r="A6280" t="s">
        <v>6077</v>
      </c>
      <c r="B6280" t="s">
        <v>1502</v>
      </c>
      <c r="C6280" t="s">
        <v>1373</v>
      </c>
      <c r="D6280" t="str">
        <f>HYPERLINK("http://service.sap.com/sap/support/notes/1679425","1679425")</f>
        <v>1679425</v>
      </c>
      <c r="E6280">
        <v>1</v>
      </c>
      <c r="F6280" t="s">
        <v>7731</v>
      </c>
    </row>
    <row r="6281" spans="1:6" x14ac:dyDescent="0.25">
      <c r="A6281" t="s">
        <v>6077</v>
      </c>
      <c r="B6281" t="s">
        <v>1502</v>
      </c>
      <c r="C6281" t="s">
        <v>1373</v>
      </c>
      <c r="D6281" t="str">
        <f>HYPERLINK("http://service.sap.com/sap/support/notes/1683407","1683407")</f>
        <v>1683407</v>
      </c>
      <c r="E6281">
        <v>4</v>
      </c>
      <c r="F6281" t="s">
        <v>7732</v>
      </c>
    </row>
    <row r="6282" spans="1:6" x14ac:dyDescent="0.25">
      <c r="A6282" t="s">
        <v>6077</v>
      </c>
      <c r="B6282" t="s">
        <v>1502</v>
      </c>
      <c r="C6282" t="s">
        <v>1373</v>
      </c>
      <c r="D6282" t="str">
        <f>HYPERLINK("http://service.sap.com/sap/support/notes/1684351","1684351")</f>
        <v>1684351</v>
      </c>
      <c r="E6282">
        <v>3</v>
      </c>
      <c r="F6282" t="s">
        <v>7733</v>
      </c>
    </row>
    <row r="6283" spans="1:6" x14ac:dyDescent="0.25">
      <c r="A6283" t="s">
        <v>6077</v>
      </c>
      <c r="B6283" t="s">
        <v>1502</v>
      </c>
      <c r="C6283" t="s">
        <v>1373</v>
      </c>
      <c r="D6283" t="str">
        <f>HYPERLINK("http://service.sap.com/sap/support/notes/1688824","1688824")</f>
        <v>1688824</v>
      </c>
      <c r="E6283">
        <v>1</v>
      </c>
      <c r="F6283" t="s">
        <v>7734</v>
      </c>
    </row>
    <row r="6284" spans="1:6" x14ac:dyDescent="0.25">
      <c r="A6284" t="s">
        <v>6077</v>
      </c>
      <c r="B6284" t="s">
        <v>1502</v>
      </c>
      <c r="C6284" t="s">
        <v>1373</v>
      </c>
      <c r="D6284" t="str">
        <f>HYPERLINK("http://service.sap.com/sap/support/notes/1693781","1693781")</f>
        <v>1693781</v>
      </c>
      <c r="E6284">
        <v>2</v>
      </c>
      <c r="F6284" t="s">
        <v>7735</v>
      </c>
    </row>
    <row r="6285" spans="1:6" x14ac:dyDescent="0.25">
      <c r="A6285" t="s">
        <v>6077</v>
      </c>
      <c r="B6285" t="s">
        <v>1507</v>
      </c>
      <c r="C6285" t="s">
        <v>1508</v>
      </c>
      <c r="D6285" t="str">
        <f>HYPERLINK("http://service.sap.com/sap/support/notes/1695433","1695433")</f>
        <v>1695433</v>
      </c>
      <c r="E6285">
        <v>1</v>
      </c>
      <c r="F6285" t="s">
        <v>7736</v>
      </c>
    </row>
    <row r="6286" spans="1:6" x14ac:dyDescent="0.25">
      <c r="A6286" t="s">
        <v>6077</v>
      </c>
      <c r="B6286" t="s">
        <v>6050</v>
      </c>
      <c r="C6286" t="s">
        <v>6051</v>
      </c>
    </row>
    <row r="6287" spans="1:6" x14ac:dyDescent="0.25">
      <c r="A6287" t="s">
        <v>6077</v>
      </c>
      <c r="B6287" t="s">
        <v>6052</v>
      </c>
      <c r="C6287" t="s">
        <v>6053</v>
      </c>
      <c r="D6287" t="str">
        <f>HYPERLINK("http://service.sap.com/sap/support/notes/1650953","1650953")</f>
        <v>1650953</v>
      </c>
      <c r="E6287">
        <v>6</v>
      </c>
      <c r="F6287" t="s">
        <v>7737</v>
      </c>
    </row>
    <row r="6288" spans="1:6" x14ac:dyDescent="0.25">
      <c r="A6288" t="s">
        <v>6077</v>
      </c>
      <c r="B6288" t="s">
        <v>6052</v>
      </c>
      <c r="C6288" t="s">
        <v>6053</v>
      </c>
      <c r="D6288" t="str">
        <f>HYPERLINK("http://service.sap.com/sap/support/notes/1681449","1681449")</f>
        <v>1681449</v>
      </c>
      <c r="E6288">
        <v>1</v>
      </c>
      <c r="F6288" t="s">
        <v>7738</v>
      </c>
    </row>
    <row r="6289" spans="1:6" x14ac:dyDescent="0.25">
      <c r="A6289" t="s">
        <v>6077</v>
      </c>
      <c r="B6289" t="s">
        <v>45</v>
      </c>
      <c r="C6289" t="s">
        <v>46</v>
      </c>
    </row>
    <row r="6290" spans="1:6" x14ac:dyDescent="0.25">
      <c r="A6290" t="s">
        <v>6077</v>
      </c>
      <c r="B6290" t="s">
        <v>1510</v>
      </c>
      <c r="C6290" t="s">
        <v>1511</v>
      </c>
    </row>
    <row r="6291" spans="1:6" x14ac:dyDescent="0.25">
      <c r="A6291" t="s">
        <v>6077</v>
      </c>
      <c r="B6291" t="s">
        <v>6059</v>
      </c>
      <c r="C6291" t="s">
        <v>6060</v>
      </c>
    </row>
    <row r="6292" spans="1:6" x14ac:dyDescent="0.25">
      <c r="A6292" t="s">
        <v>6077</v>
      </c>
      <c r="B6292" t="s">
        <v>6061</v>
      </c>
      <c r="C6292" t="s">
        <v>6062</v>
      </c>
      <c r="D6292" t="str">
        <f>HYPERLINK("http://service.sap.com/sap/support/notes/1690737","1690737")</f>
        <v>1690737</v>
      </c>
      <c r="E6292">
        <v>2</v>
      </c>
      <c r="F6292" t="s">
        <v>7739</v>
      </c>
    </row>
    <row r="6293" spans="1:6" x14ac:dyDescent="0.25">
      <c r="A6293" t="s">
        <v>6077</v>
      </c>
      <c r="B6293" t="s">
        <v>7740</v>
      </c>
    </row>
    <row r="6294" spans="1:6" x14ac:dyDescent="0.25">
      <c r="A6294" t="s">
        <v>6077</v>
      </c>
      <c r="B6294" t="s">
        <v>7741</v>
      </c>
      <c r="C6294" t="s">
        <v>1427</v>
      </c>
      <c r="D6294" t="str">
        <f>HYPERLINK("http://service.sap.com/sap/support/notes/1252270","1252270")</f>
        <v>1252270</v>
      </c>
      <c r="E6294">
        <v>1</v>
      </c>
      <c r="F6294" t="s">
        <v>7742</v>
      </c>
    </row>
    <row r="6295" spans="1:6" x14ac:dyDescent="0.25">
      <c r="A6295" t="s">
        <v>6077</v>
      </c>
      <c r="B6295" t="s">
        <v>47</v>
      </c>
      <c r="C6295" t="s">
        <v>48</v>
      </c>
    </row>
    <row r="6296" spans="1:6" x14ac:dyDescent="0.25">
      <c r="A6296" t="s">
        <v>6077</v>
      </c>
      <c r="B6296" t="s">
        <v>49</v>
      </c>
      <c r="C6296" t="s">
        <v>50</v>
      </c>
      <c r="D6296" t="str">
        <f>HYPERLINK("http://service.sap.com/sap/support/notes/1660075","1660075")</f>
        <v>1660075</v>
      </c>
      <c r="E6296">
        <v>1</v>
      </c>
      <c r="F6296" t="s">
        <v>7743</v>
      </c>
    </row>
    <row r="6297" spans="1:6" x14ac:dyDescent="0.25">
      <c r="A6297" t="s">
        <v>6077</v>
      </c>
      <c r="B6297" t="s">
        <v>1518</v>
      </c>
      <c r="C6297" t="s">
        <v>1519</v>
      </c>
      <c r="D6297" t="str">
        <f>HYPERLINK("http://service.sap.com/sap/support/notes/1688514","1688514")</f>
        <v>1688514</v>
      </c>
      <c r="E6297">
        <v>1</v>
      </c>
      <c r="F6297" t="s">
        <v>7744</v>
      </c>
    </row>
    <row r="6298" spans="1:6" x14ac:dyDescent="0.25">
      <c r="A6298" t="s">
        <v>6077</v>
      </c>
      <c r="B6298" t="s">
        <v>6066</v>
      </c>
      <c r="C6298" t="s">
        <v>6067</v>
      </c>
    </row>
    <row r="6299" spans="1:6" x14ac:dyDescent="0.25">
      <c r="A6299" t="s">
        <v>6077</v>
      </c>
      <c r="B6299" t="s">
        <v>6068</v>
      </c>
      <c r="C6299" t="s">
        <v>6069</v>
      </c>
      <c r="D6299" t="str">
        <f>HYPERLINK("http://service.sap.com/sap/support/notes/1684070","1684070")</f>
        <v>1684070</v>
      </c>
      <c r="E6299">
        <v>2</v>
      </c>
      <c r="F6299" t="s">
        <v>7745</v>
      </c>
    </row>
    <row r="6300" spans="1:6" x14ac:dyDescent="0.25">
      <c r="A6300" t="s">
        <v>6077</v>
      </c>
      <c r="B6300" t="s">
        <v>7746</v>
      </c>
      <c r="C6300" t="s">
        <v>7747</v>
      </c>
      <c r="D6300" t="str">
        <f>HYPERLINK("http://service.sap.com/sap/support/notes/1681691","1681691")</f>
        <v>1681691</v>
      </c>
      <c r="E6300">
        <v>1</v>
      </c>
      <c r="F6300" t="s">
        <v>7748</v>
      </c>
    </row>
    <row r="6301" spans="1:6" x14ac:dyDescent="0.25">
      <c r="A6301" t="s">
        <v>7749</v>
      </c>
      <c r="B6301" t="s">
        <v>90</v>
      </c>
      <c r="C6301" t="s">
        <v>91</v>
      </c>
    </row>
    <row r="6302" spans="1:6" x14ac:dyDescent="0.25">
      <c r="A6302" t="s">
        <v>7749</v>
      </c>
      <c r="B6302" t="s">
        <v>1523</v>
      </c>
      <c r="C6302" t="s">
        <v>1524</v>
      </c>
      <c r="D6302" t="str">
        <f>HYPERLINK("http://service.sap.com/sap/support/notes/1717287","1717287")</f>
        <v>1717287</v>
      </c>
      <c r="E6302">
        <v>1</v>
      </c>
      <c r="F6302" t="s">
        <v>7750</v>
      </c>
    </row>
    <row r="6303" spans="1:6" x14ac:dyDescent="0.25">
      <c r="A6303" t="s">
        <v>7749</v>
      </c>
      <c r="B6303" t="s">
        <v>1523</v>
      </c>
      <c r="C6303" t="s">
        <v>1524</v>
      </c>
      <c r="D6303" t="str">
        <f>HYPERLINK("http://service.sap.com/sap/support/notes/1719199","1719199")</f>
        <v>1719199</v>
      </c>
      <c r="E6303">
        <v>1</v>
      </c>
      <c r="F6303" t="s">
        <v>7751</v>
      </c>
    </row>
    <row r="6304" spans="1:6" x14ac:dyDescent="0.25">
      <c r="A6304" t="s">
        <v>7749</v>
      </c>
      <c r="B6304" t="s">
        <v>1523</v>
      </c>
      <c r="C6304" t="s">
        <v>1524</v>
      </c>
      <c r="D6304" t="str">
        <f>HYPERLINK("http://service.sap.com/sap/support/notes/1722679","1722679")</f>
        <v>1722679</v>
      </c>
      <c r="E6304">
        <v>1</v>
      </c>
      <c r="F6304" t="s">
        <v>7752</v>
      </c>
    </row>
    <row r="6305" spans="1:6" x14ac:dyDescent="0.25">
      <c r="A6305" t="s">
        <v>7749</v>
      </c>
      <c r="B6305" t="s">
        <v>92</v>
      </c>
      <c r="C6305" t="s">
        <v>93</v>
      </c>
      <c r="D6305" t="str">
        <f>HYPERLINK("http://service.sap.com/sap/support/notes/1441552","1441552")</f>
        <v>1441552</v>
      </c>
      <c r="E6305">
        <v>4</v>
      </c>
      <c r="F6305" t="s">
        <v>7753</v>
      </c>
    </row>
    <row r="6306" spans="1:6" x14ac:dyDescent="0.25">
      <c r="A6306" t="s">
        <v>7749</v>
      </c>
      <c r="B6306" t="s">
        <v>92</v>
      </c>
      <c r="C6306" t="s">
        <v>93</v>
      </c>
      <c r="D6306" t="str">
        <f>HYPERLINK("http://service.sap.com/sap/support/notes/1698282","1698282")</f>
        <v>1698282</v>
      </c>
      <c r="E6306">
        <v>1</v>
      </c>
      <c r="F6306" t="s">
        <v>7754</v>
      </c>
    </row>
    <row r="6307" spans="1:6" x14ac:dyDescent="0.25">
      <c r="A6307" t="s">
        <v>7749</v>
      </c>
      <c r="B6307" t="s">
        <v>92</v>
      </c>
      <c r="C6307" t="s">
        <v>93</v>
      </c>
      <c r="D6307" t="str">
        <f>HYPERLINK("http://service.sap.com/sap/support/notes/1709956","1709956")</f>
        <v>1709956</v>
      </c>
      <c r="E6307">
        <v>1</v>
      </c>
      <c r="F6307" t="s">
        <v>7755</v>
      </c>
    </row>
    <row r="6308" spans="1:6" x14ac:dyDescent="0.25">
      <c r="A6308" t="s">
        <v>7749</v>
      </c>
      <c r="B6308" t="s">
        <v>92</v>
      </c>
      <c r="C6308" t="s">
        <v>93</v>
      </c>
      <c r="D6308" t="str">
        <f>HYPERLINK("http://service.sap.com/sap/support/notes/1723218","1723218")</f>
        <v>1723218</v>
      </c>
      <c r="E6308">
        <v>1</v>
      </c>
      <c r="F6308" t="s">
        <v>7756</v>
      </c>
    </row>
    <row r="6309" spans="1:6" x14ac:dyDescent="0.25">
      <c r="A6309" t="s">
        <v>7749</v>
      </c>
      <c r="B6309" t="s">
        <v>92</v>
      </c>
      <c r="C6309" t="s">
        <v>93</v>
      </c>
      <c r="D6309" t="str">
        <f>HYPERLINK("http://service.sap.com/sap/support/notes/1723980","1723980")</f>
        <v>1723980</v>
      </c>
      <c r="E6309">
        <v>1</v>
      </c>
      <c r="F6309" t="s">
        <v>7757</v>
      </c>
    </row>
    <row r="6310" spans="1:6" x14ac:dyDescent="0.25">
      <c r="A6310" t="s">
        <v>7749</v>
      </c>
      <c r="B6310" t="s">
        <v>1531</v>
      </c>
      <c r="C6310" t="s">
        <v>1532</v>
      </c>
      <c r="D6310" t="str">
        <f>HYPERLINK("http://service.sap.com/sap/support/notes/1691803","1691803")</f>
        <v>1691803</v>
      </c>
      <c r="E6310">
        <v>1</v>
      </c>
      <c r="F6310" t="s">
        <v>6088</v>
      </c>
    </row>
    <row r="6311" spans="1:6" x14ac:dyDescent="0.25">
      <c r="A6311" t="s">
        <v>7749</v>
      </c>
      <c r="B6311" t="s">
        <v>1531</v>
      </c>
      <c r="C6311" t="s">
        <v>1532</v>
      </c>
      <c r="D6311" t="str">
        <f>HYPERLINK("http://service.sap.com/sap/support/notes/1702828","1702828")</f>
        <v>1702828</v>
      </c>
      <c r="E6311">
        <v>1</v>
      </c>
      <c r="F6311" t="s">
        <v>7758</v>
      </c>
    </row>
    <row r="6312" spans="1:6" x14ac:dyDescent="0.25">
      <c r="A6312" t="s">
        <v>7749</v>
      </c>
      <c r="B6312" t="s">
        <v>1531</v>
      </c>
      <c r="C6312" t="s">
        <v>1532</v>
      </c>
      <c r="D6312" t="str">
        <f>HYPERLINK("http://service.sap.com/sap/support/notes/1716987","1716987")</f>
        <v>1716987</v>
      </c>
      <c r="E6312">
        <v>1</v>
      </c>
      <c r="F6312" t="s">
        <v>7759</v>
      </c>
    </row>
    <row r="6313" spans="1:6" x14ac:dyDescent="0.25">
      <c r="A6313" t="s">
        <v>7749</v>
      </c>
      <c r="B6313" t="s">
        <v>5</v>
      </c>
      <c r="C6313" t="s">
        <v>6</v>
      </c>
    </row>
    <row r="6314" spans="1:6" x14ac:dyDescent="0.25">
      <c r="A6314" t="s">
        <v>7749</v>
      </c>
      <c r="B6314" t="s">
        <v>13</v>
      </c>
      <c r="C6314" t="s">
        <v>14</v>
      </c>
    </row>
    <row r="6315" spans="1:6" x14ac:dyDescent="0.25">
      <c r="A6315" t="s">
        <v>7749</v>
      </c>
      <c r="B6315" t="s">
        <v>1541</v>
      </c>
      <c r="C6315" t="s">
        <v>337</v>
      </c>
    </row>
    <row r="6316" spans="1:6" x14ac:dyDescent="0.25">
      <c r="A6316" t="s">
        <v>7749</v>
      </c>
      <c r="B6316" t="s">
        <v>1542</v>
      </c>
      <c r="C6316" t="s">
        <v>1543</v>
      </c>
      <c r="D6316" t="str">
        <f>HYPERLINK("http://service.sap.com/sap/support/notes/1703811","1703811")</f>
        <v>1703811</v>
      </c>
      <c r="E6316">
        <v>1</v>
      </c>
      <c r="F6316" t="s">
        <v>7760</v>
      </c>
    </row>
    <row r="6317" spans="1:6" x14ac:dyDescent="0.25">
      <c r="A6317" t="s">
        <v>7749</v>
      </c>
      <c r="B6317" t="s">
        <v>99</v>
      </c>
      <c r="C6317" t="s">
        <v>100</v>
      </c>
    </row>
    <row r="6318" spans="1:6" x14ac:dyDescent="0.25">
      <c r="A6318" t="s">
        <v>7749</v>
      </c>
      <c r="B6318" t="s">
        <v>101</v>
      </c>
      <c r="C6318" t="s">
        <v>102</v>
      </c>
      <c r="D6318" t="str">
        <f>HYPERLINK("http://service.sap.com/sap/support/notes/1369305","1369305")</f>
        <v>1369305</v>
      </c>
      <c r="E6318">
        <v>3</v>
      </c>
      <c r="F6318" t="s">
        <v>7761</v>
      </c>
    </row>
    <row r="6319" spans="1:6" x14ac:dyDescent="0.25">
      <c r="A6319" t="s">
        <v>7749</v>
      </c>
      <c r="B6319" t="s">
        <v>101</v>
      </c>
      <c r="C6319" t="s">
        <v>102</v>
      </c>
      <c r="D6319" t="str">
        <f>HYPERLINK("http://service.sap.com/sap/support/notes/1696848","1696848")</f>
        <v>1696848</v>
      </c>
      <c r="E6319">
        <v>3</v>
      </c>
      <c r="F6319" t="s">
        <v>7762</v>
      </c>
    </row>
    <row r="6320" spans="1:6" x14ac:dyDescent="0.25">
      <c r="A6320" t="s">
        <v>7749</v>
      </c>
      <c r="B6320" t="s">
        <v>101</v>
      </c>
      <c r="C6320" t="s">
        <v>102</v>
      </c>
      <c r="D6320" t="str">
        <f>HYPERLINK("http://service.sap.com/sap/support/notes/1714044","1714044")</f>
        <v>1714044</v>
      </c>
      <c r="E6320">
        <v>3</v>
      </c>
      <c r="F6320" t="s">
        <v>7763</v>
      </c>
    </row>
    <row r="6321" spans="1:6" x14ac:dyDescent="0.25">
      <c r="A6321" t="s">
        <v>7749</v>
      </c>
      <c r="B6321" t="s">
        <v>101</v>
      </c>
      <c r="C6321" t="s">
        <v>102</v>
      </c>
      <c r="D6321" t="str">
        <f>HYPERLINK("http://service.sap.com/sap/support/notes/1723603","1723603")</f>
        <v>1723603</v>
      </c>
      <c r="E6321">
        <v>2</v>
      </c>
      <c r="F6321" t="s">
        <v>7764</v>
      </c>
    </row>
    <row r="6322" spans="1:6" x14ac:dyDescent="0.25">
      <c r="A6322" t="s">
        <v>7749</v>
      </c>
      <c r="B6322" t="s">
        <v>104</v>
      </c>
      <c r="C6322" t="s">
        <v>105</v>
      </c>
    </row>
    <row r="6323" spans="1:6" x14ac:dyDescent="0.25">
      <c r="A6323" t="s">
        <v>7749</v>
      </c>
      <c r="B6323" t="s">
        <v>109</v>
      </c>
      <c r="C6323" t="s">
        <v>110</v>
      </c>
    </row>
    <row r="6324" spans="1:6" x14ac:dyDescent="0.25">
      <c r="A6324" t="s">
        <v>7749</v>
      </c>
      <c r="B6324" t="s">
        <v>7765</v>
      </c>
      <c r="C6324" t="s">
        <v>7766</v>
      </c>
      <c r="D6324" t="str">
        <f>HYPERLINK("http://service.sap.com/sap/support/notes/1723742","1723742")</f>
        <v>1723742</v>
      </c>
      <c r="E6324">
        <v>1</v>
      </c>
      <c r="F6324" t="s">
        <v>7767</v>
      </c>
    </row>
    <row r="6325" spans="1:6" x14ac:dyDescent="0.25">
      <c r="A6325" t="s">
        <v>7749</v>
      </c>
      <c r="B6325" t="s">
        <v>111</v>
      </c>
      <c r="C6325" t="s">
        <v>112</v>
      </c>
      <c r="D6325" t="str">
        <f>HYPERLINK("http://service.sap.com/sap/support/notes/1703219","1703219")</f>
        <v>1703219</v>
      </c>
      <c r="E6325">
        <v>2</v>
      </c>
      <c r="F6325" t="s">
        <v>7768</v>
      </c>
    </row>
    <row r="6326" spans="1:6" x14ac:dyDescent="0.25">
      <c r="A6326" t="s">
        <v>7749</v>
      </c>
      <c r="B6326" t="s">
        <v>114</v>
      </c>
      <c r="C6326" t="s">
        <v>115</v>
      </c>
    </row>
    <row r="6327" spans="1:6" x14ac:dyDescent="0.25">
      <c r="A6327" t="s">
        <v>7749</v>
      </c>
      <c r="B6327" t="s">
        <v>116</v>
      </c>
      <c r="C6327" t="s">
        <v>117</v>
      </c>
    </row>
    <row r="6328" spans="1:6" x14ac:dyDescent="0.25">
      <c r="A6328" t="s">
        <v>7749</v>
      </c>
      <c r="B6328" t="s">
        <v>118</v>
      </c>
      <c r="C6328" t="s">
        <v>119</v>
      </c>
      <c r="D6328" t="str">
        <f>HYPERLINK("http://service.sap.com/sap/support/notes/1657032","1657032")</f>
        <v>1657032</v>
      </c>
      <c r="E6328">
        <v>9</v>
      </c>
      <c r="F6328" t="s">
        <v>7769</v>
      </c>
    </row>
    <row r="6329" spans="1:6" x14ac:dyDescent="0.25">
      <c r="A6329" t="s">
        <v>7749</v>
      </c>
      <c r="B6329" t="s">
        <v>118</v>
      </c>
      <c r="C6329" t="s">
        <v>119</v>
      </c>
      <c r="D6329" t="str">
        <f>HYPERLINK("http://service.sap.com/sap/support/notes/1680880","1680880")</f>
        <v>1680880</v>
      </c>
      <c r="E6329">
        <v>2</v>
      </c>
      <c r="F6329" t="s">
        <v>6106</v>
      </c>
    </row>
    <row r="6330" spans="1:6" x14ac:dyDescent="0.25">
      <c r="A6330" t="s">
        <v>7749</v>
      </c>
      <c r="B6330" t="s">
        <v>118</v>
      </c>
      <c r="C6330" t="s">
        <v>119</v>
      </c>
      <c r="D6330" t="str">
        <f>HYPERLINK("http://service.sap.com/sap/support/notes/1686764","1686764")</f>
        <v>1686764</v>
      </c>
      <c r="E6330">
        <v>5</v>
      </c>
      <c r="F6330" t="s">
        <v>6107</v>
      </c>
    </row>
    <row r="6331" spans="1:6" x14ac:dyDescent="0.25">
      <c r="A6331" t="s">
        <v>7749</v>
      </c>
      <c r="B6331" t="s">
        <v>118</v>
      </c>
      <c r="C6331" t="s">
        <v>119</v>
      </c>
      <c r="D6331" t="str">
        <f>HYPERLINK("http://service.sap.com/sap/support/notes/1702384","1702384")</f>
        <v>1702384</v>
      </c>
      <c r="E6331">
        <v>2</v>
      </c>
      <c r="F6331" t="s">
        <v>7770</v>
      </c>
    </row>
    <row r="6332" spans="1:6" x14ac:dyDescent="0.25">
      <c r="A6332" t="s">
        <v>7749</v>
      </c>
      <c r="B6332" t="s">
        <v>118</v>
      </c>
      <c r="C6332" t="s">
        <v>119</v>
      </c>
      <c r="D6332" t="str">
        <f>HYPERLINK("http://service.sap.com/sap/support/notes/1702389","1702389")</f>
        <v>1702389</v>
      </c>
      <c r="E6332">
        <v>1</v>
      </c>
      <c r="F6332" t="s">
        <v>7771</v>
      </c>
    </row>
    <row r="6333" spans="1:6" x14ac:dyDescent="0.25">
      <c r="A6333" t="s">
        <v>7749</v>
      </c>
      <c r="B6333" t="s">
        <v>118</v>
      </c>
      <c r="C6333" t="s">
        <v>119</v>
      </c>
      <c r="D6333" t="str">
        <f>HYPERLINK("http://service.sap.com/sap/support/notes/1702731","1702731")</f>
        <v>1702731</v>
      </c>
      <c r="E6333">
        <v>6</v>
      </c>
      <c r="F6333" t="s">
        <v>7772</v>
      </c>
    </row>
    <row r="6334" spans="1:6" x14ac:dyDescent="0.25">
      <c r="A6334" t="s">
        <v>7749</v>
      </c>
      <c r="B6334" t="s">
        <v>118</v>
      </c>
      <c r="C6334" t="s">
        <v>119</v>
      </c>
      <c r="D6334" t="str">
        <f>HYPERLINK("http://service.sap.com/sap/support/notes/1708813","1708813")</f>
        <v>1708813</v>
      </c>
      <c r="E6334">
        <v>2</v>
      </c>
      <c r="F6334" t="s">
        <v>7773</v>
      </c>
    </row>
    <row r="6335" spans="1:6" x14ac:dyDescent="0.25">
      <c r="A6335" t="s">
        <v>7749</v>
      </c>
      <c r="B6335" t="s">
        <v>118</v>
      </c>
      <c r="C6335" t="s">
        <v>119</v>
      </c>
      <c r="D6335" t="str">
        <f>HYPERLINK("http://service.sap.com/sap/support/notes/1722193","1722193")</f>
        <v>1722193</v>
      </c>
      <c r="E6335">
        <v>3</v>
      </c>
      <c r="F6335" t="s">
        <v>7774</v>
      </c>
    </row>
    <row r="6336" spans="1:6" x14ac:dyDescent="0.25">
      <c r="A6336" t="s">
        <v>7749</v>
      </c>
      <c r="B6336" t="s">
        <v>118</v>
      </c>
      <c r="C6336" t="s">
        <v>119</v>
      </c>
      <c r="D6336" t="str">
        <f>HYPERLINK("http://service.sap.com/sap/support/notes/1724386","1724386")</f>
        <v>1724386</v>
      </c>
      <c r="E6336">
        <v>2</v>
      </c>
      <c r="F6336" t="s">
        <v>7775</v>
      </c>
    </row>
    <row r="6337" spans="1:6" x14ac:dyDescent="0.25">
      <c r="A6337" t="s">
        <v>7749</v>
      </c>
      <c r="B6337" t="s">
        <v>121</v>
      </c>
      <c r="C6337" t="s">
        <v>122</v>
      </c>
    </row>
    <row r="6338" spans="1:6" x14ac:dyDescent="0.25">
      <c r="A6338" t="s">
        <v>7749</v>
      </c>
      <c r="B6338" t="s">
        <v>123</v>
      </c>
      <c r="C6338" t="s">
        <v>124</v>
      </c>
    </row>
    <row r="6339" spans="1:6" x14ac:dyDescent="0.25">
      <c r="A6339" t="s">
        <v>7749</v>
      </c>
      <c r="B6339" t="s">
        <v>125</v>
      </c>
      <c r="C6339" t="s">
        <v>126</v>
      </c>
    </row>
    <row r="6340" spans="1:6" x14ac:dyDescent="0.25">
      <c r="A6340" t="s">
        <v>7749</v>
      </c>
      <c r="B6340" t="s">
        <v>127</v>
      </c>
      <c r="C6340" t="s">
        <v>128</v>
      </c>
      <c r="D6340" t="str">
        <f>HYPERLINK("http://service.sap.com/sap/support/notes/1681909","1681909")</f>
        <v>1681909</v>
      </c>
      <c r="E6340">
        <v>1</v>
      </c>
      <c r="F6340" t="s">
        <v>7776</v>
      </c>
    </row>
    <row r="6341" spans="1:6" x14ac:dyDescent="0.25">
      <c r="A6341" t="s">
        <v>7749</v>
      </c>
      <c r="B6341" t="s">
        <v>127</v>
      </c>
      <c r="C6341" t="s">
        <v>128</v>
      </c>
      <c r="D6341" t="str">
        <f>HYPERLINK("http://service.sap.com/sap/support/notes/1699454","1699454")</f>
        <v>1699454</v>
      </c>
      <c r="E6341">
        <v>2</v>
      </c>
      <c r="F6341" t="s">
        <v>7777</v>
      </c>
    </row>
    <row r="6342" spans="1:6" x14ac:dyDescent="0.25">
      <c r="A6342" t="s">
        <v>7749</v>
      </c>
      <c r="B6342" t="s">
        <v>127</v>
      </c>
      <c r="C6342" t="s">
        <v>128</v>
      </c>
      <c r="D6342" t="str">
        <f>HYPERLINK("http://service.sap.com/sap/support/notes/1711781","1711781")</f>
        <v>1711781</v>
      </c>
      <c r="E6342">
        <v>3</v>
      </c>
      <c r="F6342" t="s">
        <v>7778</v>
      </c>
    </row>
    <row r="6343" spans="1:6" x14ac:dyDescent="0.25">
      <c r="A6343" t="s">
        <v>7749</v>
      </c>
      <c r="B6343" t="s">
        <v>127</v>
      </c>
      <c r="C6343" t="s">
        <v>128</v>
      </c>
      <c r="D6343" t="str">
        <f>HYPERLINK("http://service.sap.com/sap/support/notes/1721998","1721998")</f>
        <v>1721998</v>
      </c>
      <c r="E6343">
        <v>1</v>
      </c>
      <c r="F6343" t="s">
        <v>7779</v>
      </c>
    </row>
    <row r="6344" spans="1:6" x14ac:dyDescent="0.25">
      <c r="A6344" t="s">
        <v>7749</v>
      </c>
      <c r="B6344" t="s">
        <v>7780</v>
      </c>
      <c r="C6344" t="s">
        <v>294</v>
      </c>
    </row>
    <row r="6345" spans="1:6" x14ac:dyDescent="0.25">
      <c r="A6345" t="s">
        <v>7749</v>
      </c>
      <c r="B6345" t="s">
        <v>7781</v>
      </c>
      <c r="C6345" t="s">
        <v>296</v>
      </c>
      <c r="D6345" t="str">
        <f>HYPERLINK("http://service.sap.com/sap/support/notes/1688873","1688873")</f>
        <v>1688873</v>
      </c>
      <c r="E6345">
        <v>2</v>
      </c>
      <c r="F6345" t="s">
        <v>7782</v>
      </c>
    </row>
    <row r="6346" spans="1:6" x14ac:dyDescent="0.25">
      <c r="A6346" t="s">
        <v>7749</v>
      </c>
      <c r="B6346" t="s">
        <v>131</v>
      </c>
      <c r="C6346" t="s">
        <v>132</v>
      </c>
    </row>
    <row r="6347" spans="1:6" x14ac:dyDescent="0.25">
      <c r="A6347" t="s">
        <v>7749</v>
      </c>
      <c r="B6347" t="s">
        <v>1591</v>
      </c>
      <c r="C6347" t="s">
        <v>1592</v>
      </c>
      <c r="D6347" t="str">
        <f>HYPERLINK("http://service.sap.com/sap/support/notes/1698618","1698618")</f>
        <v>1698618</v>
      </c>
      <c r="E6347">
        <v>1</v>
      </c>
      <c r="F6347" t="s">
        <v>7783</v>
      </c>
    </row>
    <row r="6348" spans="1:6" x14ac:dyDescent="0.25">
      <c r="A6348" t="s">
        <v>7749</v>
      </c>
      <c r="B6348" t="s">
        <v>1591</v>
      </c>
      <c r="C6348" t="s">
        <v>1592</v>
      </c>
      <c r="D6348" t="str">
        <f>HYPERLINK("http://service.sap.com/sap/support/notes/1712355","1712355")</f>
        <v>1712355</v>
      </c>
      <c r="E6348">
        <v>5</v>
      </c>
      <c r="F6348" t="s">
        <v>7784</v>
      </c>
    </row>
    <row r="6349" spans="1:6" x14ac:dyDescent="0.25">
      <c r="A6349" t="s">
        <v>7749</v>
      </c>
      <c r="B6349" t="s">
        <v>1591</v>
      </c>
      <c r="C6349" t="s">
        <v>1592</v>
      </c>
      <c r="D6349" t="str">
        <f>HYPERLINK("http://service.sap.com/sap/support/notes/1714630","1714630")</f>
        <v>1714630</v>
      </c>
      <c r="E6349">
        <v>1</v>
      </c>
      <c r="F6349" t="s">
        <v>7785</v>
      </c>
    </row>
    <row r="6350" spans="1:6" x14ac:dyDescent="0.25">
      <c r="A6350" t="s">
        <v>7749</v>
      </c>
      <c r="B6350" t="s">
        <v>6129</v>
      </c>
      <c r="C6350" t="s">
        <v>6130</v>
      </c>
      <c r="D6350" t="str">
        <f>HYPERLINK("http://service.sap.com/sap/support/notes/1712253","1712253")</f>
        <v>1712253</v>
      </c>
      <c r="E6350">
        <v>1</v>
      </c>
      <c r="F6350" t="s">
        <v>7786</v>
      </c>
    </row>
    <row r="6351" spans="1:6" x14ac:dyDescent="0.25">
      <c r="A6351" t="s">
        <v>7749</v>
      </c>
      <c r="B6351" t="s">
        <v>6132</v>
      </c>
      <c r="C6351" t="s">
        <v>7787</v>
      </c>
      <c r="D6351" t="str">
        <f>HYPERLINK("http://service.sap.com/sap/support/notes/1699491","1699491")</f>
        <v>1699491</v>
      </c>
      <c r="E6351">
        <v>1</v>
      </c>
      <c r="F6351" t="s">
        <v>7788</v>
      </c>
    </row>
    <row r="6352" spans="1:6" x14ac:dyDescent="0.25">
      <c r="A6352" t="s">
        <v>7749</v>
      </c>
      <c r="B6352" t="s">
        <v>140</v>
      </c>
      <c r="C6352" t="s">
        <v>141</v>
      </c>
    </row>
    <row r="6353" spans="1:6" x14ac:dyDescent="0.25">
      <c r="A6353" t="s">
        <v>7749</v>
      </c>
      <c r="B6353" t="s">
        <v>1611</v>
      </c>
      <c r="C6353" t="s">
        <v>859</v>
      </c>
      <c r="D6353" t="str">
        <f>HYPERLINK("http://service.sap.com/sap/support/notes/1698460","1698460")</f>
        <v>1698460</v>
      </c>
      <c r="E6353">
        <v>1</v>
      </c>
      <c r="F6353" t="s">
        <v>7789</v>
      </c>
    </row>
    <row r="6354" spans="1:6" x14ac:dyDescent="0.25">
      <c r="A6354" t="s">
        <v>7749</v>
      </c>
      <c r="B6354" t="s">
        <v>145</v>
      </c>
      <c r="C6354" t="s">
        <v>146</v>
      </c>
      <c r="D6354" t="str">
        <f>HYPERLINK("http://service.sap.com/sap/support/notes/1688659","1688659")</f>
        <v>1688659</v>
      </c>
      <c r="E6354">
        <v>2</v>
      </c>
      <c r="F6354" t="s">
        <v>7790</v>
      </c>
    </row>
    <row r="6355" spans="1:6" x14ac:dyDescent="0.25">
      <c r="A6355" t="s">
        <v>7749</v>
      </c>
      <c r="B6355" t="s">
        <v>149</v>
      </c>
      <c r="C6355" t="s">
        <v>150</v>
      </c>
    </row>
    <row r="6356" spans="1:6" x14ac:dyDescent="0.25">
      <c r="A6356" t="s">
        <v>7749</v>
      </c>
      <c r="B6356" t="s">
        <v>151</v>
      </c>
      <c r="C6356" t="s">
        <v>152</v>
      </c>
      <c r="D6356" t="str">
        <f>HYPERLINK("http://service.sap.com/sap/support/notes/1698239","1698239")</f>
        <v>1698239</v>
      </c>
      <c r="E6356">
        <v>5</v>
      </c>
      <c r="F6356" t="s">
        <v>7791</v>
      </c>
    </row>
    <row r="6357" spans="1:6" x14ac:dyDescent="0.25">
      <c r="A6357" t="s">
        <v>7749</v>
      </c>
      <c r="B6357" t="s">
        <v>151</v>
      </c>
      <c r="C6357" t="s">
        <v>152</v>
      </c>
      <c r="D6357" t="str">
        <f>HYPERLINK("http://service.sap.com/sap/support/notes/1711787","1711787")</f>
        <v>1711787</v>
      </c>
      <c r="E6357">
        <v>2</v>
      </c>
      <c r="F6357" t="s">
        <v>7792</v>
      </c>
    </row>
    <row r="6358" spans="1:6" x14ac:dyDescent="0.25">
      <c r="A6358" t="s">
        <v>7749</v>
      </c>
      <c r="B6358" t="s">
        <v>151</v>
      </c>
      <c r="C6358" t="s">
        <v>152</v>
      </c>
      <c r="D6358" t="str">
        <f>HYPERLINK("http://service.sap.com/sap/support/notes/1714454","1714454")</f>
        <v>1714454</v>
      </c>
      <c r="E6358">
        <v>2</v>
      </c>
      <c r="F6358" t="s">
        <v>7793</v>
      </c>
    </row>
    <row r="6359" spans="1:6" x14ac:dyDescent="0.25">
      <c r="A6359" t="s">
        <v>7749</v>
      </c>
      <c r="B6359" t="s">
        <v>1629</v>
      </c>
      <c r="C6359" t="s">
        <v>1106</v>
      </c>
      <c r="D6359" t="str">
        <f>HYPERLINK("http://service.sap.com/sap/support/notes/1683410","1683410")</f>
        <v>1683410</v>
      </c>
      <c r="E6359">
        <v>2</v>
      </c>
      <c r="F6359" t="s">
        <v>7794</v>
      </c>
    </row>
    <row r="6360" spans="1:6" x14ac:dyDescent="0.25">
      <c r="A6360" t="s">
        <v>7749</v>
      </c>
      <c r="B6360" t="s">
        <v>167</v>
      </c>
      <c r="C6360" t="s">
        <v>168</v>
      </c>
    </row>
    <row r="6361" spans="1:6" x14ac:dyDescent="0.25">
      <c r="A6361" t="s">
        <v>7749</v>
      </c>
      <c r="B6361" t="s">
        <v>1631</v>
      </c>
      <c r="C6361" t="s">
        <v>1259</v>
      </c>
      <c r="D6361" t="str">
        <f>HYPERLINK("http://service.sap.com/sap/support/notes/1678257","1678257")</f>
        <v>1678257</v>
      </c>
      <c r="E6361">
        <v>1</v>
      </c>
      <c r="F6361" t="s">
        <v>7795</v>
      </c>
    </row>
    <row r="6362" spans="1:6" x14ac:dyDescent="0.25">
      <c r="A6362" t="s">
        <v>7749</v>
      </c>
      <c r="B6362" t="s">
        <v>172</v>
      </c>
      <c r="C6362" t="s">
        <v>173</v>
      </c>
    </row>
    <row r="6363" spans="1:6" x14ac:dyDescent="0.25">
      <c r="A6363" t="s">
        <v>7749</v>
      </c>
      <c r="B6363" t="s">
        <v>1638</v>
      </c>
      <c r="C6363" t="s">
        <v>1639</v>
      </c>
      <c r="D6363" t="str">
        <f>HYPERLINK("http://service.sap.com/sap/support/notes/1711220","1711220")</f>
        <v>1711220</v>
      </c>
      <c r="E6363">
        <v>2</v>
      </c>
      <c r="F6363" t="s">
        <v>7796</v>
      </c>
    </row>
    <row r="6364" spans="1:6" x14ac:dyDescent="0.25">
      <c r="A6364" t="s">
        <v>7749</v>
      </c>
      <c r="B6364" t="s">
        <v>1638</v>
      </c>
      <c r="C6364" t="s">
        <v>1639</v>
      </c>
      <c r="D6364" t="str">
        <f>HYPERLINK("http://service.sap.com/sap/support/notes/1728675","1728675")</f>
        <v>1728675</v>
      </c>
      <c r="E6364">
        <v>1</v>
      </c>
      <c r="F6364" t="s">
        <v>7797</v>
      </c>
    </row>
    <row r="6365" spans="1:6" x14ac:dyDescent="0.25">
      <c r="A6365" t="s">
        <v>7749</v>
      </c>
      <c r="B6365" t="s">
        <v>7798</v>
      </c>
      <c r="C6365" t="s">
        <v>7799</v>
      </c>
      <c r="D6365" t="str">
        <f>HYPERLINK("http://service.sap.com/sap/support/notes/1657874","1657874")</f>
        <v>1657874</v>
      </c>
      <c r="E6365">
        <v>2</v>
      </c>
      <c r="F6365" t="s">
        <v>7800</v>
      </c>
    </row>
    <row r="6366" spans="1:6" x14ac:dyDescent="0.25">
      <c r="A6366" t="s">
        <v>7749</v>
      </c>
      <c r="B6366" t="s">
        <v>1641</v>
      </c>
      <c r="C6366" t="s">
        <v>1642</v>
      </c>
    </row>
    <row r="6367" spans="1:6" x14ac:dyDescent="0.25">
      <c r="A6367" t="s">
        <v>7749</v>
      </c>
      <c r="B6367" t="s">
        <v>1643</v>
      </c>
      <c r="C6367" t="s">
        <v>1644</v>
      </c>
      <c r="D6367" t="str">
        <f>HYPERLINK("http://service.sap.com/sap/support/notes/1724258","1724258")</f>
        <v>1724258</v>
      </c>
      <c r="E6367">
        <v>1</v>
      </c>
      <c r="F6367" t="s">
        <v>7801</v>
      </c>
    </row>
    <row r="6368" spans="1:6" x14ac:dyDescent="0.25">
      <c r="A6368" t="s">
        <v>7749</v>
      </c>
      <c r="B6368" t="s">
        <v>174</v>
      </c>
      <c r="C6368" t="s">
        <v>175</v>
      </c>
      <c r="D6368" t="str">
        <f>HYPERLINK("http://service.sap.com/sap/support/notes/1673279","1673279")</f>
        <v>1673279</v>
      </c>
      <c r="E6368">
        <v>1</v>
      </c>
      <c r="F6368" t="s">
        <v>6146</v>
      </c>
    </row>
    <row r="6369" spans="1:6" x14ac:dyDescent="0.25">
      <c r="A6369" t="s">
        <v>7749</v>
      </c>
      <c r="B6369" t="s">
        <v>174</v>
      </c>
      <c r="C6369" t="s">
        <v>175</v>
      </c>
      <c r="D6369" t="str">
        <f>HYPERLINK("http://service.sap.com/sap/support/notes/1707909","1707909")</f>
        <v>1707909</v>
      </c>
      <c r="E6369">
        <v>2</v>
      </c>
      <c r="F6369" t="s">
        <v>7802</v>
      </c>
    </row>
    <row r="6370" spans="1:6" x14ac:dyDescent="0.25">
      <c r="A6370" t="s">
        <v>7749</v>
      </c>
      <c r="B6370" t="s">
        <v>174</v>
      </c>
      <c r="C6370" t="s">
        <v>175</v>
      </c>
      <c r="D6370" t="str">
        <f>HYPERLINK("http://service.sap.com/sap/support/notes/1711483","1711483")</f>
        <v>1711483</v>
      </c>
      <c r="E6370">
        <v>1</v>
      </c>
      <c r="F6370" t="s">
        <v>7803</v>
      </c>
    </row>
    <row r="6371" spans="1:6" x14ac:dyDescent="0.25">
      <c r="A6371" t="s">
        <v>7749</v>
      </c>
      <c r="B6371" t="s">
        <v>174</v>
      </c>
      <c r="C6371" t="s">
        <v>175</v>
      </c>
      <c r="D6371" t="str">
        <f>HYPERLINK("http://service.sap.com/sap/support/notes/1720544","1720544")</f>
        <v>1720544</v>
      </c>
      <c r="E6371">
        <v>1</v>
      </c>
      <c r="F6371" t="s">
        <v>7804</v>
      </c>
    </row>
    <row r="6372" spans="1:6" x14ac:dyDescent="0.25">
      <c r="A6372" t="s">
        <v>7749</v>
      </c>
      <c r="B6372" t="s">
        <v>174</v>
      </c>
      <c r="C6372" t="s">
        <v>175</v>
      </c>
      <c r="D6372" t="str">
        <f>HYPERLINK("http://service.sap.com/sap/support/notes/1720905","1720905")</f>
        <v>1720905</v>
      </c>
      <c r="E6372">
        <v>1</v>
      </c>
      <c r="F6372" t="s">
        <v>7805</v>
      </c>
    </row>
    <row r="6373" spans="1:6" x14ac:dyDescent="0.25">
      <c r="A6373" t="s">
        <v>7749</v>
      </c>
      <c r="B6373" t="s">
        <v>6151</v>
      </c>
      <c r="C6373" t="s">
        <v>6152</v>
      </c>
      <c r="D6373" t="str">
        <f>HYPERLINK("http://service.sap.com/sap/support/notes/1702911","1702911")</f>
        <v>1702911</v>
      </c>
      <c r="E6373">
        <v>1</v>
      </c>
      <c r="F6373" t="s">
        <v>7806</v>
      </c>
    </row>
    <row r="6374" spans="1:6" x14ac:dyDescent="0.25">
      <c r="A6374" t="s">
        <v>7749</v>
      </c>
      <c r="B6374" t="s">
        <v>6151</v>
      </c>
      <c r="C6374" t="s">
        <v>6152</v>
      </c>
      <c r="D6374" t="str">
        <f>HYPERLINK("http://service.sap.com/sap/support/notes/1718457","1718457")</f>
        <v>1718457</v>
      </c>
      <c r="E6374">
        <v>1</v>
      </c>
      <c r="F6374" t="s">
        <v>7807</v>
      </c>
    </row>
    <row r="6375" spans="1:6" x14ac:dyDescent="0.25">
      <c r="A6375" t="s">
        <v>7749</v>
      </c>
      <c r="B6375" t="s">
        <v>1661</v>
      </c>
      <c r="C6375" t="s">
        <v>1662</v>
      </c>
      <c r="D6375" t="str">
        <f>HYPERLINK("http://service.sap.com/sap/support/notes/1695307","1695307")</f>
        <v>1695307</v>
      </c>
      <c r="E6375">
        <v>1</v>
      </c>
      <c r="F6375" t="s">
        <v>7808</v>
      </c>
    </row>
    <row r="6376" spans="1:6" x14ac:dyDescent="0.25">
      <c r="A6376" t="s">
        <v>7749</v>
      </c>
      <c r="B6376" t="s">
        <v>1661</v>
      </c>
      <c r="C6376" t="s">
        <v>1662</v>
      </c>
      <c r="D6376" t="str">
        <f>HYPERLINK("http://service.sap.com/sap/support/notes/1713953","1713953")</f>
        <v>1713953</v>
      </c>
      <c r="E6376">
        <v>2</v>
      </c>
      <c r="F6376" t="s">
        <v>7809</v>
      </c>
    </row>
    <row r="6377" spans="1:6" x14ac:dyDescent="0.25">
      <c r="A6377" t="s">
        <v>7749</v>
      </c>
      <c r="B6377" t="s">
        <v>7810</v>
      </c>
      <c r="C6377" t="s">
        <v>7811</v>
      </c>
      <c r="D6377" t="str">
        <f>HYPERLINK("http://service.sap.com/sap/support/notes/1245686","1245686")</f>
        <v>1245686</v>
      </c>
      <c r="E6377">
        <v>1</v>
      </c>
      <c r="F6377" t="s">
        <v>7812</v>
      </c>
    </row>
    <row r="6378" spans="1:6" x14ac:dyDescent="0.25">
      <c r="A6378" t="s">
        <v>7749</v>
      </c>
      <c r="B6378" t="s">
        <v>178</v>
      </c>
      <c r="C6378" t="s">
        <v>179</v>
      </c>
      <c r="D6378" t="str">
        <f>HYPERLINK("http://service.sap.com/sap/support/notes/1687342","1687342")</f>
        <v>1687342</v>
      </c>
      <c r="E6378">
        <v>2</v>
      </c>
      <c r="F6378" t="s">
        <v>7813</v>
      </c>
    </row>
    <row r="6379" spans="1:6" x14ac:dyDescent="0.25">
      <c r="A6379" t="s">
        <v>7749</v>
      </c>
      <c r="B6379" t="s">
        <v>178</v>
      </c>
      <c r="C6379" t="s">
        <v>179</v>
      </c>
      <c r="D6379" t="str">
        <f>HYPERLINK("http://service.sap.com/sap/support/notes/1695083","1695083")</f>
        <v>1695083</v>
      </c>
      <c r="E6379">
        <v>2</v>
      </c>
      <c r="F6379" t="s">
        <v>7814</v>
      </c>
    </row>
    <row r="6380" spans="1:6" x14ac:dyDescent="0.25">
      <c r="A6380" t="s">
        <v>7749</v>
      </c>
      <c r="B6380" t="s">
        <v>178</v>
      </c>
      <c r="C6380" t="s">
        <v>179</v>
      </c>
      <c r="D6380" t="str">
        <f>HYPERLINK("http://service.sap.com/sap/support/notes/1705240","1705240")</f>
        <v>1705240</v>
      </c>
      <c r="E6380">
        <v>1</v>
      </c>
      <c r="F6380" t="s">
        <v>7815</v>
      </c>
    </row>
    <row r="6381" spans="1:6" x14ac:dyDescent="0.25">
      <c r="A6381" t="s">
        <v>7749</v>
      </c>
      <c r="B6381" t="s">
        <v>178</v>
      </c>
      <c r="C6381" t="s">
        <v>179</v>
      </c>
      <c r="D6381" t="str">
        <f>HYPERLINK("http://service.sap.com/sap/support/notes/1712270","1712270")</f>
        <v>1712270</v>
      </c>
      <c r="E6381">
        <v>3</v>
      </c>
      <c r="F6381" t="s">
        <v>7816</v>
      </c>
    </row>
    <row r="6382" spans="1:6" x14ac:dyDescent="0.25">
      <c r="A6382" t="s">
        <v>7749</v>
      </c>
      <c r="B6382" t="s">
        <v>181</v>
      </c>
      <c r="C6382" t="s">
        <v>182</v>
      </c>
    </row>
    <row r="6383" spans="1:6" x14ac:dyDescent="0.25">
      <c r="A6383" t="s">
        <v>7749</v>
      </c>
      <c r="B6383" t="s">
        <v>1681</v>
      </c>
      <c r="C6383" t="s">
        <v>1682</v>
      </c>
    </row>
    <row r="6384" spans="1:6" x14ac:dyDescent="0.25">
      <c r="A6384" t="s">
        <v>7749</v>
      </c>
      <c r="B6384" t="s">
        <v>1683</v>
      </c>
      <c r="C6384" t="s">
        <v>1684</v>
      </c>
      <c r="D6384" t="str">
        <f>HYPERLINK("http://service.sap.com/sap/support/notes/1705620","1705620")</f>
        <v>1705620</v>
      </c>
      <c r="E6384">
        <v>2</v>
      </c>
      <c r="F6384" t="s">
        <v>7817</v>
      </c>
    </row>
    <row r="6385" spans="1:6" x14ac:dyDescent="0.25">
      <c r="A6385" t="s">
        <v>7749</v>
      </c>
      <c r="B6385" t="s">
        <v>1683</v>
      </c>
      <c r="C6385" t="s">
        <v>1684</v>
      </c>
      <c r="D6385" t="str">
        <f>HYPERLINK("http://service.sap.com/sap/support/notes/1725139","1725139")</f>
        <v>1725139</v>
      </c>
      <c r="E6385">
        <v>2</v>
      </c>
      <c r="F6385" t="s">
        <v>7818</v>
      </c>
    </row>
    <row r="6386" spans="1:6" x14ac:dyDescent="0.25">
      <c r="A6386" t="s">
        <v>7749</v>
      </c>
      <c r="B6386" t="s">
        <v>183</v>
      </c>
      <c r="C6386" t="s">
        <v>184</v>
      </c>
      <c r="D6386" t="str">
        <f>HYPERLINK("http://service.sap.com/sap/support/notes/1667561","1667561")</f>
        <v>1667561</v>
      </c>
      <c r="E6386">
        <v>1</v>
      </c>
      <c r="F6386" t="s">
        <v>7819</v>
      </c>
    </row>
    <row r="6387" spans="1:6" x14ac:dyDescent="0.25">
      <c r="A6387" t="s">
        <v>7749</v>
      </c>
      <c r="B6387" t="s">
        <v>183</v>
      </c>
      <c r="C6387" t="s">
        <v>184</v>
      </c>
      <c r="D6387" t="str">
        <f>HYPERLINK("http://service.sap.com/sap/support/notes/1701854","1701854")</f>
        <v>1701854</v>
      </c>
      <c r="E6387">
        <v>3</v>
      </c>
      <c r="F6387" t="s">
        <v>7820</v>
      </c>
    </row>
    <row r="6388" spans="1:6" x14ac:dyDescent="0.25">
      <c r="A6388" t="s">
        <v>7749</v>
      </c>
      <c r="B6388" t="s">
        <v>183</v>
      </c>
      <c r="C6388" t="s">
        <v>184</v>
      </c>
      <c r="D6388" t="str">
        <f>HYPERLINK("http://service.sap.com/sap/support/notes/1706573","1706573")</f>
        <v>1706573</v>
      </c>
      <c r="E6388">
        <v>1</v>
      </c>
      <c r="F6388" t="s">
        <v>7821</v>
      </c>
    </row>
    <row r="6389" spans="1:6" x14ac:dyDescent="0.25">
      <c r="A6389" t="s">
        <v>7749</v>
      </c>
      <c r="B6389" t="s">
        <v>183</v>
      </c>
      <c r="C6389" t="s">
        <v>184</v>
      </c>
      <c r="D6389" t="str">
        <f>HYPERLINK("http://service.sap.com/sap/support/notes/1708350","1708350")</f>
        <v>1708350</v>
      </c>
      <c r="E6389">
        <v>2</v>
      </c>
      <c r="F6389" t="s">
        <v>7822</v>
      </c>
    </row>
    <row r="6390" spans="1:6" x14ac:dyDescent="0.25">
      <c r="A6390" t="s">
        <v>7749</v>
      </c>
      <c r="B6390" t="s">
        <v>191</v>
      </c>
      <c r="C6390" t="s">
        <v>192</v>
      </c>
      <c r="D6390" t="str">
        <f>HYPERLINK("http://service.sap.com/sap/support/notes/1700399","1700399")</f>
        <v>1700399</v>
      </c>
      <c r="E6390">
        <v>2</v>
      </c>
      <c r="F6390" t="s">
        <v>7823</v>
      </c>
    </row>
    <row r="6391" spans="1:6" x14ac:dyDescent="0.25">
      <c r="A6391" t="s">
        <v>7749</v>
      </c>
      <c r="B6391" t="s">
        <v>191</v>
      </c>
      <c r="C6391" t="s">
        <v>192</v>
      </c>
      <c r="D6391" t="str">
        <f>HYPERLINK("http://service.sap.com/sap/support/notes/1700639","1700639")</f>
        <v>1700639</v>
      </c>
      <c r="E6391">
        <v>2</v>
      </c>
      <c r="F6391" t="s">
        <v>7824</v>
      </c>
    </row>
    <row r="6392" spans="1:6" x14ac:dyDescent="0.25">
      <c r="A6392" t="s">
        <v>7749</v>
      </c>
      <c r="B6392" t="s">
        <v>191</v>
      </c>
      <c r="C6392" t="s">
        <v>192</v>
      </c>
      <c r="D6392" t="str">
        <f>HYPERLINK("http://service.sap.com/sap/support/notes/1702152","1702152")</f>
        <v>1702152</v>
      </c>
      <c r="E6392">
        <v>1</v>
      </c>
      <c r="F6392" t="s">
        <v>7825</v>
      </c>
    </row>
    <row r="6393" spans="1:6" x14ac:dyDescent="0.25">
      <c r="A6393" t="s">
        <v>7749</v>
      </c>
      <c r="B6393" t="s">
        <v>191</v>
      </c>
      <c r="C6393" t="s">
        <v>192</v>
      </c>
      <c r="D6393" t="str">
        <f>HYPERLINK("http://service.sap.com/sap/support/notes/1704489","1704489")</f>
        <v>1704489</v>
      </c>
      <c r="E6393">
        <v>1</v>
      </c>
      <c r="F6393" t="s">
        <v>7826</v>
      </c>
    </row>
    <row r="6394" spans="1:6" x14ac:dyDescent="0.25">
      <c r="A6394" t="s">
        <v>7749</v>
      </c>
      <c r="B6394" t="s">
        <v>191</v>
      </c>
      <c r="C6394" t="s">
        <v>192</v>
      </c>
      <c r="D6394" t="str">
        <f>HYPERLINK("http://service.sap.com/sap/support/notes/1704876","1704876")</f>
        <v>1704876</v>
      </c>
      <c r="E6394">
        <v>1</v>
      </c>
      <c r="F6394" t="s">
        <v>7827</v>
      </c>
    </row>
    <row r="6395" spans="1:6" x14ac:dyDescent="0.25">
      <c r="A6395" t="s">
        <v>7749</v>
      </c>
      <c r="B6395" t="s">
        <v>191</v>
      </c>
      <c r="C6395" t="s">
        <v>192</v>
      </c>
      <c r="D6395" t="str">
        <f>HYPERLINK("http://service.sap.com/sap/support/notes/1706277","1706277")</f>
        <v>1706277</v>
      </c>
      <c r="E6395">
        <v>1</v>
      </c>
      <c r="F6395" t="s">
        <v>7828</v>
      </c>
    </row>
    <row r="6396" spans="1:6" x14ac:dyDescent="0.25">
      <c r="A6396" t="s">
        <v>7749</v>
      </c>
      <c r="B6396" t="s">
        <v>191</v>
      </c>
      <c r="C6396" t="s">
        <v>192</v>
      </c>
      <c r="D6396" t="str">
        <f>HYPERLINK("http://service.sap.com/sap/support/notes/1706386","1706386")</f>
        <v>1706386</v>
      </c>
      <c r="E6396">
        <v>1</v>
      </c>
      <c r="F6396" t="s">
        <v>7829</v>
      </c>
    </row>
    <row r="6397" spans="1:6" x14ac:dyDescent="0.25">
      <c r="A6397" t="s">
        <v>7749</v>
      </c>
      <c r="B6397" t="s">
        <v>191</v>
      </c>
      <c r="C6397" t="s">
        <v>192</v>
      </c>
      <c r="D6397" t="str">
        <f>HYPERLINK("http://service.sap.com/sap/support/notes/1707355","1707355")</f>
        <v>1707355</v>
      </c>
      <c r="E6397">
        <v>2</v>
      </c>
      <c r="F6397" t="s">
        <v>7830</v>
      </c>
    </row>
    <row r="6398" spans="1:6" x14ac:dyDescent="0.25">
      <c r="A6398" t="s">
        <v>7749</v>
      </c>
      <c r="B6398" t="s">
        <v>191</v>
      </c>
      <c r="C6398" t="s">
        <v>192</v>
      </c>
      <c r="D6398" t="str">
        <f>HYPERLINK("http://service.sap.com/sap/support/notes/1708711","1708711")</f>
        <v>1708711</v>
      </c>
      <c r="E6398">
        <v>1</v>
      </c>
      <c r="F6398" t="s">
        <v>7831</v>
      </c>
    </row>
    <row r="6399" spans="1:6" x14ac:dyDescent="0.25">
      <c r="A6399" t="s">
        <v>7749</v>
      </c>
      <c r="B6399" t="s">
        <v>191</v>
      </c>
      <c r="C6399" t="s">
        <v>192</v>
      </c>
      <c r="D6399" t="str">
        <f>HYPERLINK("http://service.sap.com/sap/support/notes/1711238","1711238")</f>
        <v>1711238</v>
      </c>
      <c r="E6399">
        <v>1</v>
      </c>
      <c r="F6399" t="s">
        <v>7832</v>
      </c>
    </row>
    <row r="6400" spans="1:6" x14ac:dyDescent="0.25">
      <c r="A6400" t="s">
        <v>7749</v>
      </c>
      <c r="B6400" t="s">
        <v>191</v>
      </c>
      <c r="C6400" t="s">
        <v>192</v>
      </c>
      <c r="D6400" t="str">
        <f>HYPERLINK("http://service.sap.com/sap/support/notes/1713122","1713122")</f>
        <v>1713122</v>
      </c>
      <c r="E6400">
        <v>1</v>
      </c>
      <c r="F6400" t="s">
        <v>7833</v>
      </c>
    </row>
    <row r="6401" spans="1:6" x14ac:dyDescent="0.25">
      <c r="A6401" t="s">
        <v>7749</v>
      </c>
      <c r="B6401" t="s">
        <v>191</v>
      </c>
      <c r="C6401" t="s">
        <v>192</v>
      </c>
      <c r="D6401" t="str">
        <f>HYPERLINK("http://service.sap.com/sap/support/notes/1714680","1714680")</f>
        <v>1714680</v>
      </c>
      <c r="E6401">
        <v>1</v>
      </c>
      <c r="F6401" t="s">
        <v>7834</v>
      </c>
    </row>
    <row r="6402" spans="1:6" x14ac:dyDescent="0.25">
      <c r="A6402" t="s">
        <v>7749</v>
      </c>
      <c r="B6402" t="s">
        <v>191</v>
      </c>
      <c r="C6402" t="s">
        <v>192</v>
      </c>
      <c r="D6402" t="str">
        <f>HYPERLINK("http://service.sap.com/sap/support/notes/1715073","1715073")</f>
        <v>1715073</v>
      </c>
      <c r="E6402">
        <v>1</v>
      </c>
      <c r="F6402" t="s">
        <v>7835</v>
      </c>
    </row>
    <row r="6403" spans="1:6" x14ac:dyDescent="0.25">
      <c r="A6403" t="s">
        <v>7749</v>
      </c>
      <c r="B6403" t="s">
        <v>191</v>
      </c>
      <c r="C6403" t="s">
        <v>192</v>
      </c>
      <c r="D6403" t="str">
        <f>HYPERLINK("http://service.sap.com/sap/support/notes/1721208","1721208")</f>
        <v>1721208</v>
      </c>
      <c r="E6403">
        <v>1</v>
      </c>
      <c r="F6403" t="s">
        <v>7836</v>
      </c>
    </row>
    <row r="6404" spans="1:6" x14ac:dyDescent="0.25">
      <c r="A6404" t="s">
        <v>7749</v>
      </c>
      <c r="B6404" t="s">
        <v>191</v>
      </c>
      <c r="C6404" t="s">
        <v>192</v>
      </c>
      <c r="D6404" t="str">
        <f>HYPERLINK("http://service.sap.com/sap/support/notes/1722884","1722884")</f>
        <v>1722884</v>
      </c>
      <c r="E6404">
        <v>1</v>
      </c>
      <c r="F6404" t="s">
        <v>7837</v>
      </c>
    </row>
    <row r="6405" spans="1:6" x14ac:dyDescent="0.25">
      <c r="A6405" t="s">
        <v>7749</v>
      </c>
      <c r="B6405" t="s">
        <v>191</v>
      </c>
      <c r="C6405" t="s">
        <v>192</v>
      </c>
      <c r="D6405" t="str">
        <f>HYPERLINK("http://service.sap.com/sap/support/notes/1724137","1724137")</f>
        <v>1724137</v>
      </c>
      <c r="E6405">
        <v>1</v>
      </c>
      <c r="F6405" t="s">
        <v>7838</v>
      </c>
    </row>
    <row r="6406" spans="1:6" x14ac:dyDescent="0.25">
      <c r="A6406" t="s">
        <v>7749</v>
      </c>
      <c r="B6406" t="s">
        <v>191</v>
      </c>
      <c r="C6406" t="s">
        <v>192</v>
      </c>
      <c r="D6406" t="str">
        <f>HYPERLINK("http://service.sap.com/sap/support/notes/1724182","1724182")</f>
        <v>1724182</v>
      </c>
      <c r="E6406">
        <v>1</v>
      </c>
      <c r="F6406" t="s">
        <v>7839</v>
      </c>
    </row>
    <row r="6407" spans="1:6" x14ac:dyDescent="0.25">
      <c r="A6407" t="s">
        <v>7749</v>
      </c>
      <c r="B6407" t="s">
        <v>191</v>
      </c>
      <c r="C6407" t="s">
        <v>192</v>
      </c>
      <c r="D6407" t="str">
        <f>HYPERLINK("http://service.sap.com/sap/support/notes/1725327","1725327")</f>
        <v>1725327</v>
      </c>
      <c r="E6407">
        <v>1</v>
      </c>
      <c r="F6407" t="s">
        <v>7840</v>
      </c>
    </row>
    <row r="6408" spans="1:6" x14ac:dyDescent="0.25">
      <c r="A6408" t="s">
        <v>7749</v>
      </c>
      <c r="B6408" t="s">
        <v>191</v>
      </c>
      <c r="C6408" t="s">
        <v>192</v>
      </c>
      <c r="D6408" t="str">
        <f>HYPERLINK("http://service.sap.com/sap/support/notes/1726540","1726540")</f>
        <v>1726540</v>
      </c>
      <c r="E6408">
        <v>1</v>
      </c>
      <c r="F6408" t="s">
        <v>7841</v>
      </c>
    </row>
    <row r="6409" spans="1:6" x14ac:dyDescent="0.25">
      <c r="A6409" t="s">
        <v>7749</v>
      </c>
      <c r="B6409" t="s">
        <v>1715</v>
      </c>
      <c r="C6409" t="s">
        <v>7842</v>
      </c>
    </row>
    <row r="6410" spans="1:6" x14ac:dyDescent="0.25">
      <c r="A6410" t="s">
        <v>7749</v>
      </c>
      <c r="B6410" t="s">
        <v>7843</v>
      </c>
      <c r="C6410" t="s">
        <v>7844</v>
      </c>
      <c r="D6410" t="str">
        <f>HYPERLINK("http://service.sap.com/sap/support/notes/1719566","1719566")</f>
        <v>1719566</v>
      </c>
      <c r="E6410">
        <v>1</v>
      </c>
      <c r="F6410" t="s">
        <v>7845</v>
      </c>
    </row>
    <row r="6411" spans="1:6" x14ac:dyDescent="0.25">
      <c r="A6411" t="s">
        <v>7749</v>
      </c>
      <c r="B6411" t="s">
        <v>7846</v>
      </c>
      <c r="C6411" t="s">
        <v>7847</v>
      </c>
      <c r="D6411" t="str">
        <f>HYPERLINK("http://service.sap.com/sap/support/notes/1713878","1713878")</f>
        <v>1713878</v>
      </c>
      <c r="E6411">
        <v>1</v>
      </c>
      <c r="F6411" t="s">
        <v>7848</v>
      </c>
    </row>
    <row r="6412" spans="1:6" x14ac:dyDescent="0.25">
      <c r="A6412" t="s">
        <v>7749</v>
      </c>
      <c r="B6412" t="s">
        <v>1723</v>
      </c>
      <c r="C6412" t="s">
        <v>7849</v>
      </c>
      <c r="D6412" t="str">
        <f>HYPERLINK("http://service.sap.com/sap/support/notes/1696712","1696712")</f>
        <v>1696712</v>
      </c>
      <c r="E6412">
        <v>1</v>
      </c>
      <c r="F6412" t="s">
        <v>7850</v>
      </c>
    </row>
    <row r="6413" spans="1:6" x14ac:dyDescent="0.25">
      <c r="A6413" t="s">
        <v>7749</v>
      </c>
      <c r="B6413" t="s">
        <v>1723</v>
      </c>
      <c r="C6413" t="s">
        <v>7849</v>
      </c>
      <c r="D6413" t="str">
        <f>HYPERLINK("http://service.sap.com/sap/support/notes/1699534","1699534")</f>
        <v>1699534</v>
      </c>
      <c r="E6413">
        <v>3</v>
      </c>
      <c r="F6413" t="s">
        <v>7851</v>
      </c>
    </row>
    <row r="6414" spans="1:6" x14ac:dyDescent="0.25">
      <c r="A6414" t="s">
        <v>7749</v>
      </c>
      <c r="B6414" t="s">
        <v>203</v>
      </c>
      <c r="C6414" t="s">
        <v>204</v>
      </c>
    </row>
    <row r="6415" spans="1:6" x14ac:dyDescent="0.25">
      <c r="A6415" t="s">
        <v>7749</v>
      </c>
      <c r="B6415" t="s">
        <v>205</v>
      </c>
      <c r="C6415" t="s">
        <v>206</v>
      </c>
    </row>
    <row r="6416" spans="1:6" x14ac:dyDescent="0.25">
      <c r="A6416" t="s">
        <v>7749</v>
      </c>
      <c r="B6416" t="s">
        <v>207</v>
      </c>
      <c r="C6416" t="s">
        <v>208</v>
      </c>
      <c r="D6416" t="str">
        <f>HYPERLINK("http://service.sap.com/sap/support/notes/1694529","1694529")</f>
        <v>1694529</v>
      </c>
      <c r="E6416">
        <v>3</v>
      </c>
      <c r="F6416" t="s">
        <v>7852</v>
      </c>
    </row>
    <row r="6417" spans="1:6" x14ac:dyDescent="0.25">
      <c r="A6417" t="s">
        <v>7749</v>
      </c>
      <c r="B6417" t="s">
        <v>212</v>
      </c>
      <c r="C6417" t="s">
        <v>213</v>
      </c>
      <c r="D6417" t="str">
        <f>HYPERLINK("http://service.sap.com/sap/support/notes/1694235","1694235")</f>
        <v>1694235</v>
      </c>
      <c r="E6417">
        <v>1</v>
      </c>
      <c r="F6417" t="s">
        <v>6189</v>
      </c>
    </row>
    <row r="6418" spans="1:6" x14ac:dyDescent="0.25">
      <c r="A6418" t="s">
        <v>7749</v>
      </c>
      <c r="B6418" t="s">
        <v>212</v>
      </c>
      <c r="C6418" t="s">
        <v>213</v>
      </c>
      <c r="D6418" t="str">
        <f>HYPERLINK("http://service.sap.com/sap/support/notes/1701236","1701236")</f>
        <v>1701236</v>
      </c>
      <c r="E6418">
        <v>1</v>
      </c>
      <c r="F6418" t="s">
        <v>7853</v>
      </c>
    </row>
    <row r="6419" spans="1:6" x14ac:dyDescent="0.25">
      <c r="A6419" t="s">
        <v>7749</v>
      </c>
      <c r="B6419" t="s">
        <v>212</v>
      </c>
      <c r="C6419" t="s">
        <v>213</v>
      </c>
      <c r="D6419" t="str">
        <f>HYPERLINK("http://service.sap.com/sap/support/notes/1702589","1702589")</f>
        <v>1702589</v>
      </c>
      <c r="E6419">
        <v>1</v>
      </c>
      <c r="F6419" t="s">
        <v>7854</v>
      </c>
    </row>
    <row r="6420" spans="1:6" x14ac:dyDescent="0.25">
      <c r="A6420" t="s">
        <v>7749</v>
      </c>
      <c r="B6420" t="s">
        <v>212</v>
      </c>
      <c r="C6420" t="s">
        <v>213</v>
      </c>
      <c r="D6420" t="str">
        <f>HYPERLINK("http://service.sap.com/sap/support/notes/1703468","1703468")</f>
        <v>1703468</v>
      </c>
      <c r="E6420">
        <v>3</v>
      </c>
      <c r="F6420" t="s">
        <v>7855</v>
      </c>
    </row>
    <row r="6421" spans="1:6" x14ac:dyDescent="0.25">
      <c r="A6421" t="s">
        <v>7749</v>
      </c>
      <c r="B6421" t="s">
        <v>212</v>
      </c>
      <c r="C6421" t="s">
        <v>213</v>
      </c>
      <c r="D6421" t="str">
        <f>HYPERLINK("http://service.sap.com/sap/support/notes/1707470","1707470")</f>
        <v>1707470</v>
      </c>
      <c r="E6421">
        <v>4</v>
      </c>
      <c r="F6421" t="s">
        <v>7856</v>
      </c>
    </row>
    <row r="6422" spans="1:6" x14ac:dyDescent="0.25">
      <c r="A6422" t="s">
        <v>7749</v>
      </c>
      <c r="B6422" t="s">
        <v>212</v>
      </c>
      <c r="C6422" t="s">
        <v>213</v>
      </c>
      <c r="D6422" t="str">
        <f>HYPERLINK("http://service.sap.com/sap/support/notes/1724864","1724864")</f>
        <v>1724864</v>
      </c>
      <c r="E6422">
        <v>1</v>
      </c>
      <c r="F6422" t="s">
        <v>7857</v>
      </c>
    </row>
    <row r="6423" spans="1:6" x14ac:dyDescent="0.25">
      <c r="A6423" t="s">
        <v>7749</v>
      </c>
      <c r="B6423" t="s">
        <v>1762</v>
      </c>
      <c r="C6423" t="s">
        <v>1763</v>
      </c>
      <c r="D6423" t="str">
        <f>HYPERLINK("http://service.sap.com/sap/support/notes/1694719","1694719")</f>
        <v>1694719</v>
      </c>
      <c r="E6423">
        <v>1</v>
      </c>
      <c r="F6423" t="s">
        <v>7858</v>
      </c>
    </row>
    <row r="6424" spans="1:6" x14ac:dyDescent="0.25">
      <c r="A6424" t="s">
        <v>7749</v>
      </c>
      <c r="B6424" t="s">
        <v>1762</v>
      </c>
      <c r="C6424" t="s">
        <v>1763</v>
      </c>
      <c r="D6424" t="str">
        <f>HYPERLINK("http://service.sap.com/sap/support/notes/1706777","1706777")</f>
        <v>1706777</v>
      </c>
      <c r="E6424">
        <v>1</v>
      </c>
      <c r="F6424" t="s">
        <v>7859</v>
      </c>
    </row>
    <row r="6425" spans="1:6" x14ac:dyDescent="0.25">
      <c r="A6425" t="s">
        <v>7749</v>
      </c>
      <c r="B6425" t="s">
        <v>1762</v>
      </c>
      <c r="C6425" t="s">
        <v>1763</v>
      </c>
      <c r="D6425" t="str">
        <f>HYPERLINK("http://service.sap.com/sap/support/notes/1715849","1715849")</f>
        <v>1715849</v>
      </c>
      <c r="E6425">
        <v>2</v>
      </c>
      <c r="F6425" t="s">
        <v>7860</v>
      </c>
    </row>
    <row r="6426" spans="1:6" x14ac:dyDescent="0.25">
      <c r="A6426" t="s">
        <v>7749</v>
      </c>
      <c r="B6426" t="s">
        <v>1762</v>
      </c>
      <c r="C6426" t="s">
        <v>1763</v>
      </c>
      <c r="D6426" t="str">
        <f>HYPERLINK("http://service.sap.com/sap/support/notes/1721340","1721340")</f>
        <v>1721340</v>
      </c>
      <c r="E6426">
        <v>2</v>
      </c>
      <c r="F6426" t="s">
        <v>7861</v>
      </c>
    </row>
    <row r="6427" spans="1:6" x14ac:dyDescent="0.25">
      <c r="A6427" t="s">
        <v>7749</v>
      </c>
      <c r="B6427" t="s">
        <v>1768</v>
      </c>
      <c r="C6427" t="s">
        <v>1769</v>
      </c>
      <c r="D6427" t="str">
        <f>HYPERLINK("http://service.sap.com/sap/support/notes/1691615","1691615")</f>
        <v>1691615</v>
      </c>
      <c r="E6427">
        <v>2</v>
      </c>
      <c r="F6427" t="s">
        <v>6202</v>
      </c>
    </row>
    <row r="6428" spans="1:6" x14ac:dyDescent="0.25">
      <c r="A6428" t="s">
        <v>7749</v>
      </c>
      <c r="B6428" t="s">
        <v>215</v>
      </c>
      <c r="C6428" t="s">
        <v>216</v>
      </c>
      <c r="D6428" t="str">
        <f>HYPERLINK("http://service.sap.com/sap/support/notes/1698887","1698887")</f>
        <v>1698887</v>
      </c>
      <c r="E6428">
        <v>1</v>
      </c>
      <c r="F6428" t="s">
        <v>7862</v>
      </c>
    </row>
    <row r="6429" spans="1:6" x14ac:dyDescent="0.25">
      <c r="A6429" t="s">
        <v>7749</v>
      </c>
      <c r="B6429" t="s">
        <v>215</v>
      </c>
      <c r="C6429" t="s">
        <v>216</v>
      </c>
      <c r="D6429" t="str">
        <f>HYPERLINK("http://service.sap.com/sap/support/notes/1706911","1706911")</f>
        <v>1706911</v>
      </c>
      <c r="E6429">
        <v>2</v>
      </c>
      <c r="F6429" t="s">
        <v>7863</v>
      </c>
    </row>
    <row r="6430" spans="1:6" x14ac:dyDescent="0.25">
      <c r="A6430" t="s">
        <v>7749</v>
      </c>
      <c r="B6430" t="s">
        <v>215</v>
      </c>
      <c r="C6430" t="s">
        <v>216</v>
      </c>
      <c r="D6430" t="str">
        <f>HYPERLINK("http://service.sap.com/sap/support/notes/1718356","1718356")</f>
        <v>1718356</v>
      </c>
      <c r="E6430">
        <v>3</v>
      </c>
      <c r="F6430" t="s">
        <v>7864</v>
      </c>
    </row>
    <row r="6431" spans="1:6" x14ac:dyDescent="0.25">
      <c r="A6431" t="s">
        <v>7749</v>
      </c>
      <c r="B6431" t="s">
        <v>215</v>
      </c>
      <c r="C6431" t="s">
        <v>216</v>
      </c>
      <c r="D6431" t="str">
        <f>HYPERLINK("http://service.sap.com/sap/support/notes/1727124","1727124")</f>
        <v>1727124</v>
      </c>
      <c r="E6431">
        <v>1</v>
      </c>
      <c r="F6431" t="s">
        <v>7865</v>
      </c>
    </row>
    <row r="6432" spans="1:6" x14ac:dyDescent="0.25">
      <c r="A6432" t="s">
        <v>7749</v>
      </c>
      <c r="B6432" t="s">
        <v>1787</v>
      </c>
      <c r="C6432" t="s">
        <v>1788</v>
      </c>
      <c r="D6432" t="str">
        <f>HYPERLINK("http://service.sap.com/sap/support/notes/1719849","1719849")</f>
        <v>1719849</v>
      </c>
      <c r="E6432">
        <v>1</v>
      </c>
      <c r="F6432" t="s">
        <v>7866</v>
      </c>
    </row>
    <row r="6433" spans="1:6" x14ac:dyDescent="0.25">
      <c r="A6433" t="s">
        <v>7749</v>
      </c>
      <c r="B6433" t="s">
        <v>1795</v>
      </c>
      <c r="C6433" t="s">
        <v>1796</v>
      </c>
      <c r="D6433" t="str">
        <f>HYPERLINK("http://service.sap.com/sap/support/notes/1655671","1655671")</f>
        <v>1655671</v>
      </c>
      <c r="E6433">
        <v>2</v>
      </c>
      <c r="F6433" t="s">
        <v>7867</v>
      </c>
    </row>
    <row r="6434" spans="1:6" x14ac:dyDescent="0.25">
      <c r="A6434" t="s">
        <v>7749</v>
      </c>
      <c r="B6434" t="s">
        <v>1795</v>
      </c>
      <c r="C6434" t="s">
        <v>1796</v>
      </c>
      <c r="D6434" t="str">
        <f>HYPERLINK("http://service.sap.com/sap/support/notes/1664672","1664672")</f>
        <v>1664672</v>
      </c>
      <c r="E6434">
        <v>2</v>
      </c>
      <c r="F6434" t="s">
        <v>7868</v>
      </c>
    </row>
    <row r="6435" spans="1:6" x14ac:dyDescent="0.25">
      <c r="A6435" t="s">
        <v>7749</v>
      </c>
      <c r="B6435" t="s">
        <v>1795</v>
      </c>
      <c r="C6435" t="s">
        <v>1796</v>
      </c>
      <c r="D6435" t="str">
        <f>HYPERLINK("http://service.sap.com/sap/support/notes/1705189","1705189")</f>
        <v>1705189</v>
      </c>
      <c r="E6435">
        <v>1</v>
      </c>
      <c r="F6435" t="s">
        <v>7869</v>
      </c>
    </row>
    <row r="6436" spans="1:6" x14ac:dyDescent="0.25">
      <c r="A6436" t="s">
        <v>7749</v>
      </c>
      <c r="B6436" t="s">
        <v>7870</v>
      </c>
      <c r="C6436" t="s">
        <v>7871</v>
      </c>
    </row>
    <row r="6437" spans="1:6" x14ac:dyDescent="0.25">
      <c r="A6437" t="s">
        <v>7749</v>
      </c>
      <c r="B6437" t="s">
        <v>7872</v>
      </c>
      <c r="C6437" t="s">
        <v>7873</v>
      </c>
      <c r="D6437" t="str">
        <f>HYPERLINK("http://service.sap.com/sap/support/notes/1722487","1722487")</f>
        <v>1722487</v>
      </c>
      <c r="E6437">
        <v>1</v>
      </c>
      <c r="F6437" t="s">
        <v>7874</v>
      </c>
    </row>
    <row r="6438" spans="1:6" x14ac:dyDescent="0.25">
      <c r="A6438" t="s">
        <v>7749</v>
      </c>
      <c r="B6438" t="s">
        <v>218</v>
      </c>
      <c r="C6438" t="s">
        <v>126</v>
      </c>
    </row>
    <row r="6439" spans="1:6" x14ac:dyDescent="0.25">
      <c r="A6439" t="s">
        <v>7749</v>
      </c>
      <c r="B6439" t="s">
        <v>220</v>
      </c>
      <c r="C6439" t="s">
        <v>128</v>
      </c>
      <c r="D6439" t="str">
        <f>HYPERLINK("http://service.sap.com/sap/support/notes/395134","395134")</f>
        <v>395134</v>
      </c>
      <c r="E6439">
        <v>3</v>
      </c>
      <c r="F6439" t="s">
        <v>1818</v>
      </c>
    </row>
    <row r="6440" spans="1:6" x14ac:dyDescent="0.25">
      <c r="A6440" t="s">
        <v>7749</v>
      </c>
      <c r="B6440" t="s">
        <v>220</v>
      </c>
      <c r="C6440" t="s">
        <v>128</v>
      </c>
      <c r="D6440" t="str">
        <f>HYPERLINK("http://service.sap.com/sap/support/notes/1558599","1558599")</f>
        <v>1558599</v>
      </c>
      <c r="E6440">
        <v>2</v>
      </c>
      <c r="F6440" t="s">
        <v>7875</v>
      </c>
    </row>
    <row r="6441" spans="1:6" x14ac:dyDescent="0.25">
      <c r="A6441" t="s">
        <v>7749</v>
      </c>
      <c r="B6441" t="s">
        <v>220</v>
      </c>
      <c r="C6441" t="s">
        <v>128</v>
      </c>
      <c r="D6441" t="str">
        <f>HYPERLINK("http://service.sap.com/sap/support/notes/1678397","1678397")</f>
        <v>1678397</v>
      </c>
      <c r="E6441">
        <v>1</v>
      </c>
      <c r="F6441" t="s">
        <v>6228</v>
      </c>
    </row>
    <row r="6442" spans="1:6" x14ac:dyDescent="0.25">
      <c r="A6442" t="s">
        <v>7749</v>
      </c>
      <c r="B6442" t="s">
        <v>220</v>
      </c>
      <c r="C6442" t="s">
        <v>128</v>
      </c>
      <c r="D6442" t="str">
        <f>HYPERLINK("http://service.sap.com/sap/support/notes/1697549","1697549")</f>
        <v>1697549</v>
      </c>
      <c r="E6442">
        <v>2</v>
      </c>
      <c r="F6442" t="s">
        <v>7876</v>
      </c>
    </row>
    <row r="6443" spans="1:6" x14ac:dyDescent="0.25">
      <c r="A6443" t="s">
        <v>7749</v>
      </c>
      <c r="B6443" t="s">
        <v>220</v>
      </c>
      <c r="C6443" t="s">
        <v>128</v>
      </c>
      <c r="D6443" t="str">
        <f>HYPERLINK("http://service.sap.com/sap/support/notes/1697559","1697559")</f>
        <v>1697559</v>
      </c>
      <c r="E6443">
        <v>1</v>
      </c>
      <c r="F6443" t="s">
        <v>7877</v>
      </c>
    </row>
    <row r="6444" spans="1:6" x14ac:dyDescent="0.25">
      <c r="A6444" t="s">
        <v>7749</v>
      </c>
      <c r="B6444" t="s">
        <v>220</v>
      </c>
      <c r="C6444" t="s">
        <v>128</v>
      </c>
      <c r="D6444" t="str">
        <f>HYPERLINK("http://service.sap.com/sap/support/notes/1698300","1698300")</f>
        <v>1698300</v>
      </c>
      <c r="E6444">
        <v>1</v>
      </c>
      <c r="F6444" t="s">
        <v>7878</v>
      </c>
    </row>
    <row r="6445" spans="1:6" x14ac:dyDescent="0.25">
      <c r="A6445" t="s">
        <v>7749</v>
      </c>
      <c r="B6445" t="s">
        <v>220</v>
      </c>
      <c r="C6445" t="s">
        <v>128</v>
      </c>
      <c r="D6445" t="str">
        <f>HYPERLINK("http://service.sap.com/sap/support/notes/1698800","1698800")</f>
        <v>1698800</v>
      </c>
      <c r="E6445">
        <v>1</v>
      </c>
      <c r="F6445" t="s">
        <v>7879</v>
      </c>
    </row>
    <row r="6446" spans="1:6" x14ac:dyDescent="0.25">
      <c r="A6446" t="s">
        <v>7749</v>
      </c>
      <c r="B6446" t="s">
        <v>220</v>
      </c>
      <c r="C6446" t="s">
        <v>128</v>
      </c>
      <c r="D6446" t="str">
        <f>HYPERLINK("http://service.sap.com/sap/support/notes/1705179","1705179")</f>
        <v>1705179</v>
      </c>
      <c r="E6446">
        <v>1</v>
      </c>
      <c r="F6446" t="s">
        <v>7880</v>
      </c>
    </row>
    <row r="6447" spans="1:6" x14ac:dyDescent="0.25">
      <c r="A6447" t="s">
        <v>7749</v>
      </c>
      <c r="B6447" t="s">
        <v>220</v>
      </c>
      <c r="C6447" t="s">
        <v>128</v>
      </c>
      <c r="D6447" t="str">
        <f>HYPERLINK("http://service.sap.com/sap/support/notes/1707430","1707430")</f>
        <v>1707430</v>
      </c>
      <c r="E6447">
        <v>2</v>
      </c>
      <c r="F6447" t="s">
        <v>7881</v>
      </c>
    </row>
    <row r="6448" spans="1:6" x14ac:dyDescent="0.25">
      <c r="A6448" t="s">
        <v>7749</v>
      </c>
      <c r="B6448" t="s">
        <v>220</v>
      </c>
      <c r="C6448" t="s">
        <v>128</v>
      </c>
      <c r="D6448" t="str">
        <f>HYPERLINK("http://service.sap.com/sap/support/notes/1710322","1710322")</f>
        <v>1710322</v>
      </c>
      <c r="E6448">
        <v>1</v>
      </c>
      <c r="F6448" t="s">
        <v>7882</v>
      </c>
    </row>
    <row r="6449" spans="1:6" x14ac:dyDescent="0.25">
      <c r="A6449" t="s">
        <v>7749</v>
      </c>
      <c r="B6449" t="s">
        <v>220</v>
      </c>
      <c r="C6449" t="s">
        <v>128</v>
      </c>
      <c r="D6449" t="str">
        <f>HYPERLINK("http://service.sap.com/sap/support/notes/1711427","1711427")</f>
        <v>1711427</v>
      </c>
      <c r="E6449">
        <v>2</v>
      </c>
      <c r="F6449" t="s">
        <v>7883</v>
      </c>
    </row>
    <row r="6450" spans="1:6" x14ac:dyDescent="0.25">
      <c r="A6450" t="s">
        <v>7749</v>
      </c>
      <c r="B6450" t="s">
        <v>220</v>
      </c>
      <c r="C6450" t="s">
        <v>128</v>
      </c>
      <c r="D6450" t="str">
        <f>HYPERLINK("http://service.sap.com/sap/support/notes/1711767","1711767")</f>
        <v>1711767</v>
      </c>
      <c r="E6450">
        <v>1</v>
      </c>
      <c r="F6450" t="s">
        <v>7884</v>
      </c>
    </row>
    <row r="6451" spans="1:6" x14ac:dyDescent="0.25">
      <c r="A6451" t="s">
        <v>7749</v>
      </c>
      <c r="B6451" t="s">
        <v>220</v>
      </c>
      <c r="C6451" t="s">
        <v>128</v>
      </c>
      <c r="D6451" t="str">
        <f>HYPERLINK("http://service.sap.com/sap/support/notes/1712318","1712318")</f>
        <v>1712318</v>
      </c>
      <c r="E6451">
        <v>1</v>
      </c>
      <c r="F6451" t="s">
        <v>7885</v>
      </c>
    </row>
    <row r="6452" spans="1:6" x14ac:dyDescent="0.25">
      <c r="A6452" t="s">
        <v>7749</v>
      </c>
      <c r="B6452" t="s">
        <v>220</v>
      </c>
      <c r="C6452" t="s">
        <v>128</v>
      </c>
      <c r="D6452" t="str">
        <f>HYPERLINK("http://service.sap.com/sap/support/notes/1712669","1712669")</f>
        <v>1712669</v>
      </c>
      <c r="E6452">
        <v>6</v>
      </c>
      <c r="F6452" t="s">
        <v>7886</v>
      </c>
    </row>
    <row r="6453" spans="1:6" x14ac:dyDescent="0.25">
      <c r="A6453" t="s">
        <v>7749</v>
      </c>
      <c r="B6453" t="s">
        <v>220</v>
      </c>
      <c r="C6453" t="s">
        <v>128</v>
      </c>
      <c r="D6453" t="str">
        <f>HYPERLINK("http://service.sap.com/sap/support/notes/1714338","1714338")</f>
        <v>1714338</v>
      </c>
      <c r="E6453">
        <v>1</v>
      </c>
      <c r="F6453" t="s">
        <v>7887</v>
      </c>
    </row>
    <row r="6454" spans="1:6" x14ac:dyDescent="0.25">
      <c r="A6454" t="s">
        <v>7749</v>
      </c>
      <c r="B6454" t="s">
        <v>220</v>
      </c>
      <c r="C6454" t="s">
        <v>128</v>
      </c>
      <c r="D6454" t="str">
        <f>HYPERLINK("http://service.sap.com/sap/support/notes/1719502","1719502")</f>
        <v>1719502</v>
      </c>
      <c r="E6454">
        <v>1</v>
      </c>
      <c r="F6454" t="s">
        <v>7888</v>
      </c>
    </row>
    <row r="6455" spans="1:6" x14ac:dyDescent="0.25">
      <c r="A6455" t="s">
        <v>7749</v>
      </c>
      <c r="B6455" t="s">
        <v>220</v>
      </c>
      <c r="C6455" t="s">
        <v>128</v>
      </c>
      <c r="D6455" t="str">
        <f>HYPERLINK("http://service.sap.com/sap/support/notes/1726066","1726066")</f>
        <v>1726066</v>
      </c>
      <c r="E6455">
        <v>1</v>
      </c>
      <c r="F6455" t="s">
        <v>1826</v>
      </c>
    </row>
    <row r="6456" spans="1:6" x14ac:dyDescent="0.25">
      <c r="A6456" t="s">
        <v>7749</v>
      </c>
      <c r="B6456" t="s">
        <v>1851</v>
      </c>
      <c r="C6456" t="s">
        <v>1852</v>
      </c>
    </row>
    <row r="6457" spans="1:6" x14ac:dyDescent="0.25">
      <c r="A6457" t="s">
        <v>7749</v>
      </c>
      <c r="B6457" t="s">
        <v>7889</v>
      </c>
      <c r="C6457" t="s">
        <v>234</v>
      </c>
      <c r="D6457" t="str">
        <f>HYPERLINK("http://service.sap.com/sap/support/notes/1705377","1705377")</f>
        <v>1705377</v>
      </c>
      <c r="E6457">
        <v>2</v>
      </c>
      <c r="F6457" t="s">
        <v>7890</v>
      </c>
    </row>
    <row r="6458" spans="1:6" x14ac:dyDescent="0.25">
      <c r="A6458" t="s">
        <v>7749</v>
      </c>
      <c r="B6458" t="s">
        <v>224</v>
      </c>
      <c r="C6458" t="s">
        <v>1857</v>
      </c>
      <c r="D6458" t="str">
        <f>HYPERLINK("http://service.sap.com/sap/support/notes/1702560","1702560")</f>
        <v>1702560</v>
      </c>
      <c r="E6458">
        <v>1</v>
      </c>
      <c r="F6458" t="s">
        <v>7891</v>
      </c>
    </row>
    <row r="6459" spans="1:6" x14ac:dyDescent="0.25">
      <c r="A6459" t="s">
        <v>7749</v>
      </c>
      <c r="B6459" t="s">
        <v>226</v>
      </c>
      <c r="C6459" t="s">
        <v>14</v>
      </c>
      <c r="D6459" t="str">
        <f>HYPERLINK("http://service.sap.com/sap/support/notes/1576212","1576212")</f>
        <v>1576212</v>
      </c>
      <c r="E6459">
        <v>2</v>
      </c>
      <c r="F6459" t="s">
        <v>7892</v>
      </c>
    </row>
    <row r="6460" spans="1:6" x14ac:dyDescent="0.25">
      <c r="A6460" t="s">
        <v>7749</v>
      </c>
      <c r="B6460" t="s">
        <v>226</v>
      </c>
      <c r="C6460" t="s">
        <v>14</v>
      </c>
      <c r="D6460" t="str">
        <f>HYPERLINK("http://service.sap.com/sap/support/notes/1696491","1696491")</f>
        <v>1696491</v>
      </c>
      <c r="E6460">
        <v>4</v>
      </c>
      <c r="F6460" t="s">
        <v>7893</v>
      </c>
    </row>
    <row r="6461" spans="1:6" x14ac:dyDescent="0.25">
      <c r="A6461" t="s">
        <v>7749</v>
      </c>
      <c r="B6461" t="s">
        <v>226</v>
      </c>
      <c r="C6461" t="s">
        <v>14</v>
      </c>
      <c r="D6461" t="str">
        <f>HYPERLINK("http://service.sap.com/sap/support/notes/1698922","1698922")</f>
        <v>1698922</v>
      </c>
      <c r="E6461">
        <v>1</v>
      </c>
      <c r="F6461" t="s">
        <v>7894</v>
      </c>
    </row>
    <row r="6462" spans="1:6" x14ac:dyDescent="0.25">
      <c r="A6462" t="s">
        <v>7749</v>
      </c>
      <c r="B6462" t="s">
        <v>226</v>
      </c>
      <c r="C6462" t="s">
        <v>14</v>
      </c>
      <c r="D6462" t="str">
        <f>HYPERLINK("http://service.sap.com/sap/support/notes/1713606","1713606")</f>
        <v>1713606</v>
      </c>
      <c r="E6462">
        <v>1</v>
      </c>
      <c r="F6462" t="s">
        <v>7895</v>
      </c>
    </row>
    <row r="6463" spans="1:6" x14ac:dyDescent="0.25">
      <c r="A6463" t="s">
        <v>7749</v>
      </c>
      <c r="B6463" t="s">
        <v>1872</v>
      </c>
      <c r="C6463" t="s">
        <v>1845</v>
      </c>
      <c r="D6463" t="str">
        <f>HYPERLINK("http://service.sap.com/sap/support/notes/1712517","1712517")</f>
        <v>1712517</v>
      </c>
      <c r="E6463">
        <v>1</v>
      </c>
      <c r="F6463" t="s">
        <v>7896</v>
      </c>
    </row>
    <row r="6464" spans="1:6" x14ac:dyDescent="0.25">
      <c r="A6464" t="s">
        <v>7749</v>
      </c>
      <c r="B6464" t="s">
        <v>230</v>
      </c>
      <c r="C6464" t="s">
        <v>231</v>
      </c>
      <c r="D6464" t="str">
        <f>HYPERLINK("http://service.sap.com/sap/support/notes/1690164","1690164")</f>
        <v>1690164</v>
      </c>
      <c r="E6464">
        <v>1</v>
      </c>
      <c r="F6464" t="s">
        <v>7897</v>
      </c>
    </row>
    <row r="6465" spans="1:6" x14ac:dyDescent="0.25">
      <c r="A6465" t="s">
        <v>7749</v>
      </c>
      <c r="B6465" t="s">
        <v>236</v>
      </c>
      <c r="C6465" t="s">
        <v>237</v>
      </c>
      <c r="D6465" t="str">
        <f>HYPERLINK("http://service.sap.com/sap/support/notes/1677994","1677994")</f>
        <v>1677994</v>
      </c>
      <c r="E6465">
        <v>1</v>
      </c>
      <c r="F6465" t="s">
        <v>7898</v>
      </c>
    </row>
    <row r="6466" spans="1:6" x14ac:dyDescent="0.25">
      <c r="A6466" t="s">
        <v>7749</v>
      </c>
      <c r="B6466" t="s">
        <v>1886</v>
      </c>
      <c r="C6466" t="s">
        <v>6241</v>
      </c>
    </row>
    <row r="6467" spans="1:6" x14ac:dyDescent="0.25">
      <c r="A6467" t="s">
        <v>7749</v>
      </c>
      <c r="B6467" t="s">
        <v>7899</v>
      </c>
      <c r="C6467" t="s">
        <v>14</v>
      </c>
      <c r="D6467" t="str">
        <f>HYPERLINK("http://service.sap.com/sap/support/notes/1724069","1724069")</f>
        <v>1724069</v>
      </c>
      <c r="E6467">
        <v>3</v>
      </c>
      <c r="F6467" t="s">
        <v>7900</v>
      </c>
    </row>
    <row r="6468" spans="1:6" x14ac:dyDescent="0.25">
      <c r="A6468" t="s">
        <v>7749</v>
      </c>
      <c r="B6468" t="s">
        <v>6242</v>
      </c>
      <c r="C6468" t="s">
        <v>234</v>
      </c>
      <c r="D6468" t="str">
        <f>HYPERLINK("http://service.sap.com/sap/support/notes/1711506","1711506")</f>
        <v>1711506</v>
      </c>
      <c r="E6468">
        <v>1</v>
      </c>
      <c r="F6468" t="s">
        <v>7901</v>
      </c>
    </row>
    <row r="6469" spans="1:6" x14ac:dyDescent="0.25">
      <c r="A6469" t="s">
        <v>7749</v>
      </c>
      <c r="B6469" t="s">
        <v>1889</v>
      </c>
      <c r="C6469" t="s">
        <v>1890</v>
      </c>
      <c r="D6469" t="str">
        <f>HYPERLINK("http://service.sap.com/sap/support/notes/1696896","1696896")</f>
        <v>1696896</v>
      </c>
      <c r="E6469">
        <v>6</v>
      </c>
      <c r="F6469" t="s">
        <v>7902</v>
      </c>
    </row>
    <row r="6470" spans="1:6" x14ac:dyDescent="0.25">
      <c r="A6470" t="s">
        <v>7749</v>
      </c>
      <c r="B6470" t="s">
        <v>1889</v>
      </c>
      <c r="C6470" t="s">
        <v>1890</v>
      </c>
      <c r="D6470" t="str">
        <f>HYPERLINK("http://service.sap.com/sap/support/notes/1698196","1698196")</f>
        <v>1698196</v>
      </c>
      <c r="E6470">
        <v>1</v>
      </c>
      <c r="F6470" t="s">
        <v>7903</v>
      </c>
    </row>
    <row r="6471" spans="1:6" x14ac:dyDescent="0.25">
      <c r="A6471" t="s">
        <v>7749</v>
      </c>
      <c r="B6471" t="s">
        <v>1889</v>
      </c>
      <c r="C6471" t="s">
        <v>1890</v>
      </c>
      <c r="D6471" t="str">
        <f>HYPERLINK("http://service.sap.com/sap/support/notes/1706477","1706477")</f>
        <v>1706477</v>
      </c>
      <c r="E6471">
        <v>2</v>
      </c>
      <c r="F6471" t="s">
        <v>6244</v>
      </c>
    </row>
    <row r="6472" spans="1:6" x14ac:dyDescent="0.25">
      <c r="A6472" t="s">
        <v>7749</v>
      </c>
      <c r="B6472" t="s">
        <v>1889</v>
      </c>
      <c r="C6472" t="s">
        <v>1890</v>
      </c>
      <c r="D6472" t="str">
        <f>HYPERLINK("http://service.sap.com/sap/support/notes/1708569","1708569")</f>
        <v>1708569</v>
      </c>
      <c r="E6472">
        <v>1</v>
      </c>
      <c r="F6472" t="s">
        <v>7904</v>
      </c>
    </row>
    <row r="6473" spans="1:6" x14ac:dyDescent="0.25">
      <c r="A6473" t="s">
        <v>7749</v>
      </c>
      <c r="B6473" t="s">
        <v>1889</v>
      </c>
      <c r="C6473" t="s">
        <v>1890</v>
      </c>
      <c r="D6473" t="str">
        <f>HYPERLINK("http://service.sap.com/sap/support/notes/1709809","1709809")</f>
        <v>1709809</v>
      </c>
      <c r="E6473">
        <v>2</v>
      </c>
      <c r="F6473" t="s">
        <v>7905</v>
      </c>
    </row>
    <row r="6474" spans="1:6" x14ac:dyDescent="0.25">
      <c r="A6474" t="s">
        <v>7749</v>
      </c>
      <c r="B6474" t="s">
        <v>1889</v>
      </c>
      <c r="C6474" t="s">
        <v>1890</v>
      </c>
      <c r="D6474" t="str">
        <f>HYPERLINK("http://service.sap.com/sap/support/notes/1711290","1711290")</f>
        <v>1711290</v>
      </c>
      <c r="E6474">
        <v>2</v>
      </c>
      <c r="F6474" t="s">
        <v>7906</v>
      </c>
    </row>
    <row r="6475" spans="1:6" x14ac:dyDescent="0.25">
      <c r="A6475" t="s">
        <v>7749</v>
      </c>
      <c r="B6475" t="s">
        <v>1889</v>
      </c>
      <c r="C6475" t="s">
        <v>1890</v>
      </c>
      <c r="D6475" t="str">
        <f>HYPERLINK("http://service.sap.com/sap/support/notes/1712062","1712062")</f>
        <v>1712062</v>
      </c>
      <c r="E6475">
        <v>2</v>
      </c>
      <c r="F6475" t="s">
        <v>7907</v>
      </c>
    </row>
    <row r="6476" spans="1:6" x14ac:dyDescent="0.25">
      <c r="A6476" t="s">
        <v>7749</v>
      </c>
      <c r="B6476" t="s">
        <v>239</v>
      </c>
      <c r="C6476" t="s">
        <v>240</v>
      </c>
    </row>
    <row r="6477" spans="1:6" x14ac:dyDescent="0.25">
      <c r="A6477" t="s">
        <v>7749</v>
      </c>
      <c r="B6477" t="s">
        <v>241</v>
      </c>
      <c r="C6477" t="s">
        <v>14</v>
      </c>
      <c r="D6477" t="str">
        <f>HYPERLINK("http://service.sap.com/sap/support/notes/1568587","1568587")</f>
        <v>1568587</v>
      </c>
      <c r="E6477">
        <v>3</v>
      </c>
      <c r="F6477" t="s">
        <v>7908</v>
      </c>
    </row>
    <row r="6478" spans="1:6" x14ac:dyDescent="0.25">
      <c r="A6478" t="s">
        <v>7749</v>
      </c>
      <c r="B6478" t="s">
        <v>241</v>
      </c>
      <c r="C6478" t="s">
        <v>14</v>
      </c>
      <c r="D6478" t="str">
        <f>HYPERLINK("http://service.sap.com/sap/support/notes/1697533","1697533")</f>
        <v>1697533</v>
      </c>
      <c r="E6478">
        <v>1</v>
      </c>
      <c r="F6478" t="s">
        <v>7909</v>
      </c>
    </row>
    <row r="6479" spans="1:6" x14ac:dyDescent="0.25">
      <c r="A6479" t="s">
        <v>7749</v>
      </c>
      <c r="B6479" t="s">
        <v>241</v>
      </c>
      <c r="C6479" t="s">
        <v>14</v>
      </c>
      <c r="D6479" t="str">
        <f>HYPERLINK("http://service.sap.com/sap/support/notes/1699130","1699130")</f>
        <v>1699130</v>
      </c>
      <c r="E6479">
        <v>1</v>
      </c>
      <c r="F6479" t="s">
        <v>7910</v>
      </c>
    </row>
    <row r="6480" spans="1:6" x14ac:dyDescent="0.25">
      <c r="A6480" t="s">
        <v>7749</v>
      </c>
      <c r="B6480" t="s">
        <v>241</v>
      </c>
      <c r="C6480" t="s">
        <v>14</v>
      </c>
      <c r="D6480" t="str">
        <f>HYPERLINK("http://service.sap.com/sap/support/notes/1699180","1699180")</f>
        <v>1699180</v>
      </c>
      <c r="E6480">
        <v>1</v>
      </c>
      <c r="F6480" t="s">
        <v>7911</v>
      </c>
    </row>
    <row r="6481" spans="1:6" x14ac:dyDescent="0.25">
      <c r="A6481" t="s">
        <v>7749</v>
      </c>
      <c r="B6481" t="s">
        <v>241</v>
      </c>
      <c r="C6481" t="s">
        <v>14</v>
      </c>
      <c r="D6481" t="str">
        <f>HYPERLINK("http://service.sap.com/sap/support/notes/1709934","1709934")</f>
        <v>1709934</v>
      </c>
      <c r="E6481">
        <v>3</v>
      </c>
      <c r="F6481" t="s">
        <v>7912</v>
      </c>
    </row>
    <row r="6482" spans="1:6" x14ac:dyDescent="0.25">
      <c r="A6482" t="s">
        <v>7749</v>
      </c>
      <c r="B6482" t="s">
        <v>241</v>
      </c>
      <c r="C6482" t="s">
        <v>14</v>
      </c>
      <c r="D6482" t="str">
        <f>HYPERLINK("http://service.sap.com/sap/support/notes/1721541","1721541")</f>
        <v>1721541</v>
      </c>
      <c r="E6482">
        <v>1</v>
      </c>
      <c r="F6482" t="s">
        <v>7913</v>
      </c>
    </row>
    <row r="6483" spans="1:6" x14ac:dyDescent="0.25">
      <c r="A6483" t="s">
        <v>7749</v>
      </c>
      <c r="B6483" t="s">
        <v>241</v>
      </c>
      <c r="C6483" t="s">
        <v>14</v>
      </c>
      <c r="D6483" t="str">
        <f>HYPERLINK("http://service.sap.com/sap/support/notes/1722269","1722269")</f>
        <v>1722269</v>
      </c>
      <c r="E6483">
        <v>1</v>
      </c>
      <c r="F6483" t="s">
        <v>7914</v>
      </c>
    </row>
    <row r="6484" spans="1:6" x14ac:dyDescent="0.25">
      <c r="A6484" t="s">
        <v>7749</v>
      </c>
      <c r="B6484" t="s">
        <v>241</v>
      </c>
      <c r="C6484" t="s">
        <v>14</v>
      </c>
      <c r="D6484" t="str">
        <f>HYPERLINK("http://service.sap.com/sap/support/notes/1722878","1722878")</f>
        <v>1722878</v>
      </c>
      <c r="E6484">
        <v>1</v>
      </c>
      <c r="F6484" t="s">
        <v>7915</v>
      </c>
    </row>
    <row r="6485" spans="1:6" x14ac:dyDescent="0.25">
      <c r="A6485" t="s">
        <v>7749</v>
      </c>
      <c r="B6485" t="s">
        <v>1908</v>
      </c>
      <c r="C6485" t="s">
        <v>1845</v>
      </c>
      <c r="D6485" t="str">
        <f>HYPERLINK("http://service.sap.com/sap/support/notes/1620252","1620252")</f>
        <v>1620252</v>
      </c>
      <c r="E6485">
        <v>1</v>
      </c>
      <c r="F6485" t="s">
        <v>7916</v>
      </c>
    </row>
    <row r="6486" spans="1:6" x14ac:dyDescent="0.25">
      <c r="A6486" t="s">
        <v>7749</v>
      </c>
      <c r="B6486" t="s">
        <v>245</v>
      </c>
      <c r="C6486" t="s">
        <v>246</v>
      </c>
      <c r="D6486" t="str">
        <f>HYPERLINK("http://service.sap.com/sap/support/notes/1688384","1688384")</f>
        <v>1688384</v>
      </c>
      <c r="E6486">
        <v>1</v>
      </c>
      <c r="F6486" t="s">
        <v>7917</v>
      </c>
    </row>
    <row r="6487" spans="1:6" x14ac:dyDescent="0.25">
      <c r="A6487" t="s">
        <v>7749</v>
      </c>
      <c r="B6487" t="s">
        <v>245</v>
      </c>
      <c r="C6487" t="s">
        <v>246</v>
      </c>
      <c r="D6487" t="str">
        <f>HYPERLINK("http://service.sap.com/sap/support/notes/1698989","1698989")</f>
        <v>1698989</v>
      </c>
      <c r="E6487">
        <v>1</v>
      </c>
      <c r="F6487" t="s">
        <v>7918</v>
      </c>
    </row>
    <row r="6488" spans="1:6" x14ac:dyDescent="0.25">
      <c r="A6488" t="s">
        <v>7749</v>
      </c>
      <c r="B6488" t="s">
        <v>1918</v>
      </c>
      <c r="C6488" t="s">
        <v>237</v>
      </c>
      <c r="D6488" t="str">
        <f>HYPERLINK("http://service.sap.com/sap/support/notes/948737","948737")</f>
        <v>948737</v>
      </c>
      <c r="E6488">
        <v>4</v>
      </c>
      <c r="F6488" t="s">
        <v>7919</v>
      </c>
    </row>
    <row r="6489" spans="1:6" x14ac:dyDescent="0.25">
      <c r="A6489" t="s">
        <v>7749</v>
      </c>
      <c r="B6489" t="s">
        <v>1918</v>
      </c>
      <c r="C6489" t="s">
        <v>237</v>
      </c>
      <c r="D6489" t="str">
        <f>HYPERLINK("http://service.sap.com/sap/support/notes/967023","967023")</f>
        <v>967023</v>
      </c>
      <c r="E6489">
        <v>3</v>
      </c>
      <c r="F6489" t="s">
        <v>7920</v>
      </c>
    </row>
    <row r="6490" spans="1:6" x14ac:dyDescent="0.25">
      <c r="A6490" t="s">
        <v>7749</v>
      </c>
      <c r="B6490" t="s">
        <v>1918</v>
      </c>
      <c r="C6490" t="s">
        <v>237</v>
      </c>
      <c r="D6490" t="str">
        <f>HYPERLINK("http://service.sap.com/sap/support/notes/989183","989183")</f>
        <v>989183</v>
      </c>
      <c r="E6490">
        <v>3</v>
      </c>
      <c r="F6490" t="s">
        <v>7921</v>
      </c>
    </row>
    <row r="6491" spans="1:6" x14ac:dyDescent="0.25">
      <c r="A6491" t="s">
        <v>7749</v>
      </c>
      <c r="B6491" t="s">
        <v>1918</v>
      </c>
      <c r="C6491" t="s">
        <v>237</v>
      </c>
      <c r="D6491" t="str">
        <f>HYPERLINK("http://service.sap.com/sap/support/notes/1539485","1539485")</f>
        <v>1539485</v>
      </c>
      <c r="E6491">
        <v>2</v>
      </c>
      <c r="F6491" t="s">
        <v>7922</v>
      </c>
    </row>
    <row r="6492" spans="1:6" x14ac:dyDescent="0.25">
      <c r="A6492" t="s">
        <v>7749</v>
      </c>
      <c r="B6492" t="s">
        <v>1918</v>
      </c>
      <c r="C6492" t="s">
        <v>237</v>
      </c>
      <c r="D6492" t="str">
        <f>HYPERLINK("http://service.sap.com/sap/support/notes/1556978","1556978")</f>
        <v>1556978</v>
      </c>
      <c r="E6492">
        <v>2</v>
      </c>
      <c r="F6492" t="s">
        <v>7923</v>
      </c>
    </row>
    <row r="6493" spans="1:6" x14ac:dyDescent="0.25">
      <c r="A6493" t="s">
        <v>7749</v>
      </c>
      <c r="B6493" t="s">
        <v>1918</v>
      </c>
      <c r="C6493" t="s">
        <v>237</v>
      </c>
      <c r="D6493" t="str">
        <f>HYPERLINK("http://service.sap.com/sap/support/notes/1698295","1698295")</f>
        <v>1698295</v>
      </c>
      <c r="E6493">
        <v>6</v>
      </c>
      <c r="F6493" t="s">
        <v>7924</v>
      </c>
    </row>
    <row r="6494" spans="1:6" x14ac:dyDescent="0.25">
      <c r="A6494" t="s">
        <v>7749</v>
      </c>
      <c r="B6494" t="s">
        <v>1925</v>
      </c>
      <c r="C6494" t="s">
        <v>1574</v>
      </c>
      <c r="D6494" t="str">
        <f>HYPERLINK("http://service.sap.com/sap/support/notes/1313016","1313016")</f>
        <v>1313016</v>
      </c>
      <c r="E6494">
        <v>1</v>
      </c>
      <c r="F6494" t="s">
        <v>1926</v>
      </c>
    </row>
    <row r="6495" spans="1:6" x14ac:dyDescent="0.25">
      <c r="A6495" t="s">
        <v>7749</v>
      </c>
      <c r="B6495" t="s">
        <v>1925</v>
      </c>
      <c r="C6495" t="s">
        <v>1574</v>
      </c>
      <c r="D6495" t="str">
        <f>HYPERLINK("http://service.sap.com/sap/support/notes/1478680","1478680")</f>
        <v>1478680</v>
      </c>
      <c r="E6495">
        <v>3</v>
      </c>
      <c r="F6495" t="s">
        <v>7925</v>
      </c>
    </row>
    <row r="6496" spans="1:6" x14ac:dyDescent="0.25">
      <c r="A6496" t="s">
        <v>7749</v>
      </c>
      <c r="B6496" t="s">
        <v>1925</v>
      </c>
      <c r="C6496" t="s">
        <v>1574</v>
      </c>
      <c r="D6496" t="str">
        <f>HYPERLINK("http://service.sap.com/sap/support/notes/1495043","1495043")</f>
        <v>1495043</v>
      </c>
      <c r="E6496">
        <v>2</v>
      </c>
      <c r="F6496" t="s">
        <v>7926</v>
      </c>
    </row>
    <row r="6497" spans="1:6" x14ac:dyDescent="0.25">
      <c r="A6497" t="s">
        <v>7749</v>
      </c>
      <c r="B6497" t="s">
        <v>1925</v>
      </c>
      <c r="C6497" t="s">
        <v>1574</v>
      </c>
      <c r="D6497" t="str">
        <f>HYPERLINK("http://service.sap.com/sap/support/notes/1687483","1687483")</f>
        <v>1687483</v>
      </c>
      <c r="E6497">
        <v>1</v>
      </c>
      <c r="F6497" t="s">
        <v>7927</v>
      </c>
    </row>
    <row r="6498" spans="1:6" x14ac:dyDescent="0.25">
      <c r="A6498" t="s">
        <v>7749</v>
      </c>
      <c r="B6498" t="s">
        <v>1925</v>
      </c>
      <c r="C6498" t="s">
        <v>1574</v>
      </c>
      <c r="D6498" t="str">
        <f>HYPERLINK("http://service.sap.com/sap/support/notes/1689380","1689380")</f>
        <v>1689380</v>
      </c>
      <c r="E6498">
        <v>4</v>
      </c>
      <c r="F6498" t="s">
        <v>7928</v>
      </c>
    </row>
    <row r="6499" spans="1:6" x14ac:dyDescent="0.25">
      <c r="A6499" t="s">
        <v>7749</v>
      </c>
      <c r="B6499" t="s">
        <v>1925</v>
      </c>
      <c r="C6499" t="s">
        <v>1574</v>
      </c>
      <c r="D6499" t="str">
        <f>HYPERLINK("http://service.sap.com/sap/support/notes/1692941","1692941")</f>
        <v>1692941</v>
      </c>
      <c r="E6499">
        <v>1</v>
      </c>
      <c r="F6499" t="s">
        <v>7929</v>
      </c>
    </row>
    <row r="6500" spans="1:6" x14ac:dyDescent="0.25">
      <c r="A6500" t="s">
        <v>7749</v>
      </c>
      <c r="B6500" t="s">
        <v>1925</v>
      </c>
      <c r="C6500" t="s">
        <v>1574</v>
      </c>
      <c r="D6500" t="str">
        <f>HYPERLINK("http://service.sap.com/sap/support/notes/1703304","1703304")</f>
        <v>1703304</v>
      </c>
      <c r="E6500">
        <v>1</v>
      </c>
      <c r="F6500" t="s">
        <v>7930</v>
      </c>
    </row>
    <row r="6501" spans="1:6" x14ac:dyDescent="0.25">
      <c r="A6501" t="s">
        <v>7749</v>
      </c>
      <c r="B6501" t="s">
        <v>1925</v>
      </c>
      <c r="C6501" t="s">
        <v>1574</v>
      </c>
      <c r="D6501" t="str">
        <f>HYPERLINK("http://service.sap.com/sap/support/notes/1706633","1706633")</f>
        <v>1706633</v>
      </c>
      <c r="E6501">
        <v>1</v>
      </c>
      <c r="F6501" t="s">
        <v>7931</v>
      </c>
    </row>
    <row r="6502" spans="1:6" x14ac:dyDescent="0.25">
      <c r="A6502" t="s">
        <v>7749</v>
      </c>
      <c r="B6502" t="s">
        <v>1925</v>
      </c>
      <c r="C6502" t="s">
        <v>1574</v>
      </c>
      <c r="D6502" t="str">
        <f>HYPERLINK("http://service.sap.com/sap/support/notes/1715370","1715370")</f>
        <v>1715370</v>
      </c>
      <c r="E6502">
        <v>1</v>
      </c>
      <c r="F6502" t="s">
        <v>7932</v>
      </c>
    </row>
    <row r="6503" spans="1:6" x14ac:dyDescent="0.25">
      <c r="A6503" t="s">
        <v>7749</v>
      </c>
      <c r="B6503" t="s">
        <v>1925</v>
      </c>
      <c r="C6503" t="s">
        <v>1574</v>
      </c>
      <c r="D6503" t="str">
        <f>HYPERLINK("http://service.sap.com/sap/support/notes/1718970","1718970")</f>
        <v>1718970</v>
      </c>
      <c r="E6503">
        <v>1</v>
      </c>
      <c r="F6503" t="s">
        <v>7933</v>
      </c>
    </row>
    <row r="6504" spans="1:6" x14ac:dyDescent="0.25">
      <c r="A6504" t="s">
        <v>7749</v>
      </c>
      <c r="B6504" t="s">
        <v>1943</v>
      </c>
      <c r="C6504" t="s">
        <v>1944</v>
      </c>
      <c r="D6504" t="str">
        <f>HYPERLINK("http://service.sap.com/sap/support/notes/1701250","1701250")</f>
        <v>1701250</v>
      </c>
      <c r="E6504">
        <v>3</v>
      </c>
      <c r="F6504" t="s">
        <v>7934</v>
      </c>
    </row>
    <row r="6505" spans="1:6" x14ac:dyDescent="0.25">
      <c r="A6505" t="s">
        <v>7749</v>
      </c>
      <c r="B6505" t="s">
        <v>1943</v>
      </c>
      <c r="C6505" t="s">
        <v>1944</v>
      </c>
      <c r="D6505" t="str">
        <f>HYPERLINK("http://service.sap.com/sap/support/notes/1714652","1714652")</f>
        <v>1714652</v>
      </c>
      <c r="E6505">
        <v>1</v>
      </c>
      <c r="F6505" t="s">
        <v>7935</v>
      </c>
    </row>
    <row r="6506" spans="1:6" x14ac:dyDescent="0.25">
      <c r="A6506" t="s">
        <v>7749</v>
      </c>
      <c r="B6506" t="s">
        <v>1956</v>
      </c>
      <c r="C6506" t="s">
        <v>350</v>
      </c>
      <c r="D6506" t="str">
        <f>HYPERLINK("http://service.sap.com/sap/support/notes/1709531","1709531")</f>
        <v>1709531</v>
      </c>
      <c r="E6506">
        <v>1</v>
      </c>
      <c r="F6506" t="s">
        <v>7936</v>
      </c>
    </row>
    <row r="6507" spans="1:6" x14ac:dyDescent="0.25">
      <c r="A6507" t="s">
        <v>7749</v>
      </c>
      <c r="B6507" t="s">
        <v>1956</v>
      </c>
      <c r="C6507" t="s">
        <v>350</v>
      </c>
      <c r="D6507" t="str">
        <f>HYPERLINK("http://service.sap.com/sap/support/notes/1713963","1713963")</f>
        <v>1713963</v>
      </c>
      <c r="E6507">
        <v>2</v>
      </c>
      <c r="F6507" t="s">
        <v>7937</v>
      </c>
    </row>
    <row r="6508" spans="1:6" x14ac:dyDescent="0.25">
      <c r="A6508" t="s">
        <v>7749</v>
      </c>
      <c r="B6508" t="s">
        <v>1956</v>
      </c>
      <c r="C6508" t="s">
        <v>350</v>
      </c>
      <c r="D6508" t="str">
        <f>HYPERLINK("http://service.sap.com/sap/support/notes/1719983","1719983")</f>
        <v>1719983</v>
      </c>
      <c r="E6508">
        <v>1</v>
      </c>
      <c r="F6508" t="s">
        <v>7938</v>
      </c>
    </row>
    <row r="6509" spans="1:6" x14ac:dyDescent="0.25">
      <c r="A6509" t="s">
        <v>7749</v>
      </c>
      <c r="B6509" t="s">
        <v>1956</v>
      </c>
      <c r="C6509" t="s">
        <v>350</v>
      </c>
      <c r="D6509" t="str">
        <f>HYPERLINK("http://service.sap.com/sap/support/notes/1724105","1724105")</f>
        <v>1724105</v>
      </c>
      <c r="E6509">
        <v>3</v>
      </c>
      <c r="F6509" t="s">
        <v>7939</v>
      </c>
    </row>
    <row r="6510" spans="1:6" x14ac:dyDescent="0.25">
      <c r="A6510" t="s">
        <v>7749</v>
      </c>
      <c r="B6510" t="s">
        <v>7940</v>
      </c>
      <c r="C6510" t="s">
        <v>1122</v>
      </c>
      <c r="D6510" t="str">
        <f>HYPERLINK("http://service.sap.com/sap/support/notes/1711947","1711947")</f>
        <v>1711947</v>
      </c>
      <c r="E6510">
        <v>1</v>
      </c>
      <c r="F6510" t="s">
        <v>7941</v>
      </c>
    </row>
    <row r="6511" spans="1:6" x14ac:dyDescent="0.25">
      <c r="A6511" t="s">
        <v>7749</v>
      </c>
      <c r="B6511" t="s">
        <v>7940</v>
      </c>
      <c r="C6511" t="s">
        <v>1122</v>
      </c>
      <c r="D6511" t="str">
        <f>HYPERLINK("http://service.sap.com/sap/support/notes/1711949","1711949")</f>
        <v>1711949</v>
      </c>
      <c r="E6511">
        <v>1</v>
      </c>
      <c r="F6511" t="s">
        <v>7942</v>
      </c>
    </row>
    <row r="6512" spans="1:6" x14ac:dyDescent="0.25">
      <c r="A6512" t="s">
        <v>7749</v>
      </c>
      <c r="B6512" t="s">
        <v>1968</v>
      </c>
      <c r="C6512" t="s">
        <v>1969</v>
      </c>
      <c r="D6512" t="str">
        <f>HYPERLINK("http://service.sap.com/sap/support/notes/1699497","1699497")</f>
        <v>1699497</v>
      </c>
      <c r="E6512">
        <v>1</v>
      </c>
      <c r="F6512" t="s">
        <v>7943</v>
      </c>
    </row>
    <row r="6513" spans="1:6" x14ac:dyDescent="0.25">
      <c r="A6513" t="s">
        <v>7749</v>
      </c>
      <c r="B6513" t="s">
        <v>250</v>
      </c>
      <c r="C6513" t="s">
        <v>1579</v>
      </c>
      <c r="D6513" t="str">
        <f>HYPERLINK("http://service.sap.com/sap/support/notes/1701214","1701214")</f>
        <v>1701214</v>
      </c>
      <c r="E6513">
        <v>1</v>
      </c>
      <c r="F6513" t="s">
        <v>7944</v>
      </c>
    </row>
    <row r="6514" spans="1:6" x14ac:dyDescent="0.25">
      <c r="A6514" t="s">
        <v>7749</v>
      </c>
      <c r="B6514" t="s">
        <v>252</v>
      </c>
      <c r="C6514" t="s">
        <v>253</v>
      </c>
      <c r="D6514" t="str">
        <f>HYPERLINK("http://service.sap.com/sap/support/notes/690820","690820")</f>
        <v>690820</v>
      </c>
      <c r="E6514">
        <v>2</v>
      </c>
      <c r="F6514" t="s">
        <v>7945</v>
      </c>
    </row>
    <row r="6515" spans="1:6" x14ac:dyDescent="0.25">
      <c r="A6515" t="s">
        <v>7749</v>
      </c>
      <c r="B6515" t="s">
        <v>252</v>
      </c>
      <c r="C6515" t="s">
        <v>253</v>
      </c>
      <c r="D6515" t="str">
        <f>HYPERLINK("http://service.sap.com/sap/support/notes/1599717","1599717")</f>
        <v>1599717</v>
      </c>
      <c r="E6515">
        <v>4</v>
      </c>
      <c r="F6515" t="s">
        <v>7946</v>
      </c>
    </row>
    <row r="6516" spans="1:6" x14ac:dyDescent="0.25">
      <c r="A6516" t="s">
        <v>7749</v>
      </c>
      <c r="B6516" t="s">
        <v>252</v>
      </c>
      <c r="C6516" t="s">
        <v>253</v>
      </c>
      <c r="D6516" t="str">
        <f>HYPERLINK("http://service.sap.com/sap/support/notes/1652121","1652121")</f>
        <v>1652121</v>
      </c>
      <c r="E6516">
        <v>2</v>
      </c>
      <c r="F6516" t="s">
        <v>7947</v>
      </c>
    </row>
    <row r="6517" spans="1:6" x14ac:dyDescent="0.25">
      <c r="A6517" t="s">
        <v>7749</v>
      </c>
      <c r="B6517" t="s">
        <v>252</v>
      </c>
      <c r="C6517" t="s">
        <v>253</v>
      </c>
      <c r="D6517" t="str">
        <f>HYPERLINK("http://service.sap.com/sap/support/notes/1668059","1668059")</f>
        <v>1668059</v>
      </c>
      <c r="E6517">
        <v>8</v>
      </c>
      <c r="F6517" t="s">
        <v>7948</v>
      </c>
    </row>
    <row r="6518" spans="1:6" x14ac:dyDescent="0.25">
      <c r="A6518" t="s">
        <v>7749</v>
      </c>
      <c r="B6518" t="s">
        <v>252</v>
      </c>
      <c r="C6518" t="s">
        <v>253</v>
      </c>
      <c r="D6518" t="str">
        <f>HYPERLINK("http://service.sap.com/sap/support/notes/1674077","1674077")</f>
        <v>1674077</v>
      </c>
      <c r="E6518">
        <v>6</v>
      </c>
      <c r="F6518" t="s">
        <v>7949</v>
      </c>
    </row>
    <row r="6519" spans="1:6" x14ac:dyDescent="0.25">
      <c r="A6519" t="s">
        <v>7749</v>
      </c>
      <c r="B6519" t="s">
        <v>252</v>
      </c>
      <c r="C6519" t="s">
        <v>253</v>
      </c>
      <c r="D6519" t="str">
        <f>HYPERLINK("http://service.sap.com/sap/support/notes/1677360","1677360")</f>
        <v>1677360</v>
      </c>
      <c r="E6519">
        <v>2</v>
      </c>
      <c r="F6519" t="s">
        <v>7950</v>
      </c>
    </row>
    <row r="6520" spans="1:6" x14ac:dyDescent="0.25">
      <c r="A6520" t="s">
        <v>7749</v>
      </c>
      <c r="B6520" t="s">
        <v>252</v>
      </c>
      <c r="C6520" t="s">
        <v>253</v>
      </c>
      <c r="D6520" t="str">
        <f>HYPERLINK("http://service.sap.com/sap/support/notes/1684616","1684616")</f>
        <v>1684616</v>
      </c>
      <c r="E6520">
        <v>1</v>
      </c>
      <c r="F6520" t="s">
        <v>6276</v>
      </c>
    </row>
    <row r="6521" spans="1:6" x14ac:dyDescent="0.25">
      <c r="A6521" t="s">
        <v>7749</v>
      </c>
      <c r="B6521" t="s">
        <v>252</v>
      </c>
      <c r="C6521" t="s">
        <v>253</v>
      </c>
      <c r="D6521" t="str">
        <f>HYPERLINK("http://service.sap.com/sap/support/notes/1685529","1685529")</f>
        <v>1685529</v>
      </c>
      <c r="E6521">
        <v>2</v>
      </c>
      <c r="F6521" t="s">
        <v>7951</v>
      </c>
    </row>
    <row r="6522" spans="1:6" x14ac:dyDescent="0.25">
      <c r="A6522" t="s">
        <v>7749</v>
      </c>
      <c r="B6522" t="s">
        <v>252</v>
      </c>
      <c r="C6522" t="s">
        <v>253</v>
      </c>
      <c r="D6522" t="str">
        <f>HYPERLINK("http://service.sap.com/sap/support/notes/1689979","1689979")</f>
        <v>1689979</v>
      </c>
      <c r="E6522">
        <v>5</v>
      </c>
      <c r="F6522" t="s">
        <v>7952</v>
      </c>
    </row>
    <row r="6523" spans="1:6" x14ac:dyDescent="0.25">
      <c r="A6523" t="s">
        <v>7749</v>
      </c>
      <c r="B6523" t="s">
        <v>252</v>
      </c>
      <c r="C6523" t="s">
        <v>253</v>
      </c>
      <c r="D6523" t="str">
        <f>HYPERLINK("http://service.sap.com/sap/support/notes/1691097","1691097")</f>
        <v>1691097</v>
      </c>
      <c r="E6523">
        <v>3</v>
      </c>
      <c r="F6523" t="s">
        <v>7953</v>
      </c>
    </row>
    <row r="6524" spans="1:6" x14ac:dyDescent="0.25">
      <c r="A6524" t="s">
        <v>7749</v>
      </c>
      <c r="B6524" t="s">
        <v>252</v>
      </c>
      <c r="C6524" t="s">
        <v>253</v>
      </c>
      <c r="D6524" t="str">
        <f>HYPERLINK("http://service.sap.com/sap/support/notes/1691389","1691389")</f>
        <v>1691389</v>
      </c>
      <c r="E6524">
        <v>2</v>
      </c>
      <c r="F6524" t="s">
        <v>7954</v>
      </c>
    </row>
    <row r="6525" spans="1:6" x14ac:dyDescent="0.25">
      <c r="A6525" t="s">
        <v>7749</v>
      </c>
      <c r="B6525" t="s">
        <v>252</v>
      </c>
      <c r="C6525" t="s">
        <v>253</v>
      </c>
      <c r="D6525" t="str">
        <f>HYPERLINK("http://service.sap.com/sap/support/notes/1708402","1708402")</f>
        <v>1708402</v>
      </c>
      <c r="E6525">
        <v>2</v>
      </c>
      <c r="F6525" t="s">
        <v>7955</v>
      </c>
    </row>
    <row r="6526" spans="1:6" x14ac:dyDescent="0.25">
      <c r="A6526" t="s">
        <v>7749</v>
      </c>
      <c r="B6526" t="s">
        <v>252</v>
      </c>
      <c r="C6526" t="s">
        <v>253</v>
      </c>
      <c r="D6526" t="str">
        <f>HYPERLINK("http://service.sap.com/sap/support/notes/1709952","1709952")</f>
        <v>1709952</v>
      </c>
      <c r="E6526">
        <v>2</v>
      </c>
      <c r="F6526" t="s">
        <v>7956</v>
      </c>
    </row>
    <row r="6527" spans="1:6" x14ac:dyDescent="0.25">
      <c r="A6527" t="s">
        <v>7749</v>
      </c>
      <c r="B6527" t="s">
        <v>252</v>
      </c>
      <c r="C6527" t="s">
        <v>253</v>
      </c>
      <c r="D6527" t="str">
        <f>HYPERLINK("http://service.sap.com/sap/support/notes/1712220","1712220")</f>
        <v>1712220</v>
      </c>
      <c r="E6527">
        <v>1</v>
      </c>
      <c r="F6527" t="s">
        <v>7957</v>
      </c>
    </row>
    <row r="6528" spans="1:6" x14ac:dyDescent="0.25">
      <c r="A6528" t="s">
        <v>7749</v>
      </c>
      <c r="B6528" t="s">
        <v>252</v>
      </c>
      <c r="C6528" t="s">
        <v>253</v>
      </c>
      <c r="D6528" t="str">
        <f>HYPERLINK("http://service.sap.com/sap/support/notes/1713037","1713037")</f>
        <v>1713037</v>
      </c>
      <c r="E6528">
        <v>1</v>
      </c>
      <c r="F6528" t="s">
        <v>7958</v>
      </c>
    </row>
    <row r="6529" spans="1:6" x14ac:dyDescent="0.25">
      <c r="A6529" t="s">
        <v>7749</v>
      </c>
      <c r="B6529" t="s">
        <v>252</v>
      </c>
      <c r="C6529" t="s">
        <v>253</v>
      </c>
      <c r="D6529" t="str">
        <f>HYPERLINK("http://service.sap.com/sap/support/notes/1717598","1717598")</f>
        <v>1717598</v>
      </c>
      <c r="E6529">
        <v>1</v>
      </c>
      <c r="F6529" t="s">
        <v>7959</v>
      </c>
    </row>
    <row r="6530" spans="1:6" x14ac:dyDescent="0.25">
      <c r="A6530" t="s">
        <v>7749</v>
      </c>
      <c r="B6530" t="s">
        <v>252</v>
      </c>
      <c r="C6530" t="s">
        <v>253</v>
      </c>
      <c r="D6530" t="str">
        <f>HYPERLINK("http://service.sap.com/sap/support/notes/1719079","1719079")</f>
        <v>1719079</v>
      </c>
      <c r="E6530">
        <v>2</v>
      </c>
      <c r="F6530" t="s">
        <v>7960</v>
      </c>
    </row>
    <row r="6531" spans="1:6" x14ac:dyDescent="0.25">
      <c r="A6531" t="s">
        <v>7749</v>
      </c>
      <c r="B6531" t="s">
        <v>252</v>
      </c>
      <c r="C6531" t="s">
        <v>253</v>
      </c>
      <c r="D6531" t="str">
        <f>HYPERLINK("http://service.sap.com/sap/support/notes/1719476","1719476")</f>
        <v>1719476</v>
      </c>
      <c r="E6531">
        <v>1</v>
      </c>
      <c r="F6531" t="s">
        <v>7961</v>
      </c>
    </row>
    <row r="6532" spans="1:6" x14ac:dyDescent="0.25">
      <c r="A6532" t="s">
        <v>7749</v>
      </c>
      <c r="B6532" t="s">
        <v>252</v>
      </c>
      <c r="C6532" t="s">
        <v>253</v>
      </c>
      <c r="D6532" t="str">
        <f>HYPERLINK("http://service.sap.com/sap/support/notes/1721743","1721743")</f>
        <v>1721743</v>
      </c>
      <c r="E6532">
        <v>1</v>
      </c>
      <c r="F6532" t="s">
        <v>7962</v>
      </c>
    </row>
    <row r="6533" spans="1:6" x14ac:dyDescent="0.25">
      <c r="A6533" t="s">
        <v>7749</v>
      </c>
      <c r="B6533" t="s">
        <v>257</v>
      </c>
      <c r="C6533" t="s">
        <v>258</v>
      </c>
      <c r="D6533" t="str">
        <f>HYPERLINK("http://service.sap.com/sap/support/notes/1684701","1684701")</f>
        <v>1684701</v>
      </c>
      <c r="E6533">
        <v>3</v>
      </c>
      <c r="F6533" t="s">
        <v>7963</v>
      </c>
    </row>
    <row r="6534" spans="1:6" x14ac:dyDescent="0.25">
      <c r="A6534" t="s">
        <v>7749</v>
      </c>
      <c r="B6534" t="s">
        <v>260</v>
      </c>
      <c r="C6534" t="s">
        <v>261</v>
      </c>
      <c r="D6534" t="str">
        <f>HYPERLINK("http://service.sap.com/sap/support/notes/857402","857402")</f>
        <v>857402</v>
      </c>
      <c r="E6534">
        <v>1</v>
      </c>
      <c r="F6534" t="s">
        <v>7964</v>
      </c>
    </row>
    <row r="6535" spans="1:6" x14ac:dyDescent="0.25">
      <c r="A6535" t="s">
        <v>7749</v>
      </c>
      <c r="B6535" t="s">
        <v>260</v>
      </c>
      <c r="C6535" t="s">
        <v>261</v>
      </c>
      <c r="D6535" t="str">
        <f>HYPERLINK("http://service.sap.com/sap/support/notes/1677481","1677481")</f>
        <v>1677481</v>
      </c>
      <c r="E6535">
        <v>2</v>
      </c>
      <c r="F6535" t="s">
        <v>262</v>
      </c>
    </row>
    <row r="6536" spans="1:6" x14ac:dyDescent="0.25">
      <c r="A6536" t="s">
        <v>7749</v>
      </c>
      <c r="B6536" t="s">
        <v>260</v>
      </c>
      <c r="C6536" t="s">
        <v>261</v>
      </c>
      <c r="D6536" t="str">
        <f>HYPERLINK("http://service.sap.com/sap/support/notes/1692725","1692725")</f>
        <v>1692725</v>
      </c>
      <c r="E6536">
        <v>1</v>
      </c>
      <c r="F6536" t="s">
        <v>7965</v>
      </c>
    </row>
    <row r="6537" spans="1:6" x14ac:dyDescent="0.25">
      <c r="A6537" t="s">
        <v>7749</v>
      </c>
      <c r="B6537" t="s">
        <v>2017</v>
      </c>
      <c r="C6537" t="s">
        <v>2018</v>
      </c>
      <c r="D6537" t="str">
        <f>HYPERLINK("http://service.sap.com/sap/support/notes/1695802","1695802")</f>
        <v>1695802</v>
      </c>
      <c r="E6537">
        <v>2</v>
      </c>
      <c r="F6537" t="s">
        <v>7966</v>
      </c>
    </row>
    <row r="6538" spans="1:6" x14ac:dyDescent="0.25">
      <c r="A6538" t="s">
        <v>7749</v>
      </c>
      <c r="B6538" t="s">
        <v>2017</v>
      </c>
      <c r="C6538" t="s">
        <v>2018</v>
      </c>
      <c r="D6538" t="str">
        <f>HYPERLINK("http://service.sap.com/sap/support/notes/1701353","1701353")</f>
        <v>1701353</v>
      </c>
      <c r="E6538">
        <v>1</v>
      </c>
      <c r="F6538" t="s">
        <v>7967</v>
      </c>
    </row>
    <row r="6539" spans="1:6" x14ac:dyDescent="0.25">
      <c r="A6539" t="s">
        <v>7749</v>
      </c>
      <c r="B6539" t="s">
        <v>2017</v>
      </c>
      <c r="C6539" t="s">
        <v>2018</v>
      </c>
      <c r="D6539" t="str">
        <f>HYPERLINK("http://service.sap.com/sap/support/notes/1708007","1708007")</f>
        <v>1708007</v>
      </c>
      <c r="E6539">
        <v>2</v>
      </c>
      <c r="F6539" t="s">
        <v>7968</v>
      </c>
    </row>
    <row r="6540" spans="1:6" x14ac:dyDescent="0.25">
      <c r="A6540" t="s">
        <v>7749</v>
      </c>
      <c r="B6540" t="s">
        <v>2017</v>
      </c>
      <c r="C6540" t="s">
        <v>2018</v>
      </c>
      <c r="D6540" t="str">
        <f>HYPERLINK("http://service.sap.com/sap/support/notes/1712505","1712505")</f>
        <v>1712505</v>
      </c>
      <c r="E6540">
        <v>1</v>
      </c>
      <c r="F6540" t="s">
        <v>7969</v>
      </c>
    </row>
    <row r="6541" spans="1:6" x14ac:dyDescent="0.25">
      <c r="A6541" t="s">
        <v>7749</v>
      </c>
      <c r="B6541" t="s">
        <v>2017</v>
      </c>
      <c r="C6541" t="s">
        <v>2018</v>
      </c>
      <c r="D6541" t="str">
        <f>HYPERLINK("http://service.sap.com/sap/support/notes/1714499","1714499")</f>
        <v>1714499</v>
      </c>
      <c r="E6541">
        <v>1</v>
      </c>
      <c r="F6541" t="s">
        <v>7970</v>
      </c>
    </row>
    <row r="6542" spans="1:6" x14ac:dyDescent="0.25">
      <c r="A6542" t="s">
        <v>7749</v>
      </c>
      <c r="B6542" t="s">
        <v>2017</v>
      </c>
      <c r="C6542" t="s">
        <v>2018</v>
      </c>
      <c r="D6542" t="str">
        <f>HYPERLINK("http://service.sap.com/sap/support/notes/1720666","1720666")</f>
        <v>1720666</v>
      </c>
      <c r="E6542">
        <v>2</v>
      </c>
      <c r="F6542" t="s">
        <v>7971</v>
      </c>
    </row>
    <row r="6543" spans="1:6" x14ac:dyDescent="0.25">
      <c r="A6543" t="s">
        <v>7749</v>
      </c>
      <c r="B6543" t="s">
        <v>266</v>
      </c>
      <c r="C6543" t="s">
        <v>267</v>
      </c>
      <c r="D6543" t="str">
        <f>HYPERLINK("http://service.sap.com/sap/support/notes/1444673","1444673")</f>
        <v>1444673</v>
      </c>
      <c r="E6543">
        <v>3</v>
      </c>
      <c r="F6543" t="s">
        <v>7972</v>
      </c>
    </row>
    <row r="6544" spans="1:6" x14ac:dyDescent="0.25">
      <c r="A6544" t="s">
        <v>7749</v>
      </c>
      <c r="B6544" t="s">
        <v>266</v>
      </c>
      <c r="C6544" t="s">
        <v>267</v>
      </c>
      <c r="D6544" t="str">
        <f>HYPERLINK("http://service.sap.com/sap/support/notes/1502848","1502848")</f>
        <v>1502848</v>
      </c>
      <c r="E6544">
        <v>6</v>
      </c>
      <c r="F6544" t="s">
        <v>7973</v>
      </c>
    </row>
    <row r="6545" spans="1:6" x14ac:dyDescent="0.25">
      <c r="A6545" t="s">
        <v>7749</v>
      </c>
      <c r="B6545" t="s">
        <v>266</v>
      </c>
      <c r="C6545" t="s">
        <v>267</v>
      </c>
      <c r="D6545" t="str">
        <f>HYPERLINK("http://service.sap.com/sap/support/notes/1677510","1677510")</f>
        <v>1677510</v>
      </c>
      <c r="E6545">
        <v>2</v>
      </c>
      <c r="F6545" t="s">
        <v>7974</v>
      </c>
    </row>
    <row r="6546" spans="1:6" x14ac:dyDescent="0.25">
      <c r="A6546" t="s">
        <v>7749</v>
      </c>
      <c r="B6546" t="s">
        <v>266</v>
      </c>
      <c r="C6546" t="s">
        <v>267</v>
      </c>
      <c r="D6546" t="str">
        <f>HYPERLINK("http://service.sap.com/sap/support/notes/1693769","1693769")</f>
        <v>1693769</v>
      </c>
      <c r="E6546">
        <v>1</v>
      </c>
      <c r="F6546" t="s">
        <v>7975</v>
      </c>
    </row>
    <row r="6547" spans="1:6" x14ac:dyDescent="0.25">
      <c r="A6547" t="s">
        <v>7749</v>
      </c>
      <c r="B6547" t="s">
        <v>272</v>
      </c>
      <c r="C6547" t="s">
        <v>273</v>
      </c>
      <c r="D6547" t="str">
        <f>HYPERLINK("http://service.sap.com/sap/support/notes/1672229","1672229")</f>
        <v>1672229</v>
      </c>
      <c r="E6547">
        <v>2</v>
      </c>
      <c r="F6547" t="s">
        <v>7976</v>
      </c>
    </row>
    <row r="6548" spans="1:6" x14ac:dyDescent="0.25">
      <c r="A6548" t="s">
        <v>7749</v>
      </c>
      <c r="B6548" t="s">
        <v>272</v>
      </c>
      <c r="C6548" t="s">
        <v>273</v>
      </c>
      <c r="D6548" t="str">
        <f>HYPERLINK("http://service.sap.com/sap/support/notes/1688231","1688231")</f>
        <v>1688231</v>
      </c>
      <c r="E6548">
        <v>2</v>
      </c>
      <c r="F6548" t="s">
        <v>7977</v>
      </c>
    </row>
    <row r="6549" spans="1:6" x14ac:dyDescent="0.25">
      <c r="A6549" t="s">
        <v>7749</v>
      </c>
      <c r="B6549" t="s">
        <v>272</v>
      </c>
      <c r="C6549" t="s">
        <v>273</v>
      </c>
      <c r="D6549" t="str">
        <f>HYPERLINK("http://service.sap.com/sap/support/notes/1699154","1699154")</f>
        <v>1699154</v>
      </c>
      <c r="E6549">
        <v>1</v>
      </c>
      <c r="F6549" t="s">
        <v>7978</v>
      </c>
    </row>
    <row r="6550" spans="1:6" x14ac:dyDescent="0.25">
      <c r="A6550" t="s">
        <v>7749</v>
      </c>
      <c r="B6550" t="s">
        <v>272</v>
      </c>
      <c r="C6550" t="s">
        <v>273</v>
      </c>
      <c r="D6550" t="str">
        <f>HYPERLINK("http://service.sap.com/sap/support/notes/1708001","1708001")</f>
        <v>1708001</v>
      </c>
      <c r="E6550">
        <v>1</v>
      </c>
      <c r="F6550" t="s">
        <v>7979</v>
      </c>
    </row>
    <row r="6551" spans="1:6" x14ac:dyDescent="0.25">
      <c r="A6551" t="s">
        <v>7749</v>
      </c>
      <c r="B6551" t="s">
        <v>2063</v>
      </c>
      <c r="C6551" t="s">
        <v>2064</v>
      </c>
      <c r="D6551" t="str">
        <f>HYPERLINK("http://service.sap.com/sap/support/notes/1692682","1692682")</f>
        <v>1692682</v>
      </c>
      <c r="E6551">
        <v>1</v>
      </c>
      <c r="F6551" t="s">
        <v>7980</v>
      </c>
    </row>
    <row r="6552" spans="1:6" x14ac:dyDescent="0.25">
      <c r="A6552" t="s">
        <v>7749</v>
      </c>
      <c r="B6552" t="s">
        <v>276</v>
      </c>
      <c r="C6552" t="s">
        <v>277</v>
      </c>
      <c r="D6552" t="str">
        <f>HYPERLINK("http://service.sap.com/sap/support/notes/1693198","1693198")</f>
        <v>1693198</v>
      </c>
      <c r="E6552">
        <v>1</v>
      </c>
      <c r="F6552" t="s">
        <v>7981</v>
      </c>
    </row>
    <row r="6553" spans="1:6" x14ac:dyDescent="0.25">
      <c r="A6553" t="s">
        <v>7749</v>
      </c>
      <c r="B6553" t="s">
        <v>276</v>
      </c>
      <c r="C6553" t="s">
        <v>277</v>
      </c>
      <c r="D6553" t="str">
        <f>HYPERLINK("http://service.sap.com/sap/support/notes/1693530","1693530")</f>
        <v>1693530</v>
      </c>
      <c r="E6553">
        <v>1</v>
      </c>
      <c r="F6553" t="s">
        <v>7982</v>
      </c>
    </row>
    <row r="6554" spans="1:6" x14ac:dyDescent="0.25">
      <c r="A6554" t="s">
        <v>7749</v>
      </c>
      <c r="B6554" t="s">
        <v>276</v>
      </c>
      <c r="C6554" t="s">
        <v>277</v>
      </c>
      <c r="D6554" t="str">
        <f>HYPERLINK("http://service.sap.com/sap/support/notes/1696984","1696984")</f>
        <v>1696984</v>
      </c>
      <c r="E6554">
        <v>1</v>
      </c>
      <c r="F6554" t="s">
        <v>7983</v>
      </c>
    </row>
    <row r="6555" spans="1:6" x14ac:dyDescent="0.25">
      <c r="A6555" t="s">
        <v>7749</v>
      </c>
      <c r="B6555" t="s">
        <v>276</v>
      </c>
      <c r="C6555" t="s">
        <v>277</v>
      </c>
      <c r="D6555" t="str">
        <f>HYPERLINK("http://service.sap.com/sap/support/notes/1699084","1699084")</f>
        <v>1699084</v>
      </c>
      <c r="E6555">
        <v>1</v>
      </c>
      <c r="F6555" t="s">
        <v>7984</v>
      </c>
    </row>
    <row r="6556" spans="1:6" x14ac:dyDescent="0.25">
      <c r="A6556" t="s">
        <v>7749</v>
      </c>
      <c r="B6556" t="s">
        <v>276</v>
      </c>
      <c r="C6556" t="s">
        <v>277</v>
      </c>
      <c r="D6556" t="str">
        <f>HYPERLINK("http://service.sap.com/sap/support/notes/1704266","1704266")</f>
        <v>1704266</v>
      </c>
      <c r="E6556">
        <v>1</v>
      </c>
      <c r="F6556" t="s">
        <v>7985</v>
      </c>
    </row>
    <row r="6557" spans="1:6" x14ac:dyDescent="0.25">
      <c r="A6557" t="s">
        <v>7749</v>
      </c>
      <c r="B6557" t="s">
        <v>276</v>
      </c>
      <c r="C6557" t="s">
        <v>277</v>
      </c>
      <c r="D6557" t="str">
        <f>HYPERLINK("http://service.sap.com/sap/support/notes/1708192","1708192")</f>
        <v>1708192</v>
      </c>
      <c r="E6557">
        <v>1</v>
      </c>
      <c r="F6557" t="s">
        <v>7986</v>
      </c>
    </row>
    <row r="6558" spans="1:6" x14ac:dyDescent="0.25">
      <c r="A6558" t="s">
        <v>7749</v>
      </c>
      <c r="B6558" t="s">
        <v>276</v>
      </c>
      <c r="C6558" t="s">
        <v>277</v>
      </c>
      <c r="D6558" t="str">
        <f>HYPERLINK("http://service.sap.com/sap/support/notes/1709268","1709268")</f>
        <v>1709268</v>
      </c>
      <c r="E6558">
        <v>1</v>
      </c>
      <c r="F6558" t="s">
        <v>7987</v>
      </c>
    </row>
    <row r="6559" spans="1:6" x14ac:dyDescent="0.25">
      <c r="A6559" t="s">
        <v>7749</v>
      </c>
      <c r="B6559" t="s">
        <v>6290</v>
      </c>
      <c r="C6559" t="s">
        <v>6291</v>
      </c>
      <c r="D6559" t="str">
        <f>HYPERLINK("http://service.sap.com/sap/support/notes/1679610","1679610")</f>
        <v>1679610</v>
      </c>
      <c r="E6559">
        <v>1</v>
      </c>
      <c r="F6559" t="s">
        <v>7988</v>
      </c>
    </row>
    <row r="6560" spans="1:6" x14ac:dyDescent="0.25">
      <c r="A6560" t="s">
        <v>7749</v>
      </c>
      <c r="B6560" t="s">
        <v>2071</v>
      </c>
      <c r="C6560" t="s">
        <v>2072</v>
      </c>
      <c r="D6560" t="str">
        <f>HYPERLINK("http://service.sap.com/sap/support/notes/1676886","1676886")</f>
        <v>1676886</v>
      </c>
      <c r="E6560">
        <v>1</v>
      </c>
      <c r="F6560" t="s">
        <v>7989</v>
      </c>
    </row>
    <row r="6561" spans="1:6" x14ac:dyDescent="0.25">
      <c r="A6561" t="s">
        <v>7749</v>
      </c>
      <c r="B6561" t="s">
        <v>2071</v>
      </c>
      <c r="C6561" t="s">
        <v>2072</v>
      </c>
      <c r="D6561" t="str">
        <f>HYPERLINK("http://service.sap.com/sap/support/notes/1684777","1684777")</f>
        <v>1684777</v>
      </c>
      <c r="E6561">
        <v>1</v>
      </c>
      <c r="F6561" t="s">
        <v>7990</v>
      </c>
    </row>
    <row r="6562" spans="1:6" x14ac:dyDescent="0.25">
      <c r="A6562" t="s">
        <v>7749</v>
      </c>
      <c r="B6562" t="s">
        <v>2071</v>
      </c>
      <c r="C6562" t="s">
        <v>2072</v>
      </c>
      <c r="D6562" t="str">
        <f>HYPERLINK("http://service.sap.com/sap/support/notes/1701845","1701845")</f>
        <v>1701845</v>
      </c>
      <c r="E6562">
        <v>2</v>
      </c>
      <c r="F6562" t="s">
        <v>7991</v>
      </c>
    </row>
    <row r="6563" spans="1:6" x14ac:dyDescent="0.25">
      <c r="A6563" t="s">
        <v>7749</v>
      </c>
      <c r="B6563" t="s">
        <v>2071</v>
      </c>
      <c r="C6563" t="s">
        <v>2072</v>
      </c>
      <c r="D6563" t="str">
        <f>HYPERLINK("http://service.sap.com/sap/support/notes/1719185","1719185")</f>
        <v>1719185</v>
      </c>
      <c r="E6563">
        <v>1</v>
      </c>
      <c r="F6563" t="s">
        <v>7992</v>
      </c>
    </row>
    <row r="6564" spans="1:6" x14ac:dyDescent="0.25">
      <c r="A6564" t="s">
        <v>7749</v>
      </c>
      <c r="B6564" t="s">
        <v>280</v>
      </c>
      <c r="C6564" t="s">
        <v>281</v>
      </c>
    </row>
    <row r="6565" spans="1:6" x14ac:dyDescent="0.25">
      <c r="A6565" t="s">
        <v>7749</v>
      </c>
      <c r="B6565" t="s">
        <v>2091</v>
      </c>
      <c r="C6565" t="s">
        <v>337</v>
      </c>
    </row>
    <row r="6566" spans="1:6" x14ac:dyDescent="0.25">
      <c r="A6566" t="s">
        <v>7749</v>
      </c>
      <c r="B6566" t="s">
        <v>2092</v>
      </c>
      <c r="C6566" t="s">
        <v>2093</v>
      </c>
      <c r="D6566" t="str">
        <f>HYPERLINK("http://service.sap.com/sap/support/notes/1713506","1713506")</f>
        <v>1713506</v>
      </c>
      <c r="E6566">
        <v>2</v>
      </c>
      <c r="F6566" t="s">
        <v>7993</v>
      </c>
    </row>
    <row r="6567" spans="1:6" x14ac:dyDescent="0.25">
      <c r="A6567" t="s">
        <v>7749</v>
      </c>
      <c r="B6567" t="s">
        <v>2095</v>
      </c>
      <c r="C6567" t="s">
        <v>2096</v>
      </c>
    </row>
    <row r="6568" spans="1:6" x14ac:dyDescent="0.25">
      <c r="A6568" t="s">
        <v>7749</v>
      </c>
      <c r="B6568" t="s">
        <v>2097</v>
      </c>
      <c r="C6568" t="s">
        <v>2098</v>
      </c>
    </row>
    <row r="6569" spans="1:6" x14ac:dyDescent="0.25">
      <c r="A6569" t="s">
        <v>7749</v>
      </c>
      <c r="B6569" t="s">
        <v>2107</v>
      </c>
      <c r="C6569" t="s">
        <v>2108</v>
      </c>
      <c r="D6569" t="str">
        <f>HYPERLINK("http://service.sap.com/sap/support/notes/1639331","1639331")</f>
        <v>1639331</v>
      </c>
      <c r="E6569">
        <v>2</v>
      </c>
      <c r="F6569" t="s">
        <v>7994</v>
      </c>
    </row>
    <row r="6570" spans="1:6" x14ac:dyDescent="0.25">
      <c r="A6570" t="s">
        <v>7749</v>
      </c>
      <c r="B6570" t="s">
        <v>2107</v>
      </c>
      <c r="C6570" t="s">
        <v>2108</v>
      </c>
      <c r="D6570" t="str">
        <f>HYPERLINK("http://service.sap.com/sap/support/notes/1655816","1655816")</f>
        <v>1655816</v>
      </c>
      <c r="E6570">
        <v>2</v>
      </c>
      <c r="F6570" t="s">
        <v>7995</v>
      </c>
    </row>
    <row r="6571" spans="1:6" x14ac:dyDescent="0.25">
      <c r="A6571" t="s">
        <v>7749</v>
      </c>
      <c r="B6571" t="s">
        <v>2107</v>
      </c>
      <c r="C6571" t="s">
        <v>2108</v>
      </c>
      <c r="D6571" t="str">
        <f>HYPERLINK("http://service.sap.com/sap/support/notes/1700233","1700233")</f>
        <v>1700233</v>
      </c>
      <c r="E6571">
        <v>4</v>
      </c>
      <c r="F6571" t="s">
        <v>7996</v>
      </c>
    </row>
    <row r="6572" spans="1:6" x14ac:dyDescent="0.25">
      <c r="A6572" t="s">
        <v>7749</v>
      </c>
      <c r="B6572" t="s">
        <v>6304</v>
      </c>
      <c r="C6572" t="s">
        <v>6305</v>
      </c>
      <c r="D6572" t="str">
        <f>HYPERLINK("http://service.sap.com/sap/support/notes/1715154","1715154")</f>
        <v>1715154</v>
      </c>
      <c r="E6572">
        <v>1</v>
      </c>
      <c r="F6572" t="s">
        <v>7997</v>
      </c>
    </row>
    <row r="6573" spans="1:6" x14ac:dyDescent="0.25">
      <c r="A6573" t="s">
        <v>7749</v>
      </c>
      <c r="B6573" t="s">
        <v>7998</v>
      </c>
      <c r="C6573" t="s">
        <v>1134</v>
      </c>
    </row>
    <row r="6574" spans="1:6" x14ac:dyDescent="0.25">
      <c r="A6574" t="s">
        <v>7749</v>
      </c>
      <c r="B6574" t="s">
        <v>7999</v>
      </c>
      <c r="C6574" t="s">
        <v>8000</v>
      </c>
      <c r="D6574" t="str">
        <f>HYPERLINK("http://service.sap.com/sap/support/notes/1710582","1710582")</f>
        <v>1710582</v>
      </c>
      <c r="E6574">
        <v>1</v>
      </c>
      <c r="F6574" t="s">
        <v>8001</v>
      </c>
    </row>
    <row r="6575" spans="1:6" x14ac:dyDescent="0.25">
      <c r="A6575" t="s">
        <v>7749</v>
      </c>
      <c r="B6575" t="s">
        <v>7999</v>
      </c>
      <c r="C6575" t="s">
        <v>8000</v>
      </c>
      <c r="D6575" t="str">
        <f>HYPERLINK("http://service.sap.com/sap/support/notes/1717559","1717559")</f>
        <v>1717559</v>
      </c>
      <c r="E6575">
        <v>4</v>
      </c>
      <c r="F6575" t="s">
        <v>8002</v>
      </c>
    </row>
    <row r="6576" spans="1:6" x14ac:dyDescent="0.25">
      <c r="A6576" t="s">
        <v>7749</v>
      </c>
      <c r="B6576" t="s">
        <v>2125</v>
      </c>
      <c r="C6576" t="s">
        <v>2126</v>
      </c>
    </row>
    <row r="6577" spans="1:6" x14ac:dyDescent="0.25">
      <c r="A6577" t="s">
        <v>7749</v>
      </c>
      <c r="B6577" t="s">
        <v>8003</v>
      </c>
      <c r="C6577" t="s">
        <v>8004</v>
      </c>
      <c r="D6577" t="str">
        <f>HYPERLINK("http://service.sap.com/sap/support/notes/1697723","1697723")</f>
        <v>1697723</v>
      </c>
      <c r="E6577">
        <v>2</v>
      </c>
      <c r="F6577" t="s">
        <v>8005</v>
      </c>
    </row>
    <row r="6578" spans="1:6" x14ac:dyDescent="0.25">
      <c r="A6578" t="s">
        <v>7749</v>
      </c>
      <c r="B6578" t="s">
        <v>2127</v>
      </c>
      <c r="C6578" t="s">
        <v>2128</v>
      </c>
      <c r="D6578" t="str">
        <f>HYPERLINK("http://service.sap.com/sap/support/notes/1687653","1687653")</f>
        <v>1687653</v>
      </c>
      <c r="E6578">
        <v>2</v>
      </c>
      <c r="F6578" t="s">
        <v>6309</v>
      </c>
    </row>
    <row r="6579" spans="1:6" x14ac:dyDescent="0.25">
      <c r="A6579" t="s">
        <v>7749</v>
      </c>
      <c r="B6579" t="s">
        <v>2137</v>
      </c>
      <c r="C6579" t="s">
        <v>2138</v>
      </c>
    </row>
    <row r="6580" spans="1:6" x14ac:dyDescent="0.25">
      <c r="A6580" t="s">
        <v>7749</v>
      </c>
      <c r="B6580" t="s">
        <v>8006</v>
      </c>
      <c r="C6580" t="s">
        <v>8007</v>
      </c>
      <c r="D6580" t="str">
        <f>HYPERLINK("http://service.sap.com/sap/support/notes/1600475","1600475")</f>
        <v>1600475</v>
      </c>
      <c r="E6580">
        <v>1</v>
      </c>
      <c r="F6580" t="s">
        <v>8008</v>
      </c>
    </row>
    <row r="6581" spans="1:6" x14ac:dyDescent="0.25">
      <c r="A6581" t="s">
        <v>7749</v>
      </c>
      <c r="B6581" t="s">
        <v>8009</v>
      </c>
      <c r="C6581" t="s">
        <v>8010</v>
      </c>
      <c r="D6581" t="str">
        <f>HYPERLINK("http://service.sap.com/sap/support/notes/1705087","1705087")</f>
        <v>1705087</v>
      </c>
      <c r="E6581">
        <v>1</v>
      </c>
      <c r="F6581" t="s">
        <v>8011</v>
      </c>
    </row>
    <row r="6582" spans="1:6" x14ac:dyDescent="0.25">
      <c r="A6582" t="s">
        <v>7749</v>
      </c>
      <c r="B6582" t="s">
        <v>6312</v>
      </c>
      <c r="C6582" t="s">
        <v>8012</v>
      </c>
      <c r="D6582" t="str">
        <f>HYPERLINK("http://service.sap.com/sap/support/notes/1704261","1704261")</f>
        <v>1704261</v>
      </c>
      <c r="E6582">
        <v>1</v>
      </c>
      <c r="F6582" t="s">
        <v>8013</v>
      </c>
    </row>
    <row r="6583" spans="1:6" x14ac:dyDescent="0.25">
      <c r="A6583" t="s">
        <v>7749</v>
      </c>
      <c r="B6583" t="s">
        <v>8014</v>
      </c>
      <c r="C6583" t="s">
        <v>8015</v>
      </c>
      <c r="D6583" t="str">
        <f>HYPERLINK("http://service.sap.com/sap/support/notes/1697974","1697974")</f>
        <v>1697974</v>
      </c>
      <c r="E6583">
        <v>2</v>
      </c>
      <c r="F6583" t="s">
        <v>8016</v>
      </c>
    </row>
    <row r="6584" spans="1:6" x14ac:dyDescent="0.25">
      <c r="A6584" t="s">
        <v>7749</v>
      </c>
      <c r="B6584" t="s">
        <v>282</v>
      </c>
      <c r="C6584" t="s">
        <v>14</v>
      </c>
    </row>
    <row r="6585" spans="1:6" x14ac:dyDescent="0.25">
      <c r="A6585" t="s">
        <v>7749</v>
      </c>
      <c r="B6585" t="s">
        <v>283</v>
      </c>
      <c r="C6585" t="s">
        <v>284</v>
      </c>
    </row>
    <row r="6586" spans="1:6" x14ac:dyDescent="0.25">
      <c r="A6586" t="s">
        <v>7749</v>
      </c>
      <c r="B6586" t="s">
        <v>285</v>
      </c>
      <c r="C6586" t="s">
        <v>286</v>
      </c>
      <c r="D6586" t="str">
        <f>HYPERLINK("http://service.sap.com/sap/support/notes/1501605","1501605")</f>
        <v>1501605</v>
      </c>
      <c r="E6586">
        <v>2</v>
      </c>
      <c r="F6586" t="s">
        <v>8017</v>
      </c>
    </row>
    <row r="6587" spans="1:6" x14ac:dyDescent="0.25">
      <c r="A6587" t="s">
        <v>7749</v>
      </c>
      <c r="B6587" t="s">
        <v>285</v>
      </c>
      <c r="C6587" t="s">
        <v>286</v>
      </c>
      <c r="D6587" t="str">
        <f>HYPERLINK("http://service.sap.com/sap/support/notes/1611078","1611078")</f>
        <v>1611078</v>
      </c>
      <c r="E6587">
        <v>2</v>
      </c>
      <c r="F6587" t="s">
        <v>8018</v>
      </c>
    </row>
    <row r="6588" spans="1:6" x14ac:dyDescent="0.25">
      <c r="A6588" t="s">
        <v>7749</v>
      </c>
      <c r="B6588" t="s">
        <v>285</v>
      </c>
      <c r="C6588" t="s">
        <v>286</v>
      </c>
      <c r="D6588" t="str">
        <f>HYPERLINK("http://service.sap.com/sap/support/notes/1632952","1632952")</f>
        <v>1632952</v>
      </c>
      <c r="E6588">
        <v>2</v>
      </c>
      <c r="F6588" t="s">
        <v>8019</v>
      </c>
    </row>
    <row r="6589" spans="1:6" x14ac:dyDescent="0.25">
      <c r="A6589" t="s">
        <v>7749</v>
      </c>
      <c r="B6589" t="s">
        <v>285</v>
      </c>
      <c r="C6589" t="s">
        <v>286</v>
      </c>
      <c r="D6589" t="str">
        <f>HYPERLINK("http://service.sap.com/sap/support/notes/1659257","1659257")</f>
        <v>1659257</v>
      </c>
      <c r="E6589">
        <v>4</v>
      </c>
      <c r="F6589" t="s">
        <v>8020</v>
      </c>
    </row>
    <row r="6590" spans="1:6" x14ac:dyDescent="0.25">
      <c r="A6590" t="s">
        <v>7749</v>
      </c>
      <c r="B6590" t="s">
        <v>285</v>
      </c>
      <c r="C6590" t="s">
        <v>286</v>
      </c>
      <c r="D6590" t="str">
        <f>HYPERLINK("http://service.sap.com/sap/support/notes/1666196","1666196")</f>
        <v>1666196</v>
      </c>
      <c r="E6590">
        <v>2</v>
      </c>
      <c r="F6590" t="s">
        <v>8021</v>
      </c>
    </row>
    <row r="6591" spans="1:6" x14ac:dyDescent="0.25">
      <c r="A6591" t="s">
        <v>7749</v>
      </c>
      <c r="B6591" t="s">
        <v>8022</v>
      </c>
      <c r="C6591" t="s">
        <v>8023</v>
      </c>
      <c r="D6591" t="str">
        <f>HYPERLINK("http://service.sap.com/sap/support/notes/1668146","1668146")</f>
        <v>1668146</v>
      </c>
      <c r="E6591">
        <v>6</v>
      </c>
      <c r="F6591" t="s">
        <v>8024</v>
      </c>
    </row>
    <row r="6592" spans="1:6" x14ac:dyDescent="0.25">
      <c r="A6592" t="s">
        <v>7749</v>
      </c>
      <c r="B6592" t="s">
        <v>2148</v>
      </c>
      <c r="C6592" t="s">
        <v>2149</v>
      </c>
    </row>
    <row r="6593" spans="1:6" x14ac:dyDescent="0.25">
      <c r="A6593" t="s">
        <v>7749</v>
      </c>
      <c r="B6593" t="s">
        <v>2150</v>
      </c>
      <c r="C6593" t="s">
        <v>2151</v>
      </c>
    </row>
    <row r="6594" spans="1:6" x14ac:dyDescent="0.25">
      <c r="A6594" t="s">
        <v>7749</v>
      </c>
      <c r="B6594" t="s">
        <v>8025</v>
      </c>
      <c r="C6594" t="s">
        <v>8026</v>
      </c>
      <c r="D6594" t="str">
        <f>HYPERLINK("http://service.sap.com/sap/support/notes/1686603","1686603")</f>
        <v>1686603</v>
      </c>
      <c r="E6594">
        <v>3</v>
      </c>
      <c r="F6594" t="s">
        <v>8027</v>
      </c>
    </row>
    <row r="6595" spans="1:6" x14ac:dyDescent="0.25">
      <c r="A6595" t="s">
        <v>7749</v>
      </c>
      <c r="B6595" t="s">
        <v>2155</v>
      </c>
      <c r="C6595" t="s">
        <v>2156</v>
      </c>
    </row>
    <row r="6596" spans="1:6" x14ac:dyDescent="0.25">
      <c r="A6596" t="s">
        <v>7749</v>
      </c>
      <c r="B6596" t="s">
        <v>2161</v>
      </c>
      <c r="C6596" t="s">
        <v>2162</v>
      </c>
    </row>
    <row r="6597" spans="1:6" x14ac:dyDescent="0.25">
      <c r="A6597" t="s">
        <v>7749</v>
      </c>
      <c r="B6597" t="s">
        <v>2163</v>
      </c>
      <c r="C6597" t="s">
        <v>2162</v>
      </c>
      <c r="D6597" t="str">
        <f>HYPERLINK("http://service.sap.com/sap/support/notes/1693900","1693900")</f>
        <v>1693900</v>
      </c>
      <c r="E6597">
        <v>3</v>
      </c>
      <c r="F6597" t="s">
        <v>8028</v>
      </c>
    </row>
    <row r="6598" spans="1:6" x14ac:dyDescent="0.25">
      <c r="A6598" t="s">
        <v>7749</v>
      </c>
      <c r="B6598" t="s">
        <v>2176</v>
      </c>
      <c r="C6598" t="s">
        <v>2177</v>
      </c>
      <c r="D6598" t="str">
        <f>HYPERLINK("http://service.sap.com/sap/support/notes/1697788","1697788")</f>
        <v>1697788</v>
      </c>
      <c r="E6598">
        <v>2</v>
      </c>
      <c r="F6598" t="s">
        <v>8029</v>
      </c>
    </row>
    <row r="6599" spans="1:6" x14ac:dyDescent="0.25">
      <c r="A6599" t="s">
        <v>7749</v>
      </c>
      <c r="B6599" t="s">
        <v>2176</v>
      </c>
      <c r="C6599" t="s">
        <v>2177</v>
      </c>
      <c r="D6599" t="str">
        <f>HYPERLINK("http://service.sap.com/sap/support/notes/1707436","1707436")</f>
        <v>1707436</v>
      </c>
      <c r="E6599">
        <v>2</v>
      </c>
      <c r="F6599" t="s">
        <v>8030</v>
      </c>
    </row>
    <row r="6600" spans="1:6" x14ac:dyDescent="0.25">
      <c r="A6600" t="s">
        <v>7749</v>
      </c>
      <c r="B6600" t="s">
        <v>293</v>
      </c>
      <c r="C6600" t="s">
        <v>294</v>
      </c>
    </row>
    <row r="6601" spans="1:6" x14ac:dyDescent="0.25">
      <c r="A6601" t="s">
        <v>7749</v>
      </c>
      <c r="B6601" t="s">
        <v>295</v>
      </c>
      <c r="C6601" t="s">
        <v>296</v>
      </c>
    </row>
    <row r="6602" spans="1:6" x14ac:dyDescent="0.25">
      <c r="A6602" t="s">
        <v>7749</v>
      </c>
      <c r="B6602" t="s">
        <v>297</v>
      </c>
      <c r="C6602" t="s">
        <v>298</v>
      </c>
    </row>
    <row r="6603" spans="1:6" x14ac:dyDescent="0.25">
      <c r="A6603" t="s">
        <v>7749</v>
      </c>
      <c r="B6603" t="s">
        <v>302</v>
      </c>
      <c r="C6603" t="s">
        <v>303</v>
      </c>
      <c r="D6603" t="str">
        <f>HYPERLINK("http://service.sap.com/sap/support/notes/1714002","1714002")</f>
        <v>1714002</v>
      </c>
      <c r="E6603">
        <v>1</v>
      </c>
      <c r="F6603" t="s">
        <v>8031</v>
      </c>
    </row>
    <row r="6604" spans="1:6" x14ac:dyDescent="0.25">
      <c r="A6604" t="s">
        <v>7749</v>
      </c>
      <c r="B6604" t="s">
        <v>2200</v>
      </c>
      <c r="C6604" t="s">
        <v>2201</v>
      </c>
      <c r="D6604" t="str">
        <f>HYPERLINK("http://service.sap.com/sap/support/notes/1699674","1699674")</f>
        <v>1699674</v>
      </c>
      <c r="E6604">
        <v>1</v>
      </c>
      <c r="F6604" t="s">
        <v>8032</v>
      </c>
    </row>
    <row r="6605" spans="1:6" x14ac:dyDescent="0.25">
      <c r="A6605" t="s">
        <v>7749</v>
      </c>
      <c r="B6605" t="s">
        <v>2200</v>
      </c>
      <c r="C6605" t="s">
        <v>2201</v>
      </c>
      <c r="D6605" t="str">
        <f>HYPERLINK("http://service.sap.com/sap/support/notes/1721008","1721008")</f>
        <v>1721008</v>
      </c>
      <c r="E6605">
        <v>1</v>
      </c>
      <c r="F6605" t="s">
        <v>8033</v>
      </c>
    </row>
    <row r="6606" spans="1:6" x14ac:dyDescent="0.25">
      <c r="A6606" t="s">
        <v>7749</v>
      </c>
      <c r="B6606" t="s">
        <v>306</v>
      </c>
      <c r="C6606" t="s">
        <v>307</v>
      </c>
    </row>
    <row r="6607" spans="1:6" x14ac:dyDescent="0.25">
      <c r="A6607" t="s">
        <v>7749</v>
      </c>
      <c r="B6607" t="s">
        <v>308</v>
      </c>
      <c r="C6607" t="s">
        <v>309</v>
      </c>
      <c r="D6607" t="str">
        <f>HYPERLINK("http://service.sap.com/sap/support/notes/1701731","1701731")</f>
        <v>1701731</v>
      </c>
      <c r="E6607">
        <v>1</v>
      </c>
      <c r="F6607" t="s">
        <v>8034</v>
      </c>
    </row>
    <row r="6608" spans="1:6" x14ac:dyDescent="0.25">
      <c r="A6608" t="s">
        <v>7749</v>
      </c>
      <c r="B6608" t="s">
        <v>308</v>
      </c>
      <c r="C6608" t="s">
        <v>309</v>
      </c>
      <c r="D6608" t="str">
        <f>HYPERLINK("http://service.sap.com/sap/support/notes/1709830","1709830")</f>
        <v>1709830</v>
      </c>
      <c r="E6608">
        <v>1</v>
      </c>
      <c r="F6608" t="s">
        <v>8035</v>
      </c>
    </row>
    <row r="6609" spans="1:6" x14ac:dyDescent="0.25">
      <c r="A6609" t="s">
        <v>7749</v>
      </c>
      <c r="B6609" t="s">
        <v>308</v>
      </c>
      <c r="C6609" t="s">
        <v>309</v>
      </c>
      <c r="D6609" t="str">
        <f>HYPERLINK("http://service.sap.com/sap/support/notes/1710405","1710405")</f>
        <v>1710405</v>
      </c>
      <c r="E6609">
        <v>1</v>
      </c>
      <c r="F6609" t="s">
        <v>8036</v>
      </c>
    </row>
    <row r="6610" spans="1:6" x14ac:dyDescent="0.25">
      <c r="A6610" t="s">
        <v>7749</v>
      </c>
      <c r="B6610" t="s">
        <v>308</v>
      </c>
      <c r="C6610" t="s">
        <v>309</v>
      </c>
      <c r="D6610" t="str">
        <f>HYPERLINK("http://service.sap.com/sap/support/notes/1718940","1718940")</f>
        <v>1718940</v>
      </c>
      <c r="E6610">
        <v>1</v>
      </c>
      <c r="F6610" t="s">
        <v>8037</v>
      </c>
    </row>
    <row r="6611" spans="1:6" x14ac:dyDescent="0.25">
      <c r="A6611" t="s">
        <v>7749</v>
      </c>
      <c r="B6611" t="s">
        <v>2220</v>
      </c>
      <c r="C6611" t="s">
        <v>2221</v>
      </c>
    </row>
    <row r="6612" spans="1:6" x14ac:dyDescent="0.25">
      <c r="A6612" t="s">
        <v>7749</v>
      </c>
      <c r="B6612" t="s">
        <v>2222</v>
      </c>
      <c r="C6612" t="s">
        <v>2223</v>
      </c>
      <c r="D6612" t="str">
        <f>HYPERLINK("http://service.sap.com/sap/support/notes/925582","925582")</f>
        <v>925582</v>
      </c>
      <c r="E6612">
        <v>1</v>
      </c>
      <c r="F6612" t="s">
        <v>8038</v>
      </c>
    </row>
    <row r="6613" spans="1:6" x14ac:dyDescent="0.25">
      <c r="A6613" t="s">
        <v>7749</v>
      </c>
      <c r="B6613" t="s">
        <v>2222</v>
      </c>
      <c r="C6613" t="s">
        <v>2223</v>
      </c>
      <c r="D6613" t="str">
        <f>HYPERLINK("http://service.sap.com/sap/support/notes/1693521","1693521")</f>
        <v>1693521</v>
      </c>
      <c r="E6613">
        <v>4</v>
      </c>
      <c r="F6613" t="s">
        <v>8039</v>
      </c>
    </row>
    <row r="6614" spans="1:6" x14ac:dyDescent="0.25">
      <c r="A6614" t="s">
        <v>7749</v>
      </c>
      <c r="B6614" t="s">
        <v>2235</v>
      </c>
      <c r="C6614" t="s">
        <v>14</v>
      </c>
      <c r="D6614" t="str">
        <f>HYPERLINK("http://service.sap.com/sap/support/notes/1697552","1697552")</f>
        <v>1697552</v>
      </c>
      <c r="E6614">
        <v>1</v>
      </c>
      <c r="F6614" t="s">
        <v>8040</v>
      </c>
    </row>
    <row r="6615" spans="1:6" x14ac:dyDescent="0.25">
      <c r="A6615" t="s">
        <v>7749</v>
      </c>
      <c r="B6615" t="s">
        <v>311</v>
      </c>
      <c r="C6615" t="s">
        <v>312</v>
      </c>
    </row>
    <row r="6616" spans="1:6" x14ac:dyDescent="0.25">
      <c r="A6616" t="s">
        <v>7749</v>
      </c>
      <c r="B6616" t="s">
        <v>313</v>
      </c>
      <c r="C6616" t="s">
        <v>314</v>
      </c>
    </row>
    <row r="6617" spans="1:6" x14ac:dyDescent="0.25">
      <c r="A6617" t="s">
        <v>7749</v>
      </c>
      <c r="B6617" t="s">
        <v>2246</v>
      </c>
      <c r="C6617" t="s">
        <v>2247</v>
      </c>
    </row>
    <row r="6618" spans="1:6" x14ac:dyDescent="0.25">
      <c r="A6618" t="s">
        <v>7749</v>
      </c>
      <c r="B6618" t="s">
        <v>2251</v>
      </c>
      <c r="C6618" t="s">
        <v>2252</v>
      </c>
      <c r="D6618" t="str">
        <f>HYPERLINK("http://service.sap.com/sap/support/notes/1680284","1680284")</f>
        <v>1680284</v>
      </c>
      <c r="E6618">
        <v>3</v>
      </c>
      <c r="F6618" t="s">
        <v>8041</v>
      </c>
    </row>
    <row r="6619" spans="1:6" x14ac:dyDescent="0.25">
      <c r="A6619" t="s">
        <v>7749</v>
      </c>
      <c r="B6619" t="s">
        <v>8042</v>
      </c>
      <c r="C6619" t="s">
        <v>8043</v>
      </c>
      <c r="D6619" t="str">
        <f>HYPERLINK("http://service.sap.com/sap/support/notes/1715253","1715253")</f>
        <v>1715253</v>
      </c>
      <c r="E6619">
        <v>1</v>
      </c>
      <c r="F6619" t="s">
        <v>8044</v>
      </c>
    </row>
    <row r="6620" spans="1:6" x14ac:dyDescent="0.25">
      <c r="A6620" t="s">
        <v>7749</v>
      </c>
      <c r="B6620" t="s">
        <v>8042</v>
      </c>
      <c r="C6620" t="s">
        <v>8043</v>
      </c>
      <c r="D6620" t="str">
        <f>HYPERLINK("http://service.sap.com/sap/support/notes/1715255","1715255")</f>
        <v>1715255</v>
      </c>
      <c r="E6620">
        <v>2</v>
      </c>
      <c r="F6620" t="s">
        <v>8045</v>
      </c>
    </row>
    <row r="6621" spans="1:6" x14ac:dyDescent="0.25">
      <c r="A6621" t="s">
        <v>7749</v>
      </c>
      <c r="B6621" t="s">
        <v>315</v>
      </c>
      <c r="C6621" t="s">
        <v>316</v>
      </c>
    </row>
    <row r="6622" spans="1:6" x14ac:dyDescent="0.25">
      <c r="A6622" t="s">
        <v>7749</v>
      </c>
      <c r="B6622" t="s">
        <v>317</v>
      </c>
      <c r="C6622" t="s">
        <v>318</v>
      </c>
      <c r="D6622" t="str">
        <f>HYPERLINK("http://service.sap.com/sap/support/notes/1725982","1725982")</f>
        <v>1725982</v>
      </c>
      <c r="E6622">
        <v>2</v>
      </c>
      <c r="F6622" t="s">
        <v>8046</v>
      </c>
    </row>
    <row r="6623" spans="1:6" x14ac:dyDescent="0.25">
      <c r="A6623" t="s">
        <v>7749</v>
      </c>
      <c r="B6623" t="s">
        <v>324</v>
      </c>
      <c r="C6623" t="s">
        <v>325</v>
      </c>
    </row>
    <row r="6624" spans="1:6" x14ac:dyDescent="0.25">
      <c r="A6624" t="s">
        <v>7749</v>
      </c>
      <c r="B6624" t="s">
        <v>326</v>
      </c>
      <c r="C6624" t="s">
        <v>327</v>
      </c>
      <c r="D6624" t="str">
        <f>HYPERLINK("http://service.sap.com/sap/support/notes/1698278","1698278")</f>
        <v>1698278</v>
      </c>
      <c r="E6624">
        <v>4</v>
      </c>
      <c r="F6624" t="s">
        <v>8047</v>
      </c>
    </row>
    <row r="6625" spans="1:6" x14ac:dyDescent="0.25">
      <c r="A6625" t="s">
        <v>7749</v>
      </c>
      <c r="B6625" t="s">
        <v>326</v>
      </c>
      <c r="C6625" t="s">
        <v>327</v>
      </c>
      <c r="D6625" t="str">
        <f>HYPERLINK("http://service.sap.com/sap/support/notes/1699323","1699323")</f>
        <v>1699323</v>
      </c>
      <c r="E6625">
        <v>2</v>
      </c>
      <c r="F6625" t="s">
        <v>8048</v>
      </c>
    </row>
    <row r="6626" spans="1:6" x14ac:dyDescent="0.25">
      <c r="A6626" t="s">
        <v>7749</v>
      </c>
      <c r="B6626" t="s">
        <v>326</v>
      </c>
      <c r="C6626" t="s">
        <v>327</v>
      </c>
      <c r="D6626" t="str">
        <f>HYPERLINK("http://service.sap.com/sap/support/notes/1701238","1701238")</f>
        <v>1701238</v>
      </c>
      <c r="E6626">
        <v>1</v>
      </c>
      <c r="F6626" t="s">
        <v>8049</v>
      </c>
    </row>
    <row r="6627" spans="1:6" x14ac:dyDescent="0.25">
      <c r="A6627" t="s">
        <v>7749</v>
      </c>
      <c r="B6627" t="s">
        <v>326</v>
      </c>
      <c r="C6627" t="s">
        <v>327</v>
      </c>
      <c r="D6627" t="str">
        <f>HYPERLINK("http://service.sap.com/sap/support/notes/1701482","1701482")</f>
        <v>1701482</v>
      </c>
      <c r="E6627">
        <v>3</v>
      </c>
      <c r="F6627" t="s">
        <v>8050</v>
      </c>
    </row>
    <row r="6628" spans="1:6" x14ac:dyDescent="0.25">
      <c r="A6628" t="s">
        <v>7749</v>
      </c>
      <c r="B6628" t="s">
        <v>326</v>
      </c>
      <c r="C6628" t="s">
        <v>327</v>
      </c>
      <c r="D6628" t="str">
        <f>HYPERLINK("http://service.sap.com/sap/support/notes/1702141","1702141")</f>
        <v>1702141</v>
      </c>
      <c r="E6628">
        <v>1</v>
      </c>
      <c r="F6628" t="s">
        <v>8051</v>
      </c>
    </row>
    <row r="6629" spans="1:6" x14ac:dyDescent="0.25">
      <c r="A6629" t="s">
        <v>7749</v>
      </c>
      <c r="B6629" t="s">
        <v>326</v>
      </c>
      <c r="C6629" t="s">
        <v>327</v>
      </c>
      <c r="D6629" t="str">
        <f>HYPERLINK("http://service.sap.com/sap/support/notes/1702656","1702656")</f>
        <v>1702656</v>
      </c>
      <c r="E6629">
        <v>1</v>
      </c>
      <c r="F6629" t="s">
        <v>8052</v>
      </c>
    </row>
    <row r="6630" spans="1:6" x14ac:dyDescent="0.25">
      <c r="A6630" t="s">
        <v>7749</v>
      </c>
      <c r="B6630" t="s">
        <v>326</v>
      </c>
      <c r="C6630" t="s">
        <v>327</v>
      </c>
      <c r="D6630" t="str">
        <f>HYPERLINK("http://service.sap.com/sap/support/notes/1702664","1702664")</f>
        <v>1702664</v>
      </c>
      <c r="E6630">
        <v>2</v>
      </c>
      <c r="F6630" t="s">
        <v>8053</v>
      </c>
    </row>
    <row r="6631" spans="1:6" x14ac:dyDescent="0.25">
      <c r="A6631" t="s">
        <v>7749</v>
      </c>
      <c r="B6631" t="s">
        <v>326</v>
      </c>
      <c r="C6631" t="s">
        <v>327</v>
      </c>
      <c r="D6631" t="str">
        <f>HYPERLINK("http://service.sap.com/sap/support/notes/1705887","1705887")</f>
        <v>1705887</v>
      </c>
      <c r="E6631">
        <v>1</v>
      </c>
      <c r="F6631" t="s">
        <v>8054</v>
      </c>
    </row>
    <row r="6632" spans="1:6" x14ac:dyDescent="0.25">
      <c r="A6632" t="s">
        <v>7749</v>
      </c>
      <c r="B6632" t="s">
        <v>326</v>
      </c>
      <c r="C6632" t="s">
        <v>327</v>
      </c>
      <c r="D6632" t="str">
        <f>HYPERLINK("http://service.sap.com/sap/support/notes/1705900","1705900")</f>
        <v>1705900</v>
      </c>
      <c r="E6632">
        <v>1</v>
      </c>
      <c r="F6632" t="s">
        <v>8055</v>
      </c>
    </row>
    <row r="6633" spans="1:6" x14ac:dyDescent="0.25">
      <c r="A6633" t="s">
        <v>7749</v>
      </c>
      <c r="B6633" t="s">
        <v>326</v>
      </c>
      <c r="C6633" t="s">
        <v>327</v>
      </c>
      <c r="D6633" t="str">
        <f>HYPERLINK("http://service.sap.com/sap/support/notes/1705973","1705973")</f>
        <v>1705973</v>
      </c>
      <c r="E6633">
        <v>1</v>
      </c>
      <c r="F6633" t="s">
        <v>8056</v>
      </c>
    </row>
    <row r="6634" spans="1:6" x14ac:dyDescent="0.25">
      <c r="A6634" t="s">
        <v>7749</v>
      </c>
      <c r="B6634" t="s">
        <v>326</v>
      </c>
      <c r="C6634" t="s">
        <v>327</v>
      </c>
      <c r="D6634" t="str">
        <f>HYPERLINK("http://service.sap.com/sap/support/notes/1706191","1706191")</f>
        <v>1706191</v>
      </c>
      <c r="E6634">
        <v>2</v>
      </c>
      <c r="F6634" t="s">
        <v>8057</v>
      </c>
    </row>
    <row r="6635" spans="1:6" x14ac:dyDescent="0.25">
      <c r="A6635" t="s">
        <v>7749</v>
      </c>
      <c r="B6635" t="s">
        <v>326</v>
      </c>
      <c r="C6635" t="s">
        <v>327</v>
      </c>
      <c r="D6635" t="str">
        <f>HYPERLINK("http://service.sap.com/sap/support/notes/1706819","1706819")</f>
        <v>1706819</v>
      </c>
      <c r="E6635">
        <v>1</v>
      </c>
      <c r="F6635" t="s">
        <v>8058</v>
      </c>
    </row>
    <row r="6636" spans="1:6" x14ac:dyDescent="0.25">
      <c r="A6636" t="s">
        <v>7749</v>
      </c>
      <c r="B6636" t="s">
        <v>326</v>
      </c>
      <c r="C6636" t="s">
        <v>327</v>
      </c>
      <c r="D6636" t="str">
        <f>HYPERLINK("http://service.sap.com/sap/support/notes/1707769","1707769")</f>
        <v>1707769</v>
      </c>
      <c r="E6636">
        <v>1</v>
      </c>
      <c r="F6636" t="s">
        <v>8059</v>
      </c>
    </row>
    <row r="6637" spans="1:6" x14ac:dyDescent="0.25">
      <c r="A6637" t="s">
        <v>7749</v>
      </c>
      <c r="B6637" t="s">
        <v>326</v>
      </c>
      <c r="C6637" t="s">
        <v>327</v>
      </c>
      <c r="D6637" t="str">
        <f>HYPERLINK("http://service.sap.com/sap/support/notes/1711951","1711951")</f>
        <v>1711951</v>
      </c>
      <c r="E6637">
        <v>1</v>
      </c>
      <c r="F6637" t="s">
        <v>8060</v>
      </c>
    </row>
    <row r="6638" spans="1:6" x14ac:dyDescent="0.25">
      <c r="A6638" t="s">
        <v>7749</v>
      </c>
      <c r="B6638" t="s">
        <v>326</v>
      </c>
      <c r="C6638" t="s">
        <v>327</v>
      </c>
      <c r="D6638" t="str">
        <f>HYPERLINK("http://service.sap.com/sap/support/notes/1716146","1716146")</f>
        <v>1716146</v>
      </c>
      <c r="E6638">
        <v>1</v>
      </c>
      <c r="F6638" t="s">
        <v>8061</v>
      </c>
    </row>
    <row r="6639" spans="1:6" x14ac:dyDescent="0.25">
      <c r="A6639" t="s">
        <v>7749</v>
      </c>
      <c r="B6639" t="s">
        <v>326</v>
      </c>
      <c r="C6639" t="s">
        <v>327</v>
      </c>
      <c r="D6639" t="str">
        <f>HYPERLINK("http://service.sap.com/sap/support/notes/1718781","1718781")</f>
        <v>1718781</v>
      </c>
      <c r="E6639">
        <v>1</v>
      </c>
      <c r="F6639" t="s">
        <v>8062</v>
      </c>
    </row>
    <row r="6640" spans="1:6" x14ac:dyDescent="0.25">
      <c r="A6640" t="s">
        <v>7749</v>
      </c>
      <c r="B6640" t="s">
        <v>326</v>
      </c>
      <c r="C6640" t="s">
        <v>327</v>
      </c>
      <c r="D6640" t="str">
        <f>HYPERLINK("http://service.sap.com/sap/support/notes/1719550","1719550")</f>
        <v>1719550</v>
      </c>
      <c r="E6640">
        <v>1</v>
      </c>
      <c r="F6640" t="s">
        <v>8063</v>
      </c>
    </row>
    <row r="6641" spans="1:6" x14ac:dyDescent="0.25">
      <c r="A6641" t="s">
        <v>7749</v>
      </c>
      <c r="B6641" t="s">
        <v>326</v>
      </c>
      <c r="C6641" t="s">
        <v>327</v>
      </c>
      <c r="D6641" t="str">
        <f>HYPERLINK("http://service.sap.com/sap/support/notes/1723669","1723669")</f>
        <v>1723669</v>
      </c>
      <c r="E6641">
        <v>1</v>
      </c>
      <c r="F6641" t="s">
        <v>8064</v>
      </c>
    </row>
    <row r="6642" spans="1:6" x14ac:dyDescent="0.25">
      <c r="A6642" t="s">
        <v>7749</v>
      </c>
      <c r="B6642" t="s">
        <v>326</v>
      </c>
      <c r="C6642" t="s">
        <v>327</v>
      </c>
      <c r="D6642" t="str">
        <f>HYPERLINK("http://service.sap.com/sap/support/notes/1724002","1724002")</f>
        <v>1724002</v>
      </c>
      <c r="E6642">
        <v>1</v>
      </c>
      <c r="F6642" t="s">
        <v>8065</v>
      </c>
    </row>
    <row r="6643" spans="1:6" x14ac:dyDescent="0.25">
      <c r="A6643" t="s">
        <v>7749</v>
      </c>
      <c r="B6643" t="s">
        <v>326</v>
      </c>
      <c r="C6643" t="s">
        <v>327</v>
      </c>
      <c r="D6643" t="str">
        <f>HYPERLINK("http://service.sap.com/sap/support/notes/1726693","1726693")</f>
        <v>1726693</v>
      </c>
      <c r="E6643">
        <v>1</v>
      </c>
      <c r="F6643" t="s">
        <v>8066</v>
      </c>
    </row>
    <row r="6644" spans="1:6" x14ac:dyDescent="0.25">
      <c r="A6644" t="s">
        <v>7749</v>
      </c>
      <c r="B6644" t="s">
        <v>326</v>
      </c>
      <c r="C6644" t="s">
        <v>327</v>
      </c>
      <c r="D6644" t="str">
        <f>HYPERLINK("http://service.sap.com/sap/support/notes/1727132","1727132")</f>
        <v>1727132</v>
      </c>
      <c r="E6644">
        <v>3</v>
      </c>
      <c r="F6644" t="s">
        <v>8067</v>
      </c>
    </row>
    <row r="6645" spans="1:6" x14ac:dyDescent="0.25">
      <c r="A6645" t="s">
        <v>7749</v>
      </c>
      <c r="B6645" t="s">
        <v>334</v>
      </c>
      <c r="C6645" t="s">
        <v>132</v>
      </c>
    </row>
    <row r="6646" spans="1:6" x14ac:dyDescent="0.25">
      <c r="A6646" t="s">
        <v>7749</v>
      </c>
      <c r="B6646" t="s">
        <v>335</v>
      </c>
      <c r="C6646" t="s">
        <v>134</v>
      </c>
    </row>
    <row r="6647" spans="1:6" x14ac:dyDescent="0.25">
      <c r="A6647" t="s">
        <v>7749</v>
      </c>
      <c r="B6647" t="s">
        <v>336</v>
      </c>
      <c r="C6647" t="s">
        <v>337</v>
      </c>
    </row>
    <row r="6648" spans="1:6" x14ac:dyDescent="0.25">
      <c r="A6648" t="s">
        <v>7749</v>
      </c>
      <c r="B6648" t="s">
        <v>338</v>
      </c>
      <c r="C6648" t="s">
        <v>14</v>
      </c>
      <c r="D6648" t="str">
        <f>HYPERLINK("http://service.sap.com/sap/support/notes/1687491","1687491")</f>
        <v>1687491</v>
      </c>
      <c r="E6648">
        <v>1</v>
      </c>
      <c r="F6648" t="s">
        <v>8068</v>
      </c>
    </row>
    <row r="6649" spans="1:6" x14ac:dyDescent="0.25">
      <c r="A6649" t="s">
        <v>7749</v>
      </c>
      <c r="B6649" t="s">
        <v>338</v>
      </c>
      <c r="C6649" t="s">
        <v>14</v>
      </c>
      <c r="D6649" t="str">
        <f>HYPERLINK("http://service.sap.com/sap/support/notes/1690774","1690774")</f>
        <v>1690774</v>
      </c>
      <c r="E6649">
        <v>1</v>
      </c>
      <c r="F6649" t="s">
        <v>8069</v>
      </c>
    </row>
    <row r="6650" spans="1:6" x14ac:dyDescent="0.25">
      <c r="A6650" t="s">
        <v>7749</v>
      </c>
      <c r="B6650" t="s">
        <v>338</v>
      </c>
      <c r="C6650" t="s">
        <v>14</v>
      </c>
      <c r="D6650" t="str">
        <f>HYPERLINK("http://service.sap.com/sap/support/notes/1703281","1703281")</f>
        <v>1703281</v>
      </c>
      <c r="E6650">
        <v>1</v>
      </c>
      <c r="F6650" t="s">
        <v>8070</v>
      </c>
    </row>
    <row r="6651" spans="1:6" x14ac:dyDescent="0.25">
      <c r="A6651" t="s">
        <v>7749</v>
      </c>
      <c r="B6651" t="s">
        <v>338</v>
      </c>
      <c r="C6651" t="s">
        <v>14</v>
      </c>
      <c r="D6651" t="str">
        <f>HYPERLINK("http://service.sap.com/sap/support/notes/1704835","1704835")</f>
        <v>1704835</v>
      </c>
      <c r="E6651">
        <v>1</v>
      </c>
      <c r="F6651" t="s">
        <v>8071</v>
      </c>
    </row>
    <row r="6652" spans="1:6" x14ac:dyDescent="0.25">
      <c r="A6652" t="s">
        <v>7749</v>
      </c>
      <c r="B6652" t="s">
        <v>2300</v>
      </c>
      <c r="C6652" t="s">
        <v>2301</v>
      </c>
      <c r="D6652" t="str">
        <f>HYPERLINK("http://service.sap.com/sap/support/notes/1666093","1666093")</f>
        <v>1666093</v>
      </c>
      <c r="E6652">
        <v>1</v>
      </c>
      <c r="F6652" t="s">
        <v>8072</v>
      </c>
    </row>
    <row r="6653" spans="1:6" x14ac:dyDescent="0.25">
      <c r="A6653" t="s">
        <v>7749</v>
      </c>
      <c r="B6653" t="s">
        <v>2303</v>
      </c>
      <c r="C6653" t="s">
        <v>2304</v>
      </c>
      <c r="D6653" t="str">
        <f>HYPERLINK("http://service.sap.com/sap/support/notes/1705990","1705990")</f>
        <v>1705990</v>
      </c>
      <c r="E6653">
        <v>1</v>
      </c>
      <c r="F6653" t="s">
        <v>8073</v>
      </c>
    </row>
    <row r="6654" spans="1:6" x14ac:dyDescent="0.25">
      <c r="A6654" t="s">
        <v>7749</v>
      </c>
      <c r="B6654" t="s">
        <v>2303</v>
      </c>
      <c r="C6654" t="s">
        <v>2304</v>
      </c>
      <c r="D6654" t="str">
        <f>HYPERLINK("http://service.sap.com/sap/support/notes/1713384","1713384")</f>
        <v>1713384</v>
      </c>
      <c r="E6654">
        <v>1</v>
      </c>
      <c r="F6654" t="s">
        <v>8074</v>
      </c>
    </row>
    <row r="6655" spans="1:6" x14ac:dyDescent="0.25">
      <c r="A6655" t="s">
        <v>7749</v>
      </c>
      <c r="B6655" t="s">
        <v>345</v>
      </c>
      <c r="C6655" t="s">
        <v>346</v>
      </c>
      <c r="D6655" t="str">
        <f>HYPERLINK("http://service.sap.com/sap/support/notes/1706026","1706026")</f>
        <v>1706026</v>
      </c>
      <c r="E6655">
        <v>2</v>
      </c>
      <c r="F6655" t="s">
        <v>8075</v>
      </c>
    </row>
    <row r="6656" spans="1:6" x14ac:dyDescent="0.25">
      <c r="A6656" t="s">
        <v>7749</v>
      </c>
      <c r="B6656" t="s">
        <v>8076</v>
      </c>
      <c r="C6656" t="s">
        <v>8077</v>
      </c>
      <c r="D6656" t="str">
        <f>HYPERLINK("http://service.sap.com/sap/support/notes/1679681","1679681")</f>
        <v>1679681</v>
      </c>
      <c r="E6656">
        <v>1</v>
      </c>
      <c r="F6656" t="s">
        <v>8078</v>
      </c>
    </row>
    <row r="6657" spans="1:6" x14ac:dyDescent="0.25">
      <c r="A6657" t="s">
        <v>7749</v>
      </c>
      <c r="B6657" t="s">
        <v>8076</v>
      </c>
      <c r="C6657" t="s">
        <v>8077</v>
      </c>
      <c r="D6657" t="str">
        <f>HYPERLINK("http://service.sap.com/sap/support/notes/1685374","1685374")</f>
        <v>1685374</v>
      </c>
      <c r="E6657">
        <v>1</v>
      </c>
      <c r="F6657" t="s">
        <v>8079</v>
      </c>
    </row>
    <row r="6658" spans="1:6" x14ac:dyDescent="0.25">
      <c r="A6658" t="s">
        <v>7749</v>
      </c>
      <c r="B6658" t="s">
        <v>349</v>
      </c>
      <c r="C6658" t="s">
        <v>350</v>
      </c>
      <c r="D6658" t="str">
        <f>HYPERLINK("http://service.sap.com/sap/support/notes/1683821","1683821")</f>
        <v>1683821</v>
      </c>
      <c r="E6658">
        <v>1</v>
      </c>
      <c r="F6658" t="s">
        <v>8080</v>
      </c>
    </row>
    <row r="6659" spans="1:6" x14ac:dyDescent="0.25">
      <c r="A6659" t="s">
        <v>7749</v>
      </c>
      <c r="B6659" t="s">
        <v>349</v>
      </c>
      <c r="C6659" t="s">
        <v>350</v>
      </c>
      <c r="D6659" t="str">
        <f>HYPERLINK("http://service.sap.com/sap/support/notes/1685135","1685135")</f>
        <v>1685135</v>
      </c>
      <c r="E6659">
        <v>1</v>
      </c>
      <c r="F6659" t="s">
        <v>8081</v>
      </c>
    </row>
    <row r="6660" spans="1:6" x14ac:dyDescent="0.25">
      <c r="A6660" t="s">
        <v>7749</v>
      </c>
      <c r="B6660" t="s">
        <v>354</v>
      </c>
      <c r="C6660" t="s">
        <v>355</v>
      </c>
      <c r="D6660" t="str">
        <f>HYPERLINK("http://service.sap.com/sap/support/notes/1699208","1699208")</f>
        <v>1699208</v>
      </c>
      <c r="E6660">
        <v>3</v>
      </c>
      <c r="F6660" t="s">
        <v>8082</v>
      </c>
    </row>
    <row r="6661" spans="1:6" x14ac:dyDescent="0.25">
      <c r="A6661" t="s">
        <v>7749</v>
      </c>
      <c r="B6661" t="s">
        <v>356</v>
      </c>
      <c r="C6661" t="s">
        <v>337</v>
      </c>
      <c r="D6661" t="str">
        <f>HYPERLINK("http://service.sap.com/sap/support/notes/1705847","1705847")</f>
        <v>1705847</v>
      </c>
      <c r="E6661">
        <v>1</v>
      </c>
      <c r="F6661" t="s">
        <v>8083</v>
      </c>
    </row>
    <row r="6662" spans="1:6" x14ac:dyDescent="0.25">
      <c r="A6662" t="s">
        <v>7749</v>
      </c>
      <c r="B6662" t="s">
        <v>356</v>
      </c>
      <c r="C6662" t="s">
        <v>337</v>
      </c>
      <c r="D6662" t="str">
        <f>HYPERLINK("http://service.sap.com/sap/support/notes/1712370","1712370")</f>
        <v>1712370</v>
      </c>
      <c r="E6662">
        <v>1</v>
      </c>
      <c r="F6662" t="s">
        <v>8084</v>
      </c>
    </row>
    <row r="6663" spans="1:6" x14ac:dyDescent="0.25">
      <c r="A6663" t="s">
        <v>7749</v>
      </c>
      <c r="B6663" t="s">
        <v>356</v>
      </c>
      <c r="C6663" t="s">
        <v>337</v>
      </c>
      <c r="D6663" t="str">
        <f>HYPERLINK("http://service.sap.com/sap/support/notes/1718889","1718889")</f>
        <v>1718889</v>
      </c>
      <c r="E6663">
        <v>2</v>
      </c>
      <c r="F6663" t="s">
        <v>8085</v>
      </c>
    </row>
    <row r="6664" spans="1:6" x14ac:dyDescent="0.25">
      <c r="A6664" t="s">
        <v>7749</v>
      </c>
      <c r="B6664" t="s">
        <v>356</v>
      </c>
      <c r="C6664" t="s">
        <v>337</v>
      </c>
      <c r="D6664" t="str">
        <f>HYPERLINK("http://service.sap.com/sap/support/notes/1720843","1720843")</f>
        <v>1720843</v>
      </c>
      <c r="E6664">
        <v>2</v>
      </c>
      <c r="F6664" t="s">
        <v>8086</v>
      </c>
    </row>
    <row r="6665" spans="1:6" x14ac:dyDescent="0.25">
      <c r="A6665" t="s">
        <v>7749</v>
      </c>
      <c r="B6665" t="s">
        <v>356</v>
      </c>
      <c r="C6665" t="s">
        <v>337</v>
      </c>
      <c r="D6665" t="str">
        <f>HYPERLINK("http://service.sap.com/sap/support/notes/1721951","1721951")</f>
        <v>1721951</v>
      </c>
      <c r="E6665">
        <v>1</v>
      </c>
      <c r="F6665" t="s">
        <v>8087</v>
      </c>
    </row>
    <row r="6666" spans="1:6" x14ac:dyDescent="0.25">
      <c r="A6666" t="s">
        <v>7749</v>
      </c>
      <c r="B6666" t="s">
        <v>358</v>
      </c>
      <c r="C6666" t="s">
        <v>359</v>
      </c>
      <c r="D6666" t="str">
        <f>HYPERLINK("http://service.sap.com/sap/support/notes/1696336","1696336")</f>
        <v>1696336</v>
      </c>
      <c r="E6666">
        <v>1</v>
      </c>
      <c r="F6666" t="s">
        <v>8088</v>
      </c>
    </row>
    <row r="6667" spans="1:6" x14ac:dyDescent="0.25">
      <c r="A6667" t="s">
        <v>7749</v>
      </c>
      <c r="B6667" t="s">
        <v>358</v>
      </c>
      <c r="C6667" t="s">
        <v>359</v>
      </c>
      <c r="D6667" t="str">
        <f>HYPERLINK("http://service.sap.com/sap/support/notes/1696926","1696926")</f>
        <v>1696926</v>
      </c>
      <c r="E6667">
        <v>2</v>
      </c>
      <c r="F6667" t="s">
        <v>8089</v>
      </c>
    </row>
    <row r="6668" spans="1:6" x14ac:dyDescent="0.25">
      <c r="A6668" t="s">
        <v>7749</v>
      </c>
      <c r="B6668" t="s">
        <v>358</v>
      </c>
      <c r="C6668" t="s">
        <v>359</v>
      </c>
      <c r="D6668" t="str">
        <f>HYPERLINK("http://service.sap.com/sap/support/notes/1708061","1708061")</f>
        <v>1708061</v>
      </c>
      <c r="E6668">
        <v>1</v>
      </c>
      <c r="F6668" t="s">
        <v>8090</v>
      </c>
    </row>
    <row r="6669" spans="1:6" x14ac:dyDescent="0.25">
      <c r="A6669" t="s">
        <v>7749</v>
      </c>
      <c r="B6669" t="s">
        <v>358</v>
      </c>
      <c r="C6669" t="s">
        <v>359</v>
      </c>
      <c r="D6669" t="str">
        <f>HYPERLINK("http://service.sap.com/sap/support/notes/1714674","1714674")</f>
        <v>1714674</v>
      </c>
      <c r="E6669">
        <v>1</v>
      </c>
      <c r="F6669" t="s">
        <v>8091</v>
      </c>
    </row>
    <row r="6670" spans="1:6" x14ac:dyDescent="0.25">
      <c r="A6670" t="s">
        <v>7749</v>
      </c>
      <c r="B6670" t="s">
        <v>358</v>
      </c>
      <c r="C6670" t="s">
        <v>359</v>
      </c>
      <c r="D6670" t="str">
        <f>HYPERLINK("http://service.sap.com/sap/support/notes/1719461","1719461")</f>
        <v>1719461</v>
      </c>
      <c r="E6670">
        <v>1</v>
      </c>
      <c r="F6670" t="s">
        <v>8092</v>
      </c>
    </row>
    <row r="6671" spans="1:6" x14ac:dyDescent="0.25">
      <c r="A6671" t="s">
        <v>7749</v>
      </c>
      <c r="B6671" t="s">
        <v>363</v>
      </c>
      <c r="C6671" t="s">
        <v>364</v>
      </c>
      <c r="D6671" t="str">
        <f>HYPERLINK("http://service.sap.com/sap/support/notes/1695401","1695401")</f>
        <v>1695401</v>
      </c>
      <c r="E6671">
        <v>2</v>
      </c>
      <c r="F6671" t="s">
        <v>8093</v>
      </c>
    </row>
    <row r="6672" spans="1:6" x14ac:dyDescent="0.25">
      <c r="A6672" t="s">
        <v>7749</v>
      </c>
      <c r="B6672" t="s">
        <v>363</v>
      </c>
      <c r="C6672" t="s">
        <v>364</v>
      </c>
      <c r="D6672" t="str">
        <f>HYPERLINK("http://service.sap.com/sap/support/notes/1699679","1699679")</f>
        <v>1699679</v>
      </c>
      <c r="E6672">
        <v>1</v>
      </c>
      <c r="F6672" t="s">
        <v>8094</v>
      </c>
    </row>
    <row r="6673" spans="1:6" x14ac:dyDescent="0.25">
      <c r="A6673" t="s">
        <v>7749</v>
      </c>
      <c r="B6673" t="s">
        <v>363</v>
      </c>
      <c r="C6673" t="s">
        <v>364</v>
      </c>
      <c r="D6673" t="str">
        <f>HYPERLINK("http://service.sap.com/sap/support/notes/1704974","1704974")</f>
        <v>1704974</v>
      </c>
      <c r="E6673">
        <v>2</v>
      </c>
      <c r="F6673" t="s">
        <v>8095</v>
      </c>
    </row>
    <row r="6674" spans="1:6" x14ac:dyDescent="0.25">
      <c r="A6674" t="s">
        <v>7749</v>
      </c>
      <c r="B6674" t="s">
        <v>363</v>
      </c>
      <c r="C6674" t="s">
        <v>364</v>
      </c>
      <c r="D6674" t="str">
        <f>HYPERLINK("http://service.sap.com/sap/support/notes/1709819","1709819")</f>
        <v>1709819</v>
      </c>
      <c r="E6674">
        <v>1</v>
      </c>
      <c r="F6674" t="s">
        <v>8096</v>
      </c>
    </row>
    <row r="6675" spans="1:6" x14ac:dyDescent="0.25">
      <c r="A6675" t="s">
        <v>7749</v>
      </c>
      <c r="B6675" t="s">
        <v>363</v>
      </c>
      <c r="C6675" t="s">
        <v>364</v>
      </c>
      <c r="D6675" t="str">
        <f>HYPERLINK("http://service.sap.com/sap/support/notes/1712887","1712887")</f>
        <v>1712887</v>
      </c>
      <c r="E6675">
        <v>1</v>
      </c>
      <c r="F6675" t="s">
        <v>8097</v>
      </c>
    </row>
    <row r="6676" spans="1:6" x14ac:dyDescent="0.25">
      <c r="A6676" t="s">
        <v>7749</v>
      </c>
      <c r="B6676" t="s">
        <v>374</v>
      </c>
      <c r="C6676" t="s">
        <v>375</v>
      </c>
      <c r="D6676" t="str">
        <f>HYPERLINK("http://service.sap.com/sap/support/notes/1458534","1458534")</f>
        <v>1458534</v>
      </c>
      <c r="E6676">
        <v>2</v>
      </c>
      <c r="F6676" t="s">
        <v>8098</v>
      </c>
    </row>
    <row r="6677" spans="1:6" x14ac:dyDescent="0.25">
      <c r="A6677" t="s">
        <v>7749</v>
      </c>
      <c r="B6677" t="s">
        <v>374</v>
      </c>
      <c r="C6677" t="s">
        <v>375</v>
      </c>
      <c r="D6677" t="str">
        <f>HYPERLINK("http://service.sap.com/sap/support/notes/1685391","1685391")</f>
        <v>1685391</v>
      </c>
      <c r="E6677">
        <v>2</v>
      </c>
      <c r="F6677" t="s">
        <v>8099</v>
      </c>
    </row>
    <row r="6678" spans="1:6" x14ac:dyDescent="0.25">
      <c r="A6678" t="s">
        <v>7749</v>
      </c>
      <c r="B6678" t="s">
        <v>374</v>
      </c>
      <c r="C6678" t="s">
        <v>375</v>
      </c>
      <c r="D6678" t="str">
        <f>HYPERLINK("http://service.sap.com/sap/support/notes/1687625","1687625")</f>
        <v>1687625</v>
      </c>
      <c r="E6678">
        <v>2</v>
      </c>
      <c r="F6678" t="s">
        <v>8100</v>
      </c>
    </row>
    <row r="6679" spans="1:6" x14ac:dyDescent="0.25">
      <c r="A6679" t="s">
        <v>7749</v>
      </c>
      <c r="B6679" t="s">
        <v>374</v>
      </c>
      <c r="C6679" t="s">
        <v>375</v>
      </c>
      <c r="D6679" t="str">
        <f>HYPERLINK("http://service.sap.com/sap/support/notes/1688816","1688816")</f>
        <v>1688816</v>
      </c>
      <c r="E6679">
        <v>1</v>
      </c>
      <c r="F6679" t="s">
        <v>8101</v>
      </c>
    </row>
    <row r="6680" spans="1:6" x14ac:dyDescent="0.25">
      <c r="A6680" t="s">
        <v>7749</v>
      </c>
      <c r="B6680" t="s">
        <v>374</v>
      </c>
      <c r="C6680" t="s">
        <v>375</v>
      </c>
      <c r="D6680" t="str">
        <f>HYPERLINK("http://service.sap.com/sap/support/notes/1692217","1692217")</f>
        <v>1692217</v>
      </c>
      <c r="E6680">
        <v>1</v>
      </c>
      <c r="F6680" t="s">
        <v>8102</v>
      </c>
    </row>
    <row r="6681" spans="1:6" x14ac:dyDescent="0.25">
      <c r="A6681" t="s">
        <v>7749</v>
      </c>
      <c r="B6681" t="s">
        <v>374</v>
      </c>
      <c r="C6681" t="s">
        <v>375</v>
      </c>
      <c r="D6681" t="str">
        <f>HYPERLINK("http://service.sap.com/sap/support/notes/1692304","1692304")</f>
        <v>1692304</v>
      </c>
      <c r="E6681">
        <v>1</v>
      </c>
      <c r="F6681" t="s">
        <v>8103</v>
      </c>
    </row>
    <row r="6682" spans="1:6" x14ac:dyDescent="0.25">
      <c r="A6682" t="s">
        <v>7749</v>
      </c>
      <c r="B6682" t="s">
        <v>374</v>
      </c>
      <c r="C6682" t="s">
        <v>375</v>
      </c>
      <c r="D6682" t="str">
        <f>HYPERLINK("http://service.sap.com/sap/support/notes/1693346","1693346")</f>
        <v>1693346</v>
      </c>
      <c r="E6682">
        <v>1</v>
      </c>
      <c r="F6682" t="s">
        <v>8104</v>
      </c>
    </row>
    <row r="6683" spans="1:6" x14ac:dyDescent="0.25">
      <c r="A6683" t="s">
        <v>7749</v>
      </c>
      <c r="B6683" t="s">
        <v>374</v>
      </c>
      <c r="C6683" t="s">
        <v>375</v>
      </c>
      <c r="D6683" t="str">
        <f>HYPERLINK("http://service.sap.com/sap/support/notes/1695581","1695581")</f>
        <v>1695581</v>
      </c>
      <c r="E6683">
        <v>2</v>
      </c>
      <c r="F6683" t="s">
        <v>8105</v>
      </c>
    </row>
    <row r="6684" spans="1:6" x14ac:dyDescent="0.25">
      <c r="A6684" t="s">
        <v>7749</v>
      </c>
      <c r="B6684" t="s">
        <v>374</v>
      </c>
      <c r="C6684" t="s">
        <v>375</v>
      </c>
      <c r="D6684" t="str">
        <f>HYPERLINK("http://service.sap.com/sap/support/notes/1697717","1697717")</f>
        <v>1697717</v>
      </c>
      <c r="E6684">
        <v>1</v>
      </c>
      <c r="F6684" t="s">
        <v>8106</v>
      </c>
    </row>
    <row r="6685" spans="1:6" x14ac:dyDescent="0.25">
      <c r="A6685" t="s">
        <v>7749</v>
      </c>
      <c r="B6685" t="s">
        <v>374</v>
      </c>
      <c r="C6685" t="s">
        <v>375</v>
      </c>
      <c r="D6685" t="str">
        <f>HYPERLINK("http://service.sap.com/sap/support/notes/1699749","1699749")</f>
        <v>1699749</v>
      </c>
      <c r="E6685">
        <v>1</v>
      </c>
      <c r="F6685" t="s">
        <v>8107</v>
      </c>
    </row>
    <row r="6686" spans="1:6" x14ac:dyDescent="0.25">
      <c r="A6686" t="s">
        <v>7749</v>
      </c>
      <c r="B6686" t="s">
        <v>374</v>
      </c>
      <c r="C6686" t="s">
        <v>375</v>
      </c>
      <c r="D6686" t="str">
        <f>HYPERLINK("http://service.sap.com/sap/support/notes/1701497","1701497")</f>
        <v>1701497</v>
      </c>
      <c r="E6686">
        <v>1</v>
      </c>
      <c r="F6686" t="s">
        <v>8108</v>
      </c>
    </row>
    <row r="6687" spans="1:6" x14ac:dyDescent="0.25">
      <c r="A6687" t="s">
        <v>7749</v>
      </c>
      <c r="B6687" t="s">
        <v>374</v>
      </c>
      <c r="C6687" t="s">
        <v>375</v>
      </c>
      <c r="D6687" t="str">
        <f>HYPERLINK("http://service.sap.com/sap/support/notes/1702505","1702505")</f>
        <v>1702505</v>
      </c>
      <c r="E6687">
        <v>1</v>
      </c>
      <c r="F6687" t="s">
        <v>8109</v>
      </c>
    </row>
    <row r="6688" spans="1:6" x14ac:dyDescent="0.25">
      <c r="A6688" t="s">
        <v>7749</v>
      </c>
      <c r="B6688" t="s">
        <v>374</v>
      </c>
      <c r="C6688" t="s">
        <v>375</v>
      </c>
      <c r="D6688" t="str">
        <f>HYPERLINK("http://service.sap.com/sap/support/notes/1705441","1705441")</f>
        <v>1705441</v>
      </c>
      <c r="E6688">
        <v>1</v>
      </c>
      <c r="F6688" t="s">
        <v>8110</v>
      </c>
    </row>
    <row r="6689" spans="1:6" x14ac:dyDescent="0.25">
      <c r="A6689" t="s">
        <v>7749</v>
      </c>
      <c r="B6689" t="s">
        <v>374</v>
      </c>
      <c r="C6689" t="s">
        <v>375</v>
      </c>
      <c r="D6689" t="str">
        <f>HYPERLINK("http://service.sap.com/sap/support/notes/1706328","1706328")</f>
        <v>1706328</v>
      </c>
      <c r="E6689">
        <v>2</v>
      </c>
      <c r="F6689" t="s">
        <v>8111</v>
      </c>
    </row>
    <row r="6690" spans="1:6" x14ac:dyDescent="0.25">
      <c r="A6690" t="s">
        <v>7749</v>
      </c>
      <c r="B6690" t="s">
        <v>374</v>
      </c>
      <c r="C6690" t="s">
        <v>375</v>
      </c>
      <c r="D6690" t="str">
        <f>HYPERLINK("http://service.sap.com/sap/support/notes/1709505","1709505")</f>
        <v>1709505</v>
      </c>
      <c r="E6690">
        <v>1</v>
      </c>
      <c r="F6690" t="s">
        <v>8112</v>
      </c>
    </row>
    <row r="6691" spans="1:6" x14ac:dyDescent="0.25">
      <c r="A6691" t="s">
        <v>7749</v>
      </c>
      <c r="B6691" t="s">
        <v>374</v>
      </c>
      <c r="C6691" t="s">
        <v>375</v>
      </c>
      <c r="D6691" t="str">
        <f>HYPERLINK("http://service.sap.com/sap/support/notes/1712202","1712202")</f>
        <v>1712202</v>
      </c>
      <c r="E6691">
        <v>1</v>
      </c>
      <c r="F6691" t="s">
        <v>8113</v>
      </c>
    </row>
    <row r="6692" spans="1:6" x14ac:dyDescent="0.25">
      <c r="A6692" t="s">
        <v>7749</v>
      </c>
      <c r="B6692" t="s">
        <v>374</v>
      </c>
      <c r="C6692" t="s">
        <v>375</v>
      </c>
      <c r="D6692" t="str">
        <f>HYPERLINK("http://service.sap.com/sap/support/notes/1712777","1712777")</f>
        <v>1712777</v>
      </c>
      <c r="E6692">
        <v>2</v>
      </c>
      <c r="F6692" t="s">
        <v>8114</v>
      </c>
    </row>
    <row r="6693" spans="1:6" x14ac:dyDescent="0.25">
      <c r="A6693" t="s">
        <v>7749</v>
      </c>
      <c r="B6693" t="s">
        <v>374</v>
      </c>
      <c r="C6693" t="s">
        <v>375</v>
      </c>
      <c r="D6693" t="str">
        <f>HYPERLINK("http://service.sap.com/sap/support/notes/1713327","1713327")</f>
        <v>1713327</v>
      </c>
      <c r="E6693">
        <v>2</v>
      </c>
      <c r="F6693" t="s">
        <v>8115</v>
      </c>
    </row>
    <row r="6694" spans="1:6" x14ac:dyDescent="0.25">
      <c r="A6694" t="s">
        <v>7749</v>
      </c>
      <c r="B6694" t="s">
        <v>374</v>
      </c>
      <c r="C6694" t="s">
        <v>375</v>
      </c>
      <c r="D6694" t="str">
        <f>HYPERLINK("http://service.sap.com/sap/support/notes/1715054","1715054")</f>
        <v>1715054</v>
      </c>
      <c r="E6694">
        <v>1</v>
      </c>
      <c r="F6694" t="s">
        <v>8116</v>
      </c>
    </row>
    <row r="6695" spans="1:6" x14ac:dyDescent="0.25">
      <c r="A6695" t="s">
        <v>7749</v>
      </c>
      <c r="B6695" t="s">
        <v>374</v>
      </c>
      <c r="C6695" t="s">
        <v>375</v>
      </c>
      <c r="D6695" t="str">
        <f>HYPERLINK("http://service.sap.com/sap/support/notes/1719341","1719341")</f>
        <v>1719341</v>
      </c>
      <c r="E6695">
        <v>1</v>
      </c>
      <c r="F6695" t="s">
        <v>8117</v>
      </c>
    </row>
    <row r="6696" spans="1:6" x14ac:dyDescent="0.25">
      <c r="A6696" t="s">
        <v>7749</v>
      </c>
      <c r="B6696" t="s">
        <v>374</v>
      </c>
      <c r="C6696" t="s">
        <v>375</v>
      </c>
      <c r="D6696" t="str">
        <f>HYPERLINK("http://service.sap.com/sap/support/notes/1719368","1719368")</f>
        <v>1719368</v>
      </c>
      <c r="E6696">
        <v>1</v>
      </c>
      <c r="F6696" t="s">
        <v>8118</v>
      </c>
    </row>
    <row r="6697" spans="1:6" x14ac:dyDescent="0.25">
      <c r="A6697" t="s">
        <v>7749</v>
      </c>
      <c r="B6697" t="s">
        <v>374</v>
      </c>
      <c r="C6697" t="s">
        <v>375</v>
      </c>
      <c r="D6697" t="str">
        <f>HYPERLINK("http://service.sap.com/sap/support/notes/1719430","1719430")</f>
        <v>1719430</v>
      </c>
      <c r="E6697">
        <v>1</v>
      </c>
      <c r="F6697" t="s">
        <v>8119</v>
      </c>
    </row>
    <row r="6698" spans="1:6" x14ac:dyDescent="0.25">
      <c r="A6698" t="s">
        <v>7749</v>
      </c>
      <c r="B6698" t="s">
        <v>374</v>
      </c>
      <c r="C6698" t="s">
        <v>375</v>
      </c>
      <c r="D6698" t="str">
        <f>HYPERLINK("http://service.sap.com/sap/support/notes/1723765","1723765")</f>
        <v>1723765</v>
      </c>
      <c r="E6698">
        <v>1</v>
      </c>
      <c r="F6698" t="s">
        <v>8120</v>
      </c>
    </row>
    <row r="6699" spans="1:6" x14ac:dyDescent="0.25">
      <c r="A6699" t="s">
        <v>7749</v>
      </c>
      <c r="B6699" t="s">
        <v>388</v>
      </c>
      <c r="C6699" t="s">
        <v>389</v>
      </c>
      <c r="D6699" t="str">
        <f>HYPERLINK("http://service.sap.com/sap/support/notes/1703359","1703359")</f>
        <v>1703359</v>
      </c>
      <c r="E6699">
        <v>1</v>
      </c>
      <c r="F6699" t="s">
        <v>8121</v>
      </c>
    </row>
    <row r="6700" spans="1:6" x14ac:dyDescent="0.25">
      <c r="A6700" t="s">
        <v>7749</v>
      </c>
      <c r="B6700" t="s">
        <v>2442</v>
      </c>
      <c r="C6700" t="s">
        <v>505</v>
      </c>
      <c r="D6700" t="str">
        <f>HYPERLINK("http://service.sap.com/sap/support/notes/1687467","1687467")</f>
        <v>1687467</v>
      </c>
      <c r="E6700">
        <v>1</v>
      </c>
      <c r="F6700" t="s">
        <v>8122</v>
      </c>
    </row>
    <row r="6701" spans="1:6" x14ac:dyDescent="0.25">
      <c r="A6701" t="s">
        <v>7749</v>
      </c>
      <c r="B6701" t="s">
        <v>2451</v>
      </c>
      <c r="C6701" t="s">
        <v>2452</v>
      </c>
      <c r="D6701" t="str">
        <f>HYPERLINK("http://service.sap.com/sap/support/notes/1686666","1686666")</f>
        <v>1686666</v>
      </c>
      <c r="E6701">
        <v>3</v>
      </c>
      <c r="F6701" t="s">
        <v>8123</v>
      </c>
    </row>
    <row r="6702" spans="1:6" x14ac:dyDescent="0.25">
      <c r="A6702" t="s">
        <v>7749</v>
      </c>
      <c r="B6702" t="s">
        <v>393</v>
      </c>
      <c r="C6702" t="s">
        <v>394</v>
      </c>
      <c r="D6702" t="str">
        <f>HYPERLINK("http://service.sap.com/sap/support/notes/1697359","1697359")</f>
        <v>1697359</v>
      </c>
      <c r="E6702">
        <v>2</v>
      </c>
      <c r="F6702" t="s">
        <v>8124</v>
      </c>
    </row>
    <row r="6703" spans="1:6" x14ac:dyDescent="0.25">
      <c r="A6703" t="s">
        <v>7749</v>
      </c>
      <c r="B6703" t="s">
        <v>393</v>
      </c>
      <c r="C6703" t="s">
        <v>394</v>
      </c>
      <c r="D6703" t="str">
        <f>HYPERLINK("http://service.sap.com/sap/support/notes/1702407","1702407")</f>
        <v>1702407</v>
      </c>
      <c r="E6703">
        <v>3</v>
      </c>
      <c r="F6703" t="s">
        <v>8125</v>
      </c>
    </row>
    <row r="6704" spans="1:6" x14ac:dyDescent="0.25">
      <c r="A6704" t="s">
        <v>7749</v>
      </c>
      <c r="B6704" t="s">
        <v>393</v>
      </c>
      <c r="C6704" t="s">
        <v>394</v>
      </c>
      <c r="D6704" t="str">
        <f>HYPERLINK("http://service.sap.com/sap/support/notes/1703822","1703822")</f>
        <v>1703822</v>
      </c>
      <c r="E6704">
        <v>2</v>
      </c>
      <c r="F6704" t="s">
        <v>8126</v>
      </c>
    </row>
    <row r="6705" spans="1:6" x14ac:dyDescent="0.25">
      <c r="A6705" t="s">
        <v>7749</v>
      </c>
      <c r="B6705" t="s">
        <v>393</v>
      </c>
      <c r="C6705" t="s">
        <v>394</v>
      </c>
      <c r="D6705" t="str">
        <f>HYPERLINK("http://service.sap.com/sap/support/notes/1707755","1707755")</f>
        <v>1707755</v>
      </c>
      <c r="E6705">
        <v>1</v>
      </c>
      <c r="F6705" t="s">
        <v>8127</v>
      </c>
    </row>
    <row r="6706" spans="1:6" x14ac:dyDescent="0.25">
      <c r="A6706" t="s">
        <v>7749</v>
      </c>
      <c r="B6706" t="s">
        <v>393</v>
      </c>
      <c r="C6706" t="s">
        <v>394</v>
      </c>
      <c r="D6706" t="str">
        <f>HYPERLINK("http://service.sap.com/sap/support/notes/1721285","1721285")</f>
        <v>1721285</v>
      </c>
      <c r="E6706">
        <v>1</v>
      </c>
      <c r="F6706" t="s">
        <v>8128</v>
      </c>
    </row>
    <row r="6707" spans="1:6" x14ac:dyDescent="0.25">
      <c r="A6707" t="s">
        <v>7749</v>
      </c>
      <c r="B6707" t="s">
        <v>2464</v>
      </c>
      <c r="C6707" t="s">
        <v>2465</v>
      </c>
      <c r="D6707" t="str">
        <f>HYPERLINK("http://service.sap.com/sap/support/notes/1711196","1711196")</f>
        <v>1711196</v>
      </c>
      <c r="E6707">
        <v>2</v>
      </c>
      <c r="F6707" t="s">
        <v>8129</v>
      </c>
    </row>
    <row r="6708" spans="1:6" x14ac:dyDescent="0.25">
      <c r="A6708" t="s">
        <v>7749</v>
      </c>
      <c r="B6708" t="s">
        <v>2464</v>
      </c>
      <c r="C6708" t="s">
        <v>2465</v>
      </c>
      <c r="D6708" t="str">
        <f>HYPERLINK("http://service.sap.com/sap/support/notes/1717426","1717426")</f>
        <v>1717426</v>
      </c>
      <c r="E6708">
        <v>1</v>
      </c>
      <c r="F6708" t="s">
        <v>8130</v>
      </c>
    </row>
    <row r="6709" spans="1:6" x14ac:dyDescent="0.25">
      <c r="A6709" t="s">
        <v>7749</v>
      </c>
      <c r="B6709" t="s">
        <v>399</v>
      </c>
      <c r="C6709" t="s">
        <v>14</v>
      </c>
      <c r="D6709" t="str">
        <f>HYPERLINK("http://service.sap.com/sap/support/notes/1656737","1656737")</f>
        <v>1656737</v>
      </c>
      <c r="E6709">
        <v>1</v>
      </c>
      <c r="F6709" t="s">
        <v>8131</v>
      </c>
    </row>
    <row r="6710" spans="1:6" x14ac:dyDescent="0.25">
      <c r="A6710" t="s">
        <v>7749</v>
      </c>
      <c r="B6710" t="s">
        <v>399</v>
      </c>
      <c r="C6710" t="s">
        <v>14</v>
      </c>
      <c r="D6710" t="str">
        <f>HYPERLINK("http://service.sap.com/sap/support/notes/1677039","1677039")</f>
        <v>1677039</v>
      </c>
      <c r="E6710">
        <v>2</v>
      </c>
      <c r="F6710" t="s">
        <v>8132</v>
      </c>
    </row>
    <row r="6711" spans="1:6" x14ac:dyDescent="0.25">
      <c r="A6711" t="s">
        <v>7749</v>
      </c>
      <c r="B6711" t="s">
        <v>399</v>
      </c>
      <c r="C6711" t="s">
        <v>14</v>
      </c>
      <c r="D6711" t="str">
        <f>HYPERLINK("http://service.sap.com/sap/support/notes/1678415","1678415")</f>
        <v>1678415</v>
      </c>
      <c r="E6711">
        <v>2</v>
      </c>
      <c r="F6711" t="s">
        <v>8133</v>
      </c>
    </row>
    <row r="6712" spans="1:6" x14ac:dyDescent="0.25">
      <c r="A6712" t="s">
        <v>7749</v>
      </c>
      <c r="B6712" t="s">
        <v>399</v>
      </c>
      <c r="C6712" t="s">
        <v>14</v>
      </c>
      <c r="D6712" t="str">
        <f>HYPERLINK("http://service.sap.com/sap/support/notes/1692455","1692455")</f>
        <v>1692455</v>
      </c>
      <c r="E6712">
        <v>1</v>
      </c>
      <c r="F6712" t="s">
        <v>8134</v>
      </c>
    </row>
    <row r="6713" spans="1:6" x14ac:dyDescent="0.25">
      <c r="A6713" t="s">
        <v>7749</v>
      </c>
      <c r="B6713" t="s">
        <v>399</v>
      </c>
      <c r="C6713" t="s">
        <v>14</v>
      </c>
      <c r="D6713" t="str">
        <f>HYPERLINK("http://service.sap.com/sap/support/notes/1717436","1717436")</f>
        <v>1717436</v>
      </c>
      <c r="E6713">
        <v>1</v>
      </c>
      <c r="F6713" t="s">
        <v>8135</v>
      </c>
    </row>
    <row r="6714" spans="1:6" x14ac:dyDescent="0.25">
      <c r="A6714" t="s">
        <v>7749</v>
      </c>
      <c r="B6714" t="s">
        <v>399</v>
      </c>
      <c r="C6714" t="s">
        <v>14</v>
      </c>
      <c r="D6714" t="str">
        <f>HYPERLINK("http://service.sap.com/sap/support/notes/1719186","1719186")</f>
        <v>1719186</v>
      </c>
      <c r="E6714">
        <v>2</v>
      </c>
      <c r="F6714" t="s">
        <v>8136</v>
      </c>
    </row>
    <row r="6715" spans="1:6" x14ac:dyDescent="0.25">
      <c r="A6715" t="s">
        <v>7749</v>
      </c>
      <c r="B6715" t="s">
        <v>2474</v>
      </c>
      <c r="C6715" t="s">
        <v>2475</v>
      </c>
      <c r="D6715" t="str">
        <f>HYPERLINK("http://service.sap.com/sap/support/notes/1697367","1697367")</f>
        <v>1697367</v>
      </c>
      <c r="E6715">
        <v>1</v>
      </c>
      <c r="F6715" t="s">
        <v>8137</v>
      </c>
    </row>
    <row r="6716" spans="1:6" x14ac:dyDescent="0.25">
      <c r="A6716" t="s">
        <v>7749</v>
      </c>
      <c r="B6716" t="s">
        <v>2474</v>
      </c>
      <c r="C6716" t="s">
        <v>2475</v>
      </c>
      <c r="D6716" t="str">
        <f>HYPERLINK("http://service.sap.com/sap/support/notes/1702246","1702246")</f>
        <v>1702246</v>
      </c>
      <c r="E6716">
        <v>1</v>
      </c>
      <c r="F6716" t="s">
        <v>8138</v>
      </c>
    </row>
    <row r="6717" spans="1:6" x14ac:dyDescent="0.25">
      <c r="A6717" t="s">
        <v>7749</v>
      </c>
      <c r="B6717" t="s">
        <v>2474</v>
      </c>
      <c r="C6717" t="s">
        <v>2475</v>
      </c>
      <c r="D6717" t="str">
        <f>HYPERLINK("http://service.sap.com/sap/support/notes/1704305","1704305")</f>
        <v>1704305</v>
      </c>
      <c r="E6717">
        <v>1</v>
      </c>
      <c r="F6717" t="s">
        <v>8139</v>
      </c>
    </row>
    <row r="6718" spans="1:6" x14ac:dyDescent="0.25">
      <c r="A6718" t="s">
        <v>7749</v>
      </c>
      <c r="B6718" t="s">
        <v>403</v>
      </c>
      <c r="C6718" t="s">
        <v>404</v>
      </c>
      <c r="D6718" t="str">
        <f>HYPERLINK("http://service.sap.com/sap/support/notes/1227804","1227804")</f>
        <v>1227804</v>
      </c>
      <c r="E6718">
        <v>1</v>
      </c>
      <c r="F6718" t="s">
        <v>8140</v>
      </c>
    </row>
    <row r="6719" spans="1:6" x14ac:dyDescent="0.25">
      <c r="A6719" t="s">
        <v>7749</v>
      </c>
      <c r="B6719" t="s">
        <v>403</v>
      </c>
      <c r="C6719" t="s">
        <v>404</v>
      </c>
      <c r="D6719" t="str">
        <f>HYPERLINK("http://service.sap.com/sap/support/notes/1605958","1605958")</f>
        <v>1605958</v>
      </c>
      <c r="E6719">
        <v>3</v>
      </c>
      <c r="F6719" t="s">
        <v>8141</v>
      </c>
    </row>
    <row r="6720" spans="1:6" x14ac:dyDescent="0.25">
      <c r="A6720" t="s">
        <v>7749</v>
      </c>
      <c r="B6720" t="s">
        <v>403</v>
      </c>
      <c r="C6720" t="s">
        <v>404</v>
      </c>
      <c r="D6720" t="str">
        <f>HYPERLINK("http://service.sap.com/sap/support/notes/1635493","1635493")</f>
        <v>1635493</v>
      </c>
      <c r="E6720">
        <v>7</v>
      </c>
      <c r="F6720" t="s">
        <v>8142</v>
      </c>
    </row>
    <row r="6721" spans="1:6" x14ac:dyDescent="0.25">
      <c r="A6721" t="s">
        <v>7749</v>
      </c>
      <c r="B6721" t="s">
        <v>403</v>
      </c>
      <c r="C6721" t="s">
        <v>404</v>
      </c>
      <c r="D6721" t="str">
        <f>HYPERLINK("http://service.sap.com/sap/support/notes/1666672","1666672")</f>
        <v>1666672</v>
      </c>
      <c r="E6721">
        <v>4</v>
      </c>
      <c r="F6721" t="s">
        <v>8143</v>
      </c>
    </row>
    <row r="6722" spans="1:6" x14ac:dyDescent="0.25">
      <c r="A6722" t="s">
        <v>7749</v>
      </c>
      <c r="B6722" t="s">
        <v>403</v>
      </c>
      <c r="C6722" t="s">
        <v>404</v>
      </c>
      <c r="D6722" t="str">
        <f>HYPERLINK("http://service.sap.com/sap/support/notes/1667733","1667733")</f>
        <v>1667733</v>
      </c>
      <c r="E6722">
        <v>6</v>
      </c>
      <c r="F6722" t="s">
        <v>6407</v>
      </c>
    </row>
    <row r="6723" spans="1:6" x14ac:dyDescent="0.25">
      <c r="A6723" t="s">
        <v>7749</v>
      </c>
      <c r="B6723" t="s">
        <v>403</v>
      </c>
      <c r="C6723" t="s">
        <v>404</v>
      </c>
      <c r="D6723" t="str">
        <f>HYPERLINK("http://service.sap.com/sap/support/notes/1673257","1673257")</f>
        <v>1673257</v>
      </c>
      <c r="E6723">
        <v>2</v>
      </c>
      <c r="F6723" t="s">
        <v>8144</v>
      </c>
    </row>
    <row r="6724" spans="1:6" x14ac:dyDescent="0.25">
      <c r="A6724" t="s">
        <v>7749</v>
      </c>
      <c r="B6724" t="s">
        <v>403</v>
      </c>
      <c r="C6724" t="s">
        <v>404</v>
      </c>
      <c r="D6724" t="str">
        <f>HYPERLINK("http://service.sap.com/sap/support/notes/1680757","1680757")</f>
        <v>1680757</v>
      </c>
      <c r="E6724">
        <v>3</v>
      </c>
      <c r="F6724" t="s">
        <v>8145</v>
      </c>
    </row>
    <row r="6725" spans="1:6" x14ac:dyDescent="0.25">
      <c r="A6725" t="s">
        <v>7749</v>
      </c>
      <c r="B6725" t="s">
        <v>403</v>
      </c>
      <c r="C6725" t="s">
        <v>404</v>
      </c>
      <c r="D6725" t="str">
        <f>HYPERLINK("http://service.sap.com/sap/support/notes/1684854","1684854")</f>
        <v>1684854</v>
      </c>
      <c r="E6725">
        <v>3</v>
      </c>
      <c r="F6725" t="s">
        <v>8146</v>
      </c>
    </row>
    <row r="6726" spans="1:6" x14ac:dyDescent="0.25">
      <c r="A6726" t="s">
        <v>7749</v>
      </c>
      <c r="B6726" t="s">
        <v>403</v>
      </c>
      <c r="C6726" t="s">
        <v>404</v>
      </c>
      <c r="D6726" t="str">
        <f>HYPERLINK("http://service.sap.com/sap/support/notes/1685902","1685902")</f>
        <v>1685902</v>
      </c>
      <c r="E6726">
        <v>2</v>
      </c>
      <c r="F6726" t="s">
        <v>8147</v>
      </c>
    </row>
    <row r="6727" spans="1:6" x14ac:dyDescent="0.25">
      <c r="A6727" t="s">
        <v>7749</v>
      </c>
      <c r="B6727" t="s">
        <v>403</v>
      </c>
      <c r="C6727" t="s">
        <v>404</v>
      </c>
      <c r="D6727" t="str">
        <f>HYPERLINK("http://service.sap.com/sap/support/notes/1690508","1690508")</f>
        <v>1690508</v>
      </c>
      <c r="E6727">
        <v>3</v>
      </c>
      <c r="F6727" t="s">
        <v>8148</v>
      </c>
    </row>
    <row r="6728" spans="1:6" x14ac:dyDescent="0.25">
      <c r="A6728" t="s">
        <v>7749</v>
      </c>
      <c r="B6728" t="s">
        <v>403</v>
      </c>
      <c r="C6728" t="s">
        <v>404</v>
      </c>
      <c r="D6728" t="str">
        <f>HYPERLINK("http://service.sap.com/sap/support/notes/1691135","1691135")</f>
        <v>1691135</v>
      </c>
      <c r="E6728">
        <v>4</v>
      </c>
      <c r="F6728" t="s">
        <v>8149</v>
      </c>
    </row>
    <row r="6729" spans="1:6" x14ac:dyDescent="0.25">
      <c r="A6729" t="s">
        <v>7749</v>
      </c>
      <c r="B6729" t="s">
        <v>403</v>
      </c>
      <c r="C6729" t="s">
        <v>404</v>
      </c>
      <c r="D6729" t="str">
        <f>HYPERLINK("http://service.sap.com/sap/support/notes/1692368","1692368")</f>
        <v>1692368</v>
      </c>
      <c r="E6729">
        <v>2</v>
      </c>
      <c r="F6729" t="s">
        <v>8150</v>
      </c>
    </row>
    <row r="6730" spans="1:6" x14ac:dyDescent="0.25">
      <c r="A6730" t="s">
        <v>7749</v>
      </c>
      <c r="B6730" t="s">
        <v>403</v>
      </c>
      <c r="C6730" t="s">
        <v>404</v>
      </c>
      <c r="D6730" t="str">
        <f>HYPERLINK("http://service.sap.com/sap/support/notes/1693611","1693611")</f>
        <v>1693611</v>
      </c>
      <c r="E6730">
        <v>2</v>
      </c>
      <c r="F6730" t="s">
        <v>8151</v>
      </c>
    </row>
    <row r="6731" spans="1:6" x14ac:dyDescent="0.25">
      <c r="A6731" t="s">
        <v>7749</v>
      </c>
      <c r="B6731" t="s">
        <v>403</v>
      </c>
      <c r="C6731" t="s">
        <v>404</v>
      </c>
      <c r="D6731" t="str">
        <f>HYPERLINK("http://service.sap.com/sap/support/notes/1693719","1693719")</f>
        <v>1693719</v>
      </c>
      <c r="E6731">
        <v>1</v>
      </c>
      <c r="F6731" t="s">
        <v>8152</v>
      </c>
    </row>
    <row r="6732" spans="1:6" x14ac:dyDescent="0.25">
      <c r="A6732" t="s">
        <v>7749</v>
      </c>
      <c r="B6732" t="s">
        <v>403</v>
      </c>
      <c r="C6732" t="s">
        <v>404</v>
      </c>
      <c r="D6732" t="str">
        <f>HYPERLINK("http://service.sap.com/sap/support/notes/1696213","1696213")</f>
        <v>1696213</v>
      </c>
      <c r="E6732">
        <v>3</v>
      </c>
      <c r="F6732" t="s">
        <v>8153</v>
      </c>
    </row>
    <row r="6733" spans="1:6" x14ac:dyDescent="0.25">
      <c r="A6733" t="s">
        <v>7749</v>
      </c>
      <c r="B6733" t="s">
        <v>403</v>
      </c>
      <c r="C6733" t="s">
        <v>404</v>
      </c>
      <c r="D6733" t="str">
        <f>HYPERLINK("http://service.sap.com/sap/support/notes/1698799","1698799")</f>
        <v>1698799</v>
      </c>
      <c r="E6733">
        <v>3</v>
      </c>
      <c r="F6733" t="s">
        <v>8154</v>
      </c>
    </row>
    <row r="6734" spans="1:6" x14ac:dyDescent="0.25">
      <c r="A6734" t="s">
        <v>7749</v>
      </c>
      <c r="B6734" t="s">
        <v>403</v>
      </c>
      <c r="C6734" t="s">
        <v>404</v>
      </c>
      <c r="D6734" t="str">
        <f>HYPERLINK("http://service.sap.com/sap/support/notes/1698983","1698983")</f>
        <v>1698983</v>
      </c>
      <c r="E6734">
        <v>2</v>
      </c>
      <c r="F6734" t="s">
        <v>8155</v>
      </c>
    </row>
    <row r="6735" spans="1:6" x14ac:dyDescent="0.25">
      <c r="A6735" t="s">
        <v>7749</v>
      </c>
      <c r="B6735" t="s">
        <v>403</v>
      </c>
      <c r="C6735" t="s">
        <v>404</v>
      </c>
      <c r="D6735" t="str">
        <f>HYPERLINK("http://service.sap.com/sap/support/notes/1699473","1699473")</f>
        <v>1699473</v>
      </c>
      <c r="E6735">
        <v>1</v>
      </c>
      <c r="F6735" t="s">
        <v>8156</v>
      </c>
    </row>
    <row r="6736" spans="1:6" x14ac:dyDescent="0.25">
      <c r="A6736" t="s">
        <v>7749</v>
      </c>
      <c r="B6736" t="s">
        <v>403</v>
      </c>
      <c r="C6736" t="s">
        <v>404</v>
      </c>
      <c r="D6736" t="str">
        <f>HYPERLINK("http://service.sap.com/sap/support/notes/1703724","1703724")</f>
        <v>1703724</v>
      </c>
      <c r="E6736">
        <v>2</v>
      </c>
      <c r="F6736" t="s">
        <v>8157</v>
      </c>
    </row>
    <row r="6737" spans="1:6" x14ac:dyDescent="0.25">
      <c r="A6737" t="s">
        <v>7749</v>
      </c>
      <c r="B6737" t="s">
        <v>403</v>
      </c>
      <c r="C6737" t="s">
        <v>404</v>
      </c>
      <c r="D6737" t="str">
        <f>HYPERLINK("http://service.sap.com/sap/support/notes/1708242","1708242")</f>
        <v>1708242</v>
      </c>
      <c r="E6737">
        <v>1</v>
      </c>
      <c r="F6737" t="s">
        <v>8158</v>
      </c>
    </row>
    <row r="6738" spans="1:6" x14ac:dyDescent="0.25">
      <c r="A6738" t="s">
        <v>7749</v>
      </c>
      <c r="B6738" t="s">
        <v>403</v>
      </c>
      <c r="C6738" t="s">
        <v>404</v>
      </c>
      <c r="D6738" t="str">
        <f>HYPERLINK("http://service.sap.com/sap/support/notes/1708479","1708479")</f>
        <v>1708479</v>
      </c>
      <c r="E6738">
        <v>4</v>
      </c>
      <c r="F6738" t="s">
        <v>8159</v>
      </c>
    </row>
    <row r="6739" spans="1:6" x14ac:dyDescent="0.25">
      <c r="A6739" t="s">
        <v>7749</v>
      </c>
      <c r="B6739" t="s">
        <v>403</v>
      </c>
      <c r="C6739" t="s">
        <v>404</v>
      </c>
      <c r="D6739" t="str">
        <f>HYPERLINK("http://service.sap.com/sap/support/notes/1710065","1710065")</f>
        <v>1710065</v>
      </c>
      <c r="E6739">
        <v>1</v>
      </c>
      <c r="F6739" t="s">
        <v>8160</v>
      </c>
    </row>
    <row r="6740" spans="1:6" x14ac:dyDescent="0.25">
      <c r="A6740" t="s">
        <v>7749</v>
      </c>
      <c r="B6740" t="s">
        <v>408</v>
      </c>
      <c r="C6740" t="s">
        <v>409</v>
      </c>
      <c r="D6740" t="str">
        <f>HYPERLINK("http://service.sap.com/sap/support/notes/1714449","1714449")</f>
        <v>1714449</v>
      </c>
      <c r="E6740">
        <v>1</v>
      </c>
      <c r="F6740" t="s">
        <v>8161</v>
      </c>
    </row>
    <row r="6741" spans="1:6" x14ac:dyDescent="0.25">
      <c r="A6741" t="s">
        <v>7749</v>
      </c>
      <c r="B6741" t="s">
        <v>411</v>
      </c>
      <c r="C6741" t="s">
        <v>412</v>
      </c>
      <c r="D6741" t="str">
        <f>HYPERLINK("http://service.sap.com/sap/support/notes/1721023","1721023")</f>
        <v>1721023</v>
      </c>
      <c r="E6741">
        <v>1</v>
      </c>
      <c r="F6741" t="s">
        <v>8162</v>
      </c>
    </row>
    <row r="6742" spans="1:6" x14ac:dyDescent="0.25">
      <c r="A6742" t="s">
        <v>7749</v>
      </c>
      <c r="B6742" t="s">
        <v>413</v>
      </c>
      <c r="C6742" t="s">
        <v>337</v>
      </c>
    </row>
    <row r="6743" spans="1:6" x14ac:dyDescent="0.25">
      <c r="A6743" t="s">
        <v>7749</v>
      </c>
      <c r="B6743" t="s">
        <v>414</v>
      </c>
      <c r="C6743" t="s">
        <v>359</v>
      </c>
      <c r="D6743" t="str">
        <f>HYPERLINK("http://service.sap.com/sap/support/notes/1711743","1711743")</f>
        <v>1711743</v>
      </c>
      <c r="E6743">
        <v>1</v>
      </c>
      <c r="F6743" t="s">
        <v>8163</v>
      </c>
    </row>
    <row r="6744" spans="1:6" x14ac:dyDescent="0.25">
      <c r="A6744" t="s">
        <v>7749</v>
      </c>
      <c r="B6744" t="s">
        <v>416</v>
      </c>
      <c r="C6744" t="s">
        <v>417</v>
      </c>
      <c r="D6744" t="str">
        <f>HYPERLINK("http://service.sap.com/sap/support/notes/1713537","1713537")</f>
        <v>1713537</v>
      </c>
      <c r="E6744">
        <v>4</v>
      </c>
      <c r="F6744" t="s">
        <v>8164</v>
      </c>
    </row>
    <row r="6745" spans="1:6" x14ac:dyDescent="0.25">
      <c r="A6745" t="s">
        <v>7749</v>
      </c>
      <c r="B6745" t="s">
        <v>2533</v>
      </c>
      <c r="C6745" t="s">
        <v>389</v>
      </c>
      <c r="D6745" t="str">
        <f>HYPERLINK("http://service.sap.com/sap/support/notes/1672938","1672938")</f>
        <v>1672938</v>
      </c>
      <c r="E6745">
        <v>1</v>
      </c>
      <c r="F6745" t="s">
        <v>8165</v>
      </c>
    </row>
    <row r="6746" spans="1:6" x14ac:dyDescent="0.25">
      <c r="A6746" t="s">
        <v>7749</v>
      </c>
      <c r="B6746" t="s">
        <v>2533</v>
      </c>
      <c r="C6746" t="s">
        <v>389</v>
      </c>
      <c r="D6746" t="str">
        <f>HYPERLINK("http://service.sap.com/sap/support/notes/1691291","1691291")</f>
        <v>1691291</v>
      </c>
      <c r="E6746">
        <v>5</v>
      </c>
      <c r="F6746" t="s">
        <v>8166</v>
      </c>
    </row>
    <row r="6747" spans="1:6" x14ac:dyDescent="0.25">
      <c r="A6747" t="s">
        <v>7749</v>
      </c>
      <c r="B6747" t="s">
        <v>2533</v>
      </c>
      <c r="C6747" t="s">
        <v>389</v>
      </c>
      <c r="D6747" t="str">
        <f>HYPERLINK("http://service.sap.com/sap/support/notes/1694233","1694233")</f>
        <v>1694233</v>
      </c>
      <c r="E6747">
        <v>1</v>
      </c>
      <c r="F6747" t="s">
        <v>8167</v>
      </c>
    </row>
    <row r="6748" spans="1:6" x14ac:dyDescent="0.25">
      <c r="A6748" t="s">
        <v>7749</v>
      </c>
      <c r="B6748" t="s">
        <v>2533</v>
      </c>
      <c r="C6748" t="s">
        <v>389</v>
      </c>
      <c r="D6748" t="str">
        <f>HYPERLINK("http://service.sap.com/sap/support/notes/1697967","1697967")</f>
        <v>1697967</v>
      </c>
      <c r="E6748">
        <v>1</v>
      </c>
      <c r="F6748" t="s">
        <v>8168</v>
      </c>
    </row>
    <row r="6749" spans="1:6" x14ac:dyDescent="0.25">
      <c r="A6749" t="s">
        <v>7749</v>
      </c>
      <c r="B6749" t="s">
        <v>2533</v>
      </c>
      <c r="C6749" t="s">
        <v>389</v>
      </c>
      <c r="D6749" t="str">
        <f>HYPERLINK("http://service.sap.com/sap/support/notes/1701784","1701784")</f>
        <v>1701784</v>
      </c>
      <c r="E6749">
        <v>1</v>
      </c>
      <c r="F6749" t="s">
        <v>8169</v>
      </c>
    </row>
    <row r="6750" spans="1:6" x14ac:dyDescent="0.25">
      <c r="A6750" t="s">
        <v>7749</v>
      </c>
      <c r="B6750" t="s">
        <v>2533</v>
      </c>
      <c r="C6750" t="s">
        <v>389</v>
      </c>
      <c r="D6750" t="str">
        <f>HYPERLINK("http://service.sap.com/sap/support/notes/1704819","1704819")</f>
        <v>1704819</v>
      </c>
      <c r="E6750">
        <v>1</v>
      </c>
      <c r="F6750" t="s">
        <v>8170</v>
      </c>
    </row>
    <row r="6751" spans="1:6" x14ac:dyDescent="0.25">
      <c r="A6751" t="s">
        <v>7749</v>
      </c>
      <c r="B6751" t="s">
        <v>2533</v>
      </c>
      <c r="C6751" t="s">
        <v>389</v>
      </c>
      <c r="D6751" t="str">
        <f>HYPERLINK("http://service.sap.com/sap/support/notes/1710149","1710149")</f>
        <v>1710149</v>
      </c>
      <c r="E6751">
        <v>1</v>
      </c>
      <c r="F6751" t="s">
        <v>8171</v>
      </c>
    </row>
    <row r="6752" spans="1:6" x14ac:dyDescent="0.25">
      <c r="A6752" t="s">
        <v>7749</v>
      </c>
      <c r="B6752" t="s">
        <v>2533</v>
      </c>
      <c r="C6752" t="s">
        <v>389</v>
      </c>
      <c r="D6752" t="str">
        <f>HYPERLINK("http://service.sap.com/sap/support/notes/1715625","1715625")</f>
        <v>1715625</v>
      </c>
      <c r="E6752">
        <v>1</v>
      </c>
      <c r="F6752" t="s">
        <v>8172</v>
      </c>
    </row>
    <row r="6753" spans="1:6" x14ac:dyDescent="0.25">
      <c r="A6753" t="s">
        <v>7749</v>
      </c>
      <c r="B6753" t="s">
        <v>2541</v>
      </c>
      <c r="C6753" t="s">
        <v>505</v>
      </c>
      <c r="D6753" t="str">
        <f>HYPERLINK("http://service.sap.com/sap/support/notes/1650040","1650040")</f>
        <v>1650040</v>
      </c>
      <c r="E6753">
        <v>7</v>
      </c>
      <c r="F6753" t="s">
        <v>8173</v>
      </c>
    </row>
    <row r="6754" spans="1:6" x14ac:dyDescent="0.25">
      <c r="A6754" t="s">
        <v>7749</v>
      </c>
      <c r="B6754" t="s">
        <v>2541</v>
      </c>
      <c r="C6754" t="s">
        <v>505</v>
      </c>
      <c r="D6754" t="str">
        <f>HYPERLINK("http://service.sap.com/sap/support/notes/1701291","1701291")</f>
        <v>1701291</v>
      </c>
      <c r="E6754">
        <v>2</v>
      </c>
      <c r="F6754" t="s">
        <v>8174</v>
      </c>
    </row>
    <row r="6755" spans="1:6" x14ac:dyDescent="0.25">
      <c r="A6755" t="s">
        <v>7749</v>
      </c>
      <c r="B6755" t="s">
        <v>2541</v>
      </c>
      <c r="C6755" t="s">
        <v>505</v>
      </c>
      <c r="D6755" t="str">
        <f>HYPERLINK("http://service.sap.com/sap/support/notes/1718418","1718418")</f>
        <v>1718418</v>
      </c>
      <c r="E6755">
        <v>1</v>
      </c>
      <c r="F6755" t="s">
        <v>8175</v>
      </c>
    </row>
    <row r="6756" spans="1:6" x14ac:dyDescent="0.25">
      <c r="A6756" t="s">
        <v>7749</v>
      </c>
      <c r="B6756" t="s">
        <v>8176</v>
      </c>
      <c r="C6756" t="s">
        <v>2452</v>
      </c>
      <c r="D6756" t="str">
        <f>HYPERLINK("http://service.sap.com/sap/support/notes/1675897","1675897")</f>
        <v>1675897</v>
      </c>
      <c r="E6756">
        <v>2</v>
      </c>
      <c r="F6756" t="s">
        <v>8177</v>
      </c>
    </row>
    <row r="6757" spans="1:6" x14ac:dyDescent="0.25">
      <c r="A6757" t="s">
        <v>7749</v>
      </c>
      <c r="B6757" t="s">
        <v>428</v>
      </c>
      <c r="C6757" t="s">
        <v>394</v>
      </c>
      <c r="D6757" t="str">
        <f>HYPERLINK("http://service.sap.com/sap/support/notes/1702299","1702299")</f>
        <v>1702299</v>
      </c>
      <c r="E6757">
        <v>2</v>
      </c>
      <c r="F6757" t="s">
        <v>8178</v>
      </c>
    </row>
    <row r="6758" spans="1:6" x14ac:dyDescent="0.25">
      <c r="A6758" t="s">
        <v>7749</v>
      </c>
      <c r="B6758" t="s">
        <v>2550</v>
      </c>
      <c r="C6758" t="s">
        <v>14</v>
      </c>
      <c r="D6758" t="str">
        <f>HYPERLINK("http://service.sap.com/sap/support/notes/1454645","1454645")</f>
        <v>1454645</v>
      </c>
      <c r="E6758">
        <v>2</v>
      </c>
      <c r="F6758" t="s">
        <v>8179</v>
      </c>
    </row>
    <row r="6759" spans="1:6" x14ac:dyDescent="0.25">
      <c r="A6759" t="s">
        <v>7749</v>
      </c>
      <c r="B6759" t="s">
        <v>2559</v>
      </c>
      <c r="C6759" t="s">
        <v>563</v>
      </c>
      <c r="D6759" t="str">
        <f>HYPERLINK("http://service.sap.com/sap/support/notes/1669916","1669916")</f>
        <v>1669916</v>
      </c>
      <c r="E6759">
        <v>1</v>
      </c>
      <c r="F6759" t="s">
        <v>8180</v>
      </c>
    </row>
    <row r="6760" spans="1:6" x14ac:dyDescent="0.25">
      <c r="A6760" t="s">
        <v>7749</v>
      </c>
      <c r="B6760" t="s">
        <v>2559</v>
      </c>
      <c r="C6760" t="s">
        <v>563</v>
      </c>
      <c r="D6760" t="str">
        <f>HYPERLINK("http://service.sap.com/sap/support/notes/1673515","1673515")</f>
        <v>1673515</v>
      </c>
      <c r="E6760">
        <v>1</v>
      </c>
      <c r="F6760" t="s">
        <v>8181</v>
      </c>
    </row>
    <row r="6761" spans="1:6" x14ac:dyDescent="0.25">
      <c r="A6761" t="s">
        <v>7749</v>
      </c>
      <c r="B6761" t="s">
        <v>8182</v>
      </c>
      <c r="C6761" t="s">
        <v>350</v>
      </c>
      <c r="D6761" t="str">
        <f>HYPERLINK("http://service.sap.com/sap/support/notes/1669343","1669343")</f>
        <v>1669343</v>
      </c>
      <c r="E6761">
        <v>1</v>
      </c>
      <c r="F6761" t="s">
        <v>8183</v>
      </c>
    </row>
    <row r="6762" spans="1:6" x14ac:dyDescent="0.25">
      <c r="A6762" t="s">
        <v>7749</v>
      </c>
      <c r="B6762" t="s">
        <v>8182</v>
      </c>
      <c r="C6762" t="s">
        <v>350</v>
      </c>
      <c r="D6762" t="str">
        <f>HYPERLINK("http://service.sap.com/sap/support/notes/1689070","1689070")</f>
        <v>1689070</v>
      </c>
      <c r="E6762">
        <v>1</v>
      </c>
      <c r="F6762" t="s">
        <v>8184</v>
      </c>
    </row>
    <row r="6763" spans="1:6" x14ac:dyDescent="0.25">
      <c r="A6763" t="s">
        <v>7749</v>
      </c>
      <c r="B6763" t="s">
        <v>431</v>
      </c>
      <c r="C6763" t="s">
        <v>432</v>
      </c>
    </row>
    <row r="6764" spans="1:6" x14ac:dyDescent="0.25">
      <c r="A6764" t="s">
        <v>7749</v>
      </c>
      <c r="B6764" t="s">
        <v>6442</v>
      </c>
      <c r="C6764" t="s">
        <v>14</v>
      </c>
      <c r="D6764" t="str">
        <f>HYPERLINK("http://service.sap.com/sap/support/notes/655179","655179")</f>
        <v>655179</v>
      </c>
      <c r="E6764">
        <v>4</v>
      </c>
      <c r="F6764" t="s">
        <v>8185</v>
      </c>
    </row>
    <row r="6765" spans="1:6" x14ac:dyDescent="0.25">
      <c r="A6765" t="s">
        <v>7749</v>
      </c>
      <c r="B6765" t="s">
        <v>433</v>
      </c>
      <c r="C6765" t="s">
        <v>434</v>
      </c>
    </row>
    <row r="6766" spans="1:6" x14ac:dyDescent="0.25">
      <c r="A6766" t="s">
        <v>7749</v>
      </c>
      <c r="B6766" t="s">
        <v>2565</v>
      </c>
      <c r="C6766" t="s">
        <v>2566</v>
      </c>
      <c r="D6766" t="str">
        <f>HYPERLINK("http://service.sap.com/sap/support/notes/1663635","1663635")</f>
        <v>1663635</v>
      </c>
      <c r="E6766">
        <v>3</v>
      </c>
      <c r="F6766" t="s">
        <v>8186</v>
      </c>
    </row>
    <row r="6767" spans="1:6" x14ac:dyDescent="0.25">
      <c r="A6767" t="s">
        <v>7749</v>
      </c>
      <c r="B6767" t="s">
        <v>2565</v>
      </c>
      <c r="C6767" t="s">
        <v>2566</v>
      </c>
      <c r="D6767" t="str">
        <f>HYPERLINK("http://service.sap.com/sap/support/notes/1674834","1674834")</f>
        <v>1674834</v>
      </c>
      <c r="E6767">
        <v>2</v>
      </c>
      <c r="F6767" t="s">
        <v>8187</v>
      </c>
    </row>
    <row r="6768" spans="1:6" x14ac:dyDescent="0.25">
      <c r="A6768" t="s">
        <v>7749</v>
      </c>
      <c r="B6768" t="s">
        <v>2565</v>
      </c>
      <c r="C6768" t="s">
        <v>2566</v>
      </c>
      <c r="D6768" t="str">
        <f>HYPERLINK("http://service.sap.com/sap/support/notes/1679677","1679677")</f>
        <v>1679677</v>
      </c>
      <c r="E6768">
        <v>1</v>
      </c>
      <c r="F6768" t="s">
        <v>8188</v>
      </c>
    </row>
    <row r="6769" spans="1:6" x14ac:dyDescent="0.25">
      <c r="A6769" t="s">
        <v>7749</v>
      </c>
      <c r="B6769" t="s">
        <v>2565</v>
      </c>
      <c r="C6769" t="s">
        <v>2566</v>
      </c>
      <c r="D6769" t="str">
        <f>HYPERLINK("http://service.sap.com/sap/support/notes/1686264","1686264")</f>
        <v>1686264</v>
      </c>
      <c r="E6769">
        <v>11</v>
      </c>
      <c r="F6769" t="s">
        <v>8189</v>
      </c>
    </row>
    <row r="6770" spans="1:6" x14ac:dyDescent="0.25">
      <c r="A6770" t="s">
        <v>7749</v>
      </c>
      <c r="B6770" t="s">
        <v>2565</v>
      </c>
      <c r="C6770" t="s">
        <v>2566</v>
      </c>
      <c r="D6770" t="str">
        <f>HYPERLINK("http://service.sap.com/sap/support/notes/1688327","1688327")</f>
        <v>1688327</v>
      </c>
      <c r="E6770">
        <v>2</v>
      </c>
      <c r="F6770" t="s">
        <v>8190</v>
      </c>
    </row>
    <row r="6771" spans="1:6" x14ac:dyDescent="0.25">
      <c r="A6771" t="s">
        <v>7749</v>
      </c>
      <c r="B6771" t="s">
        <v>2565</v>
      </c>
      <c r="C6771" t="s">
        <v>2566</v>
      </c>
      <c r="D6771" t="str">
        <f>HYPERLINK("http://service.sap.com/sap/support/notes/1695367","1695367")</f>
        <v>1695367</v>
      </c>
      <c r="E6771">
        <v>1</v>
      </c>
      <c r="F6771" t="s">
        <v>8191</v>
      </c>
    </row>
    <row r="6772" spans="1:6" x14ac:dyDescent="0.25">
      <c r="A6772" t="s">
        <v>7749</v>
      </c>
      <c r="B6772" t="s">
        <v>2565</v>
      </c>
      <c r="C6772" t="s">
        <v>2566</v>
      </c>
      <c r="D6772" t="str">
        <f>HYPERLINK("http://service.sap.com/sap/support/notes/1726824","1726824")</f>
        <v>1726824</v>
      </c>
      <c r="E6772">
        <v>1</v>
      </c>
      <c r="F6772" t="s">
        <v>8192</v>
      </c>
    </row>
    <row r="6773" spans="1:6" x14ac:dyDescent="0.25">
      <c r="A6773" t="s">
        <v>7749</v>
      </c>
      <c r="B6773" t="s">
        <v>435</v>
      </c>
      <c r="C6773" t="s">
        <v>436</v>
      </c>
      <c r="D6773" t="str">
        <f>HYPERLINK("http://service.sap.com/sap/support/notes/1692446","1692446")</f>
        <v>1692446</v>
      </c>
      <c r="E6773">
        <v>1</v>
      </c>
      <c r="F6773" t="s">
        <v>8193</v>
      </c>
    </row>
    <row r="6774" spans="1:6" x14ac:dyDescent="0.25">
      <c r="A6774" t="s">
        <v>7749</v>
      </c>
      <c r="B6774" t="s">
        <v>435</v>
      </c>
      <c r="C6774" t="s">
        <v>436</v>
      </c>
      <c r="D6774" t="str">
        <f>HYPERLINK("http://service.sap.com/sap/support/notes/1697731","1697731")</f>
        <v>1697731</v>
      </c>
      <c r="E6774">
        <v>1</v>
      </c>
      <c r="F6774" t="s">
        <v>8194</v>
      </c>
    </row>
    <row r="6775" spans="1:6" x14ac:dyDescent="0.25">
      <c r="A6775" t="s">
        <v>7749</v>
      </c>
      <c r="B6775" t="s">
        <v>435</v>
      </c>
      <c r="C6775" t="s">
        <v>436</v>
      </c>
      <c r="D6775" t="str">
        <f>HYPERLINK("http://service.sap.com/sap/support/notes/1700955","1700955")</f>
        <v>1700955</v>
      </c>
      <c r="E6775">
        <v>2</v>
      </c>
      <c r="F6775" t="s">
        <v>8195</v>
      </c>
    </row>
    <row r="6776" spans="1:6" x14ac:dyDescent="0.25">
      <c r="A6776" t="s">
        <v>7749</v>
      </c>
      <c r="B6776" t="s">
        <v>435</v>
      </c>
      <c r="C6776" t="s">
        <v>436</v>
      </c>
      <c r="D6776" t="str">
        <f>HYPERLINK("http://service.sap.com/sap/support/notes/1709672","1709672")</f>
        <v>1709672</v>
      </c>
      <c r="E6776">
        <v>1</v>
      </c>
      <c r="F6776" t="s">
        <v>8196</v>
      </c>
    </row>
    <row r="6777" spans="1:6" x14ac:dyDescent="0.25">
      <c r="A6777" t="s">
        <v>7749</v>
      </c>
      <c r="B6777" t="s">
        <v>441</v>
      </c>
      <c r="C6777" t="s">
        <v>442</v>
      </c>
      <c r="D6777" t="str">
        <f>HYPERLINK("http://service.sap.com/sap/support/notes/1504585","1504585")</f>
        <v>1504585</v>
      </c>
      <c r="E6777">
        <v>3</v>
      </c>
      <c r="F6777" t="s">
        <v>8197</v>
      </c>
    </row>
    <row r="6778" spans="1:6" x14ac:dyDescent="0.25">
      <c r="A6778" t="s">
        <v>7749</v>
      </c>
      <c r="B6778" t="s">
        <v>441</v>
      </c>
      <c r="C6778" t="s">
        <v>442</v>
      </c>
      <c r="D6778" t="str">
        <f>HYPERLINK("http://service.sap.com/sap/support/notes/1671969","1671969")</f>
        <v>1671969</v>
      </c>
      <c r="E6778">
        <v>2</v>
      </c>
      <c r="F6778" t="s">
        <v>8198</v>
      </c>
    </row>
    <row r="6779" spans="1:6" x14ac:dyDescent="0.25">
      <c r="A6779" t="s">
        <v>7749</v>
      </c>
      <c r="B6779" t="s">
        <v>441</v>
      </c>
      <c r="C6779" t="s">
        <v>442</v>
      </c>
      <c r="D6779" t="str">
        <f>HYPERLINK("http://service.sap.com/sap/support/notes/1673302","1673302")</f>
        <v>1673302</v>
      </c>
      <c r="E6779">
        <v>4</v>
      </c>
      <c r="F6779" t="s">
        <v>8199</v>
      </c>
    </row>
    <row r="6780" spans="1:6" x14ac:dyDescent="0.25">
      <c r="A6780" t="s">
        <v>7749</v>
      </c>
      <c r="B6780" t="s">
        <v>441</v>
      </c>
      <c r="C6780" t="s">
        <v>442</v>
      </c>
      <c r="D6780" t="str">
        <f>HYPERLINK("http://service.sap.com/sap/support/notes/1675386","1675386")</f>
        <v>1675386</v>
      </c>
      <c r="E6780">
        <v>1</v>
      </c>
      <c r="F6780" t="s">
        <v>8200</v>
      </c>
    </row>
    <row r="6781" spans="1:6" x14ac:dyDescent="0.25">
      <c r="A6781" t="s">
        <v>7749</v>
      </c>
      <c r="B6781" t="s">
        <v>441</v>
      </c>
      <c r="C6781" t="s">
        <v>442</v>
      </c>
      <c r="D6781" t="str">
        <f>HYPERLINK("http://service.sap.com/sap/support/notes/1676422","1676422")</f>
        <v>1676422</v>
      </c>
      <c r="E6781">
        <v>3</v>
      </c>
      <c r="F6781" t="s">
        <v>8201</v>
      </c>
    </row>
    <row r="6782" spans="1:6" x14ac:dyDescent="0.25">
      <c r="A6782" t="s">
        <v>7749</v>
      </c>
      <c r="B6782" t="s">
        <v>441</v>
      </c>
      <c r="C6782" t="s">
        <v>442</v>
      </c>
      <c r="D6782" t="str">
        <f>HYPERLINK("http://service.sap.com/sap/support/notes/1683107","1683107")</f>
        <v>1683107</v>
      </c>
      <c r="E6782">
        <v>2</v>
      </c>
      <c r="F6782" t="s">
        <v>8202</v>
      </c>
    </row>
    <row r="6783" spans="1:6" x14ac:dyDescent="0.25">
      <c r="A6783" t="s">
        <v>7749</v>
      </c>
      <c r="B6783" t="s">
        <v>441</v>
      </c>
      <c r="C6783" t="s">
        <v>442</v>
      </c>
      <c r="D6783" t="str">
        <f>HYPERLINK("http://service.sap.com/sap/support/notes/1683912","1683912")</f>
        <v>1683912</v>
      </c>
      <c r="E6783">
        <v>1</v>
      </c>
      <c r="F6783" t="s">
        <v>8203</v>
      </c>
    </row>
    <row r="6784" spans="1:6" x14ac:dyDescent="0.25">
      <c r="A6784" t="s">
        <v>7749</v>
      </c>
      <c r="B6784" t="s">
        <v>441</v>
      </c>
      <c r="C6784" t="s">
        <v>442</v>
      </c>
      <c r="D6784" t="str">
        <f>HYPERLINK("http://service.sap.com/sap/support/notes/1690688","1690688")</f>
        <v>1690688</v>
      </c>
      <c r="E6784">
        <v>1</v>
      </c>
      <c r="F6784" t="s">
        <v>8204</v>
      </c>
    </row>
    <row r="6785" spans="1:6" x14ac:dyDescent="0.25">
      <c r="A6785" t="s">
        <v>7749</v>
      </c>
      <c r="B6785" t="s">
        <v>441</v>
      </c>
      <c r="C6785" t="s">
        <v>442</v>
      </c>
      <c r="D6785" t="str">
        <f>HYPERLINK("http://service.sap.com/sap/support/notes/1703136","1703136")</f>
        <v>1703136</v>
      </c>
      <c r="E6785">
        <v>1</v>
      </c>
      <c r="F6785" t="s">
        <v>8205</v>
      </c>
    </row>
    <row r="6786" spans="1:6" x14ac:dyDescent="0.25">
      <c r="A6786" t="s">
        <v>7749</v>
      </c>
      <c r="B6786" t="s">
        <v>441</v>
      </c>
      <c r="C6786" t="s">
        <v>442</v>
      </c>
      <c r="D6786" t="str">
        <f>HYPERLINK("http://service.sap.com/sap/support/notes/1703372","1703372")</f>
        <v>1703372</v>
      </c>
      <c r="E6786">
        <v>2</v>
      </c>
      <c r="F6786" t="s">
        <v>8206</v>
      </c>
    </row>
    <row r="6787" spans="1:6" x14ac:dyDescent="0.25">
      <c r="A6787" t="s">
        <v>7749</v>
      </c>
      <c r="B6787" t="s">
        <v>441</v>
      </c>
      <c r="C6787" t="s">
        <v>442</v>
      </c>
      <c r="D6787" t="str">
        <f>HYPERLINK("http://service.sap.com/sap/support/notes/1712107","1712107")</f>
        <v>1712107</v>
      </c>
      <c r="E6787">
        <v>3</v>
      </c>
      <c r="F6787" t="s">
        <v>8207</v>
      </c>
    </row>
    <row r="6788" spans="1:6" x14ac:dyDescent="0.25">
      <c r="A6788" t="s">
        <v>7749</v>
      </c>
      <c r="B6788" t="s">
        <v>445</v>
      </c>
      <c r="C6788" t="s">
        <v>446</v>
      </c>
      <c r="D6788" t="str">
        <f>HYPERLINK("http://service.sap.com/sap/support/notes/620913","620913")</f>
        <v>620913</v>
      </c>
      <c r="E6788">
        <v>6</v>
      </c>
      <c r="F6788" t="s">
        <v>8208</v>
      </c>
    </row>
    <row r="6789" spans="1:6" x14ac:dyDescent="0.25">
      <c r="A6789" t="s">
        <v>7749</v>
      </c>
      <c r="B6789" t="s">
        <v>445</v>
      </c>
      <c r="C6789" t="s">
        <v>446</v>
      </c>
      <c r="D6789" t="str">
        <f>HYPERLINK("http://service.sap.com/sap/support/notes/1629516","1629516")</f>
        <v>1629516</v>
      </c>
      <c r="E6789">
        <v>1</v>
      </c>
      <c r="F6789" t="s">
        <v>8209</v>
      </c>
    </row>
    <row r="6790" spans="1:6" x14ac:dyDescent="0.25">
      <c r="A6790" t="s">
        <v>7749</v>
      </c>
      <c r="B6790" t="s">
        <v>445</v>
      </c>
      <c r="C6790" t="s">
        <v>446</v>
      </c>
      <c r="D6790" t="str">
        <f>HYPERLINK("http://service.sap.com/sap/support/notes/1696916","1696916")</f>
        <v>1696916</v>
      </c>
      <c r="E6790">
        <v>2</v>
      </c>
      <c r="F6790" t="s">
        <v>8210</v>
      </c>
    </row>
    <row r="6791" spans="1:6" x14ac:dyDescent="0.25">
      <c r="A6791" t="s">
        <v>7749</v>
      </c>
      <c r="B6791" t="s">
        <v>445</v>
      </c>
      <c r="C6791" t="s">
        <v>446</v>
      </c>
      <c r="D6791" t="str">
        <f>HYPERLINK("http://service.sap.com/sap/support/notes/1708280","1708280")</f>
        <v>1708280</v>
      </c>
      <c r="E6791">
        <v>4</v>
      </c>
      <c r="F6791" t="s">
        <v>8211</v>
      </c>
    </row>
    <row r="6792" spans="1:6" x14ac:dyDescent="0.25">
      <c r="A6792" t="s">
        <v>7749</v>
      </c>
      <c r="B6792" t="s">
        <v>445</v>
      </c>
      <c r="C6792" t="s">
        <v>446</v>
      </c>
      <c r="D6792" t="str">
        <f>HYPERLINK("http://service.sap.com/sap/support/notes/1711396","1711396")</f>
        <v>1711396</v>
      </c>
      <c r="E6792">
        <v>2</v>
      </c>
      <c r="F6792" t="s">
        <v>8212</v>
      </c>
    </row>
    <row r="6793" spans="1:6" x14ac:dyDescent="0.25">
      <c r="A6793" t="s">
        <v>7749</v>
      </c>
      <c r="B6793" t="s">
        <v>2616</v>
      </c>
      <c r="C6793" t="s">
        <v>2617</v>
      </c>
      <c r="D6793" t="str">
        <f>HYPERLINK("http://service.sap.com/sap/support/notes/1555374","1555374")</f>
        <v>1555374</v>
      </c>
      <c r="E6793">
        <v>3</v>
      </c>
      <c r="F6793" t="s">
        <v>8213</v>
      </c>
    </row>
    <row r="6794" spans="1:6" x14ac:dyDescent="0.25">
      <c r="A6794" t="s">
        <v>7749</v>
      </c>
      <c r="B6794" t="s">
        <v>2616</v>
      </c>
      <c r="C6794" t="s">
        <v>2617</v>
      </c>
      <c r="D6794" t="str">
        <f>HYPERLINK("http://service.sap.com/sap/support/notes/1649632","1649632")</f>
        <v>1649632</v>
      </c>
      <c r="E6794">
        <v>2</v>
      </c>
      <c r="F6794" t="s">
        <v>8214</v>
      </c>
    </row>
    <row r="6795" spans="1:6" x14ac:dyDescent="0.25">
      <c r="A6795" t="s">
        <v>7749</v>
      </c>
      <c r="B6795" t="s">
        <v>451</v>
      </c>
      <c r="C6795" t="s">
        <v>2619</v>
      </c>
      <c r="D6795" t="str">
        <f>HYPERLINK("http://service.sap.com/sap/support/notes/1652663","1652663")</f>
        <v>1652663</v>
      </c>
      <c r="E6795">
        <v>1</v>
      </c>
      <c r="F6795" t="s">
        <v>8215</v>
      </c>
    </row>
    <row r="6796" spans="1:6" x14ac:dyDescent="0.25">
      <c r="A6796" t="s">
        <v>7749</v>
      </c>
      <c r="B6796" t="s">
        <v>451</v>
      </c>
      <c r="C6796" t="s">
        <v>2619</v>
      </c>
      <c r="D6796" t="str">
        <f>HYPERLINK("http://service.sap.com/sap/support/notes/1700731","1700731")</f>
        <v>1700731</v>
      </c>
      <c r="E6796">
        <v>1</v>
      </c>
      <c r="F6796" t="s">
        <v>8216</v>
      </c>
    </row>
    <row r="6797" spans="1:6" x14ac:dyDescent="0.25">
      <c r="A6797" t="s">
        <v>7749</v>
      </c>
      <c r="B6797" t="s">
        <v>451</v>
      </c>
      <c r="C6797" t="s">
        <v>2619</v>
      </c>
      <c r="D6797" t="str">
        <f>HYPERLINK("http://service.sap.com/sap/support/notes/1709650","1709650")</f>
        <v>1709650</v>
      </c>
      <c r="E6797">
        <v>1</v>
      </c>
      <c r="F6797" t="s">
        <v>8217</v>
      </c>
    </row>
    <row r="6798" spans="1:6" x14ac:dyDescent="0.25">
      <c r="A6798" t="s">
        <v>7749</v>
      </c>
      <c r="B6798" t="s">
        <v>2628</v>
      </c>
      <c r="C6798" t="s">
        <v>2629</v>
      </c>
      <c r="D6798" t="str">
        <f>HYPERLINK("http://service.sap.com/sap/support/notes/1626914","1626914")</f>
        <v>1626914</v>
      </c>
      <c r="E6798">
        <v>5</v>
      </c>
      <c r="F6798" t="s">
        <v>2631</v>
      </c>
    </row>
    <row r="6799" spans="1:6" x14ac:dyDescent="0.25">
      <c r="A6799" t="s">
        <v>7749</v>
      </c>
      <c r="B6799" t="s">
        <v>2628</v>
      </c>
      <c r="C6799" t="s">
        <v>2629</v>
      </c>
      <c r="D6799" t="str">
        <f>HYPERLINK("http://service.sap.com/sap/support/notes/1679219","1679219")</f>
        <v>1679219</v>
      </c>
      <c r="E6799">
        <v>1</v>
      </c>
      <c r="F6799" t="s">
        <v>8218</v>
      </c>
    </row>
    <row r="6800" spans="1:6" x14ac:dyDescent="0.25">
      <c r="A6800" t="s">
        <v>7749</v>
      </c>
      <c r="B6800" t="s">
        <v>453</v>
      </c>
      <c r="C6800" t="s">
        <v>454</v>
      </c>
    </row>
    <row r="6801" spans="1:6" x14ac:dyDescent="0.25">
      <c r="A6801" t="s">
        <v>7749</v>
      </c>
      <c r="B6801" t="s">
        <v>455</v>
      </c>
      <c r="C6801" t="s">
        <v>456</v>
      </c>
      <c r="D6801" t="str">
        <f>HYPERLINK("http://service.sap.com/sap/support/notes/1666986","1666986")</f>
        <v>1666986</v>
      </c>
      <c r="E6801">
        <v>2</v>
      </c>
      <c r="F6801" t="s">
        <v>6473</v>
      </c>
    </row>
    <row r="6802" spans="1:6" x14ac:dyDescent="0.25">
      <c r="A6802" t="s">
        <v>7749</v>
      </c>
      <c r="B6802" t="s">
        <v>455</v>
      </c>
      <c r="C6802" t="s">
        <v>456</v>
      </c>
      <c r="D6802" t="str">
        <f>HYPERLINK("http://service.sap.com/sap/support/notes/1684711","1684711")</f>
        <v>1684711</v>
      </c>
      <c r="E6802">
        <v>2</v>
      </c>
      <c r="F6802" t="s">
        <v>8219</v>
      </c>
    </row>
    <row r="6803" spans="1:6" x14ac:dyDescent="0.25">
      <c r="A6803" t="s">
        <v>7749</v>
      </c>
      <c r="B6803" t="s">
        <v>455</v>
      </c>
      <c r="C6803" t="s">
        <v>456</v>
      </c>
      <c r="D6803" t="str">
        <f>HYPERLINK("http://service.sap.com/sap/support/notes/1717564","1717564")</f>
        <v>1717564</v>
      </c>
      <c r="E6803">
        <v>2</v>
      </c>
      <c r="F6803" t="s">
        <v>8220</v>
      </c>
    </row>
    <row r="6804" spans="1:6" x14ac:dyDescent="0.25">
      <c r="A6804" t="s">
        <v>7749</v>
      </c>
      <c r="B6804" t="s">
        <v>461</v>
      </c>
      <c r="C6804" t="s">
        <v>462</v>
      </c>
      <c r="D6804" t="str">
        <f>HYPERLINK("http://service.sap.com/sap/support/notes/1694616","1694616")</f>
        <v>1694616</v>
      </c>
      <c r="E6804">
        <v>1</v>
      </c>
      <c r="F6804" t="s">
        <v>8221</v>
      </c>
    </row>
    <row r="6805" spans="1:6" x14ac:dyDescent="0.25">
      <c r="A6805" t="s">
        <v>7749</v>
      </c>
      <c r="B6805" t="s">
        <v>461</v>
      </c>
      <c r="C6805" t="s">
        <v>462</v>
      </c>
      <c r="D6805" t="str">
        <f>HYPERLINK("http://service.sap.com/sap/support/notes/1703381","1703381")</f>
        <v>1703381</v>
      </c>
      <c r="E6805">
        <v>5</v>
      </c>
      <c r="F6805" t="s">
        <v>8222</v>
      </c>
    </row>
    <row r="6806" spans="1:6" x14ac:dyDescent="0.25">
      <c r="A6806" t="s">
        <v>7749</v>
      </c>
      <c r="B6806" t="s">
        <v>461</v>
      </c>
      <c r="C6806" t="s">
        <v>462</v>
      </c>
      <c r="D6806" t="str">
        <f>HYPERLINK("http://service.sap.com/sap/support/notes/1709276","1709276")</f>
        <v>1709276</v>
      </c>
      <c r="E6806">
        <v>1</v>
      </c>
      <c r="F6806" t="s">
        <v>8223</v>
      </c>
    </row>
    <row r="6807" spans="1:6" x14ac:dyDescent="0.25">
      <c r="A6807" t="s">
        <v>7749</v>
      </c>
      <c r="B6807" t="s">
        <v>461</v>
      </c>
      <c r="C6807" t="s">
        <v>462</v>
      </c>
      <c r="D6807" t="str">
        <f>HYPERLINK("http://service.sap.com/sap/support/notes/1710834","1710834")</f>
        <v>1710834</v>
      </c>
      <c r="E6807">
        <v>1</v>
      </c>
      <c r="F6807" t="s">
        <v>8224</v>
      </c>
    </row>
    <row r="6808" spans="1:6" x14ac:dyDescent="0.25">
      <c r="A6808" t="s">
        <v>7749</v>
      </c>
      <c r="B6808" t="s">
        <v>461</v>
      </c>
      <c r="C6808" t="s">
        <v>462</v>
      </c>
      <c r="D6808" t="str">
        <f>HYPERLINK("http://service.sap.com/sap/support/notes/1712924","1712924")</f>
        <v>1712924</v>
      </c>
      <c r="E6808">
        <v>4</v>
      </c>
      <c r="F6808" t="s">
        <v>8225</v>
      </c>
    </row>
    <row r="6809" spans="1:6" x14ac:dyDescent="0.25">
      <c r="A6809" t="s">
        <v>7749</v>
      </c>
      <c r="B6809" t="s">
        <v>461</v>
      </c>
      <c r="C6809" t="s">
        <v>462</v>
      </c>
      <c r="D6809" t="str">
        <f>HYPERLINK("http://service.sap.com/sap/support/notes/1713018","1713018")</f>
        <v>1713018</v>
      </c>
      <c r="E6809">
        <v>1</v>
      </c>
      <c r="F6809" t="s">
        <v>8226</v>
      </c>
    </row>
    <row r="6810" spans="1:6" x14ac:dyDescent="0.25">
      <c r="A6810" t="s">
        <v>7749</v>
      </c>
      <c r="B6810" t="s">
        <v>461</v>
      </c>
      <c r="C6810" t="s">
        <v>462</v>
      </c>
      <c r="D6810" t="str">
        <f>HYPERLINK("http://service.sap.com/sap/support/notes/1717030","1717030")</f>
        <v>1717030</v>
      </c>
      <c r="E6810">
        <v>1</v>
      </c>
      <c r="F6810" t="s">
        <v>8227</v>
      </c>
    </row>
    <row r="6811" spans="1:6" x14ac:dyDescent="0.25">
      <c r="A6811" t="s">
        <v>7749</v>
      </c>
      <c r="B6811" t="s">
        <v>461</v>
      </c>
      <c r="C6811" t="s">
        <v>462</v>
      </c>
      <c r="D6811" t="str">
        <f>HYPERLINK("http://service.sap.com/sap/support/notes/1717572","1717572")</f>
        <v>1717572</v>
      </c>
      <c r="E6811">
        <v>1</v>
      </c>
      <c r="F6811" t="s">
        <v>8228</v>
      </c>
    </row>
    <row r="6812" spans="1:6" x14ac:dyDescent="0.25">
      <c r="A6812" t="s">
        <v>7749</v>
      </c>
      <c r="B6812" t="s">
        <v>461</v>
      </c>
      <c r="C6812" t="s">
        <v>462</v>
      </c>
      <c r="D6812" t="str">
        <f>HYPERLINK("http://service.sap.com/sap/support/notes/1718905","1718905")</f>
        <v>1718905</v>
      </c>
      <c r="E6812">
        <v>1</v>
      </c>
      <c r="F6812" t="s">
        <v>8229</v>
      </c>
    </row>
    <row r="6813" spans="1:6" x14ac:dyDescent="0.25">
      <c r="A6813" t="s">
        <v>7749</v>
      </c>
      <c r="B6813" t="s">
        <v>461</v>
      </c>
      <c r="C6813" t="s">
        <v>462</v>
      </c>
      <c r="D6813" t="str">
        <f>HYPERLINK("http://service.sap.com/sap/support/notes/1719701","1719701")</f>
        <v>1719701</v>
      </c>
      <c r="E6813">
        <v>1</v>
      </c>
      <c r="F6813" t="s">
        <v>8230</v>
      </c>
    </row>
    <row r="6814" spans="1:6" x14ac:dyDescent="0.25">
      <c r="A6814" t="s">
        <v>7749</v>
      </c>
      <c r="B6814" t="s">
        <v>461</v>
      </c>
      <c r="C6814" t="s">
        <v>462</v>
      </c>
      <c r="D6814" t="str">
        <f>HYPERLINK("http://service.sap.com/sap/support/notes/1724051","1724051")</f>
        <v>1724051</v>
      </c>
      <c r="E6814">
        <v>1</v>
      </c>
      <c r="F6814" t="s">
        <v>8231</v>
      </c>
    </row>
    <row r="6815" spans="1:6" x14ac:dyDescent="0.25">
      <c r="A6815" t="s">
        <v>7749</v>
      </c>
      <c r="B6815" t="s">
        <v>466</v>
      </c>
      <c r="C6815" t="s">
        <v>337</v>
      </c>
    </row>
    <row r="6816" spans="1:6" x14ac:dyDescent="0.25">
      <c r="A6816" t="s">
        <v>7749</v>
      </c>
      <c r="B6816" t="s">
        <v>468</v>
      </c>
      <c r="C6816" t="s">
        <v>469</v>
      </c>
      <c r="D6816" t="str">
        <f>HYPERLINK("http://service.sap.com/sap/support/notes/1548583","1548583")</f>
        <v>1548583</v>
      </c>
      <c r="E6816">
        <v>1</v>
      </c>
      <c r="F6816" t="s">
        <v>6499</v>
      </c>
    </row>
    <row r="6817" spans="1:6" x14ac:dyDescent="0.25">
      <c r="A6817" t="s">
        <v>7749</v>
      </c>
      <c r="B6817" t="s">
        <v>468</v>
      </c>
      <c r="C6817" t="s">
        <v>469</v>
      </c>
      <c r="D6817" t="str">
        <f>HYPERLINK("http://service.sap.com/sap/support/notes/1680448","1680448")</f>
        <v>1680448</v>
      </c>
      <c r="E6817">
        <v>2</v>
      </c>
      <c r="F6817" t="s">
        <v>8232</v>
      </c>
    </row>
    <row r="6818" spans="1:6" x14ac:dyDescent="0.25">
      <c r="A6818" t="s">
        <v>7749</v>
      </c>
      <c r="B6818" t="s">
        <v>468</v>
      </c>
      <c r="C6818" t="s">
        <v>469</v>
      </c>
      <c r="D6818" t="str">
        <f>HYPERLINK("http://service.sap.com/sap/support/notes/1696796","1696796")</f>
        <v>1696796</v>
      </c>
      <c r="E6818">
        <v>1</v>
      </c>
      <c r="F6818" t="s">
        <v>8233</v>
      </c>
    </row>
    <row r="6819" spans="1:6" x14ac:dyDescent="0.25">
      <c r="A6819" t="s">
        <v>7749</v>
      </c>
      <c r="B6819" t="s">
        <v>468</v>
      </c>
      <c r="C6819" t="s">
        <v>469</v>
      </c>
      <c r="D6819" t="str">
        <f>HYPERLINK("http://service.sap.com/sap/support/notes/1697477","1697477")</f>
        <v>1697477</v>
      </c>
      <c r="E6819">
        <v>1</v>
      </c>
      <c r="F6819" t="s">
        <v>8234</v>
      </c>
    </row>
    <row r="6820" spans="1:6" x14ac:dyDescent="0.25">
      <c r="A6820" t="s">
        <v>7749</v>
      </c>
      <c r="B6820" t="s">
        <v>468</v>
      </c>
      <c r="C6820" t="s">
        <v>469</v>
      </c>
      <c r="D6820" t="str">
        <f>HYPERLINK("http://service.sap.com/sap/support/notes/1697894","1697894")</f>
        <v>1697894</v>
      </c>
      <c r="E6820">
        <v>2</v>
      </c>
      <c r="F6820" t="s">
        <v>8235</v>
      </c>
    </row>
    <row r="6821" spans="1:6" x14ac:dyDescent="0.25">
      <c r="A6821" t="s">
        <v>7749</v>
      </c>
      <c r="B6821" t="s">
        <v>468</v>
      </c>
      <c r="C6821" t="s">
        <v>469</v>
      </c>
      <c r="D6821" t="str">
        <f>HYPERLINK("http://service.sap.com/sap/support/notes/1697923","1697923")</f>
        <v>1697923</v>
      </c>
      <c r="E6821">
        <v>1</v>
      </c>
      <c r="F6821" t="s">
        <v>8236</v>
      </c>
    </row>
    <row r="6822" spans="1:6" x14ac:dyDescent="0.25">
      <c r="A6822" t="s">
        <v>7749</v>
      </c>
      <c r="B6822" t="s">
        <v>468</v>
      </c>
      <c r="C6822" t="s">
        <v>469</v>
      </c>
      <c r="D6822" t="str">
        <f>HYPERLINK("http://service.sap.com/sap/support/notes/1699952","1699952")</f>
        <v>1699952</v>
      </c>
      <c r="E6822">
        <v>2</v>
      </c>
      <c r="F6822" t="s">
        <v>8237</v>
      </c>
    </row>
    <row r="6823" spans="1:6" x14ac:dyDescent="0.25">
      <c r="A6823" t="s">
        <v>7749</v>
      </c>
      <c r="B6823" t="s">
        <v>468</v>
      </c>
      <c r="C6823" t="s">
        <v>469</v>
      </c>
      <c r="D6823" t="str">
        <f>HYPERLINK("http://service.sap.com/sap/support/notes/1700059","1700059")</f>
        <v>1700059</v>
      </c>
      <c r="E6823">
        <v>1</v>
      </c>
      <c r="F6823" t="s">
        <v>8238</v>
      </c>
    </row>
    <row r="6824" spans="1:6" x14ac:dyDescent="0.25">
      <c r="A6824" t="s">
        <v>7749</v>
      </c>
      <c r="B6824" t="s">
        <v>468</v>
      </c>
      <c r="C6824" t="s">
        <v>469</v>
      </c>
      <c r="D6824" t="str">
        <f>HYPERLINK("http://service.sap.com/sap/support/notes/1702623","1702623")</f>
        <v>1702623</v>
      </c>
      <c r="E6824">
        <v>1</v>
      </c>
      <c r="F6824" t="s">
        <v>8239</v>
      </c>
    </row>
    <row r="6825" spans="1:6" x14ac:dyDescent="0.25">
      <c r="A6825" t="s">
        <v>7749</v>
      </c>
      <c r="B6825" t="s">
        <v>468</v>
      </c>
      <c r="C6825" t="s">
        <v>469</v>
      </c>
      <c r="D6825" t="str">
        <f>HYPERLINK("http://service.sap.com/sap/support/notes/1705883","1705883")</f>
        <v>1705883</v>
      </c>
      <c r="E6825">
        <v>1</v>
      </c>
      <c r="F6825" t="s">
        <v>8240</v>
      </c>
    </row>
    <row r="6826" spans="1:6" x14ac:dyDescent="0.25">
      <c r="A6826" t="s">
        <v>7749</v>
      </c>
      <c r="B6826" t="s">
        <v>468</v>
      </c>
      <c r="C6826" t="s">
        <v>469</v>
      </c>
      <c r="D6826" t="str">
        <f>HYPERLINK("http://service.sap.com/sap/support/notes/1706124","1706124")</f>
        <v>1706124</v>
      </c>
      <c r="E6826">
        <v>1</v>
      </c>
      <c r="F6826" t="s">
        <v>8241</v>
      </c>
    </row>
    <row r="6827" spans="1:6" x14ac:dyDescent="0.25">
      <c r="A6827" t="s">
        <v>7749</v>
      </c>
      <c r="B6827" t="s">
        <v>468</v>
      </c>
      <c r="C6827" t="s">
        <v>469</v>
      </c>
      <c r="D6827" t="str">
        <f>HYPERLINK("http://service.sap.com/sap/support/notes/1707059","1707059")</f>
        <v>1707059</v>
      </c>
      <c r="E6827">
        <v>1</v>
      </c>
      <c r="F6827" t="s">
        <v>8242</v>
      </c>
    </row>
    <row r="6828" spans="1:6" x14ac:dyDescent="0.25">
      <c r="A6828" t="s">
        <v>7749</v>
      </c>
      <c r="B6828" t="s">
        <v>468</v>
      </c>
      <c r="C6828" t="s">
        <v>469</v>
      </c>
      <c r="D6828" t="str">
        <f>HYPERLINK("http://service.sap.com/sap/support/notes/1707194","1707194")</f>
        <v>1707194</v>
      </c>
      <c r="E6828">
        <v>1</v>
      </c>
      <c r="F6828" t="s">
        <v>8243</v>
      </c>
    </row>
    <row r="6829" spans="1:6" x14ac:dyDescent="0.25">
      <c r="A6829" t="s">
        <v>7749</v>
      </c>
      <c r="B6829" t="s">
        <v>468</v>
      </c>
      <c r="C6829" t="s">
        <v>469</v>
      </c>
      <c r="D6829" t="str">
        <f>HYPERLINK("http://service.sap.com/sap/support/notes/1710228","1710228")</f>
        <v>1710228</v>
      </c>
      <c r="E6829">
        <v>1</v>
      </c>
      <c r="F6829" t="s">
        <v>8244</v>
      </c>
    </row>
    <row r="6830" spans="1:6" x14ac:dyDescent="0.25">
      <c r="A6830" t="s">
        <v>7749</v>
      </c>
      <c r="B6830" t="s">
        <v>468</v>
      </c>
      <c r="C6830" t="s">
        <v>469</v>
      </c>
      <c r="D6830" t="str">
        <f>HYPERLINK("http://service.sap.com/sap/support/notes/1710407","1710407")</f>
        <v>1710407</v>
      </c>
      <c r="E6830">
        <v>1</v>
      </c>
      <c r="F6830" t="s">
        <v>8245</v>
      </c>
    </row>
    <row r="6831" spans="1:6" x14ac:dyDescent="0.25">
      <c r="A6831" t="s">
        <v>7749</v>
      </c>
      <c r="B6831" t="s">
        <v>468</v>
      </c>
      <c r="C6831" t="s">
        <v>469</v>
      </c>
      <c r="D6831" t="str">
        <f>HYPERLINK("http://service.sap.com/sap/support/notes/1711859","1711859")</f>
        <v>1711859</v>
      </c>
      <c r="E6831">
        <v>1</v>
      </c>
      <c r="F6831" t="s">
        <v>8246</v>
      </c>
    </row>
    <row r="6832" spans="1:6" x14ac:dyDescent="0.25">
      <c r="A6832" t="s">
        <v>7749</v>
      </c>
      <c r="B6832" t="s">
        <v>468</v>
      </c>
      <c r="C6832" t="s">
        <v>469</v>
      </c>
      <c r="D6832" t="str">
        <f>HYPERLINK("http://service.sap.com/sap/support/notes/1715320","1715320")</f>
        <v>1715320</v>
      </c>
      <c r="E6832">
        <v>1</v>
      </c>
      <c r="F6832" t="s">
        <v>8247</v>
      </c>
    </row>
    <row r="6833" spans="1:6" x14ac:dyDescent="0.25">
      <c r="A6833" t="s">
        <v>7749</v>
      </c>
      <c r="B6833" t="s">
        <v>468</v>
      </c>
      <c r="C6833" t="s">
        <v>469</v>
      </c>
      <c r="D6833" t="str">
        <f>HYPERLINK("http://service.sap.com/sap/support/notes/1718040","1718040")</f>
        <v>1718040</v>
      </c>
      <c r="E6833">
        <v>1</v>
      </c>
      <c r="F6833" t="s">
        <v>8248</v>
      </c>
    </row>
    <row r="6834" spans="1:6" x14ac:dyDescent="0.25">
      <c r="A6834" t="s">
        <v>7749</v>
      </c>
      <c r="B6834" t="s">
        <v>468</v>
      </c>
      <c r="C6834" t="s">
        <v>469</v>
      </c>
      <c r="D6834" t="str">
        <f>HYPERLINK("http://service.sap.com/sap/support/notes/1719592","1719592")</f>
        <v>1719592</v>
      </c>
      <c r="E6834">
        <v>1</v>
      </c>
      <c r="F6834" t="s">
        <v>8249</v>
      </c>
    </row>
    <row r="6835" spans="1:6" x14ac:dyDescent="0.25">
      <c r="A6835" t="s">
        <v>7749</v>
      </c>
      <c r="B6835" t="s">
        <v>468</v>
      </c>
      <c r="C6835" t="s">
        <v>469</v>
      </c>
      <c r="D6835" t="str">
        <f>HYPERLINK("http://service.sap.com/sap/support/notes/1720484","1720484")</f>
        <v>1720484</v>
      </c>
      <c r="E6835">
        <v>1</v>
      </c>
      <c r="F6835" t="s">
        <v>8250</v>
      </c>
    </row>
    <row r="6836" spans="1:6" x14ac:dyDescent="0.25">
      <c r="A6836" t="s">
        <v>7749</v>
      </c>
      <c r="B6836" t="s">
        <v>468</v>
      </c>
      <c r="C6836" t="s">
        <v>469</v>
      </c>
      <c r="D6836" t="str">
        <f>HYPERLINK("http://service.sap.com/sap/support/notes/1726258","1726258")</f>
        <v>1726258</v>
      </c>
      <c r="E6836">
        <v>2</v>
      </c>
      <c r="F6836" t="s">
        <v>8251</v>
      </c>
    </row>
    <row r="6837" spans="1:6" x14ac:dyDescent="0.25">
      <c r="A6837" t="s">
        <v>7749</v>
      </c>
      <c r="B6837" t="s">
        <v>468</v>
      </c>
      <c r="C6837" t="s">
        <v>469</v>
      </c>
      <c r="D6837" t="str">
        <f>HYPERLINK("http://service.sap.com/sap/support/notes/1727097","1727097")</f>
        <v>1727097</v>
      </c>
      <c r="E6837">
        <v>1</v>
      </c>
      <c r="F6837" t="s">
        <v>8252</v>
      </c>
    </row>
    <row r="6838" spans="1:6" x14ac:dyDescent="0.25">
      <c r="A6838" t="s">
        <v>7749</v>
      </c>
      <c r="B6838" t="s">
        <v>2700</v>
      </c>
      <c r="C6838" t="s">
        <v>2701</v>
      </c>
      <c r="D6838" t="str">
        <f>HYPERLINK("http://service.sap.com/sap/support/notes/1683446","1683446")</f>
        <v>1683446</v>
      </c>
      <c r="E6838">
        <v>2</v>
      </c>
      <c r="F6838" t="s">
        <v>8253</v>
      </c>
    </row>
    <row r="6839" spans="1:6" x14ac:dyDescent="0.25">
      <c r="A6839" t="s">
        <v>7749</v>
      </c>
      <c r="B6839" t="s">
        <v>478</v>
      </c>
      <c r="C6839" t="s">
        <v>389</v>
      </c>
      <c r="D6839" t="str">
        <f>HYPERLINK("http://service.sap.com/sap/support/notes/1691854","1691854")</f>
        <v>1691854</v>
      </c>
      <c r="E6839">
        <v>1</v>
      </c>
      <c r="F6839" t="s">
        <v>8254</v>
      </c>
    </row>
    <row r="6840" spans="1:6" x14ac:dyDescent="0.25">
      <c r="A6840" t="s">
        <v>7749</v>
      </c>
      <c r="B6840" t="s">
        <v>478</v>
      </c>
      <c r="C6840" t="s">
        <v>389</v>
      </c>
      <c r="D6840" t="str">
        <f>HYPERLINK("http://service.sap.com/sap/support/notes/1692932","1692932")</f>
        <v>1692932</v>
      </c>
      <c r="E6840">
        <v>1</v>
      </c>
      <c r="F6840" t="s">
        <v>8255</v>
      </c>
    </row>
    <row r="6841" spans="1:6" x14ac:dyDescent="0.25">
      <c r="A6841" t="s">
        <v>7749</v>
      </c>
      <c r="B6841" t="s">
        <v>478</v>
      </c>
      <c r="C6841" t="s">
        <v>389</v>
      </c>
      <c r="D6841" t="str">
        <f>HYPERLINK("http://service.sap.com/sap/support/notes/1699013","1699013")</f>
        <v>1699013</v>
      </c>
      <c r="E6841">
        <v>1</v>
      </c>
      <c r="F6841" t="s">
        <v>8256</v>
      </c>
    </row>
    <row r="6842" spans="1:6" x14ac:dyDescent="0.25">
      <c r="A6842" t="s">
        <v>7749</v>
      </c>
      <c r="B6842" t="s">
        <v>478</v>
      </c>
      <c r="C6842" t="s">
        <v>389</v>
      </c>
      <c r="D6842" t="str">
        <f>HYPERLINK("http://service.sap.com/sap/support/notes/1701675","1701675")</f>
        <v>1701675</v>
      </c>
      <c r="E6842">
        <v>2</v>
      </c>
      <c r="F6842" t="s">
        <v>8257</v>
      </c>
    </row>
    <row r="6843" spans="1:6" x14ac:dyDescent="0.25">
      <c r="A6843" t="s">
        <v>7749</v>
      </c>
      <c r="B6843" t="s">
        <v>478</v>
      </c>
      <c r="C6843" t="s">
        <v>389</v>
      </c>
      <c r="D6843" t="str">
        <f>HYPERLINK("http://service.sap.com/sap/support/notes/1703181","1703181")</f>
        <v>1703181</v>
      </c>
      <c r="E6843">
        <v>2</v>
      </c>
      <c r="F6843" t="s">
        <v>8258</v>
      </c>
    </row>
    <row r="6844" spans="1:6" x14ac:dyDescent="0.25">
      <c r="A6844" t="s">
        <v>7749</v>
      </c>
      <c r="B6844" t="s">
        <v>478</v>
      </c>
      <c r="C6844" t="s">
        <v>389</v>
      </c>
      <c r="D6844" t="str">
        <f>HYPERLINK("http://service.sap.com/sap/support/notes/1704816","1704816")</f>
        <v>1704816</v>
      </c>
      <c r="E6844">
        <v>1</v>
      </c>
      <c r="F6844" t="s">
        <v>8259</v>
      </c>
    </row>
    <row r="6845" spans="1:6" x14ac:dyDescent="0.25">
      <c r="A6845" t="s">
        <v>7749</v>
      </c>
      <c r="B6845" t="s">
        <v>478</v>
      </c>
      <c r="C6845" t="s">
        <v>389</v>
      </c>
      <c r="D6845" t="str">
        <f>HYPERLINK("http://service.sap.com/sap/support/notes/1711456","1711456")</f>
        <v>1711456</v>
      </c>
      <c r="E6845">
        <v>1</v>
      </c>
      <c r="F6845" t="s">
        <v>8260</v>
      </c>
    </row>
    <row r="6846" spans="1:6" x14ac:dyDescent="0.25">
      <c r="A6846" t="s">
        <v>7749</v>
      </c>
      <c r="B6846" t="s">
        <v>2712</v>
      </c>
      <c r="C6846" t="s">
        <v>2440</v>
      </c>
      <c r="D6846" t="str">
        <f>HYPERLINK("http://service.sap.com/sap/support/notes/1701577","1701577")</f>
        <v>1701577</v>
      </c>
      <c r="E6846">
        <v>3</v>
      </c>
      <c r="F6846" t="s">
        <v>8261</v>
      </c>
    </row>
    <row r="6847" spans="1:6" x14ac:dyDescent="0.25">
      <c r="A6847" t="s">
        <v>7749</v>
      </c>
      <c r="B6847" t="s">
        <v>2712</v>
      </c>
      <c r="C6847" t="s">
        <v>2440</v>
      </c>
      <c r="D6847" t="str">
        <f>HYPERLINK("http://service.sap.com/sap/support/notes/1714920","1714920")</f>
        <v>1714920</v>
      </c>
      <c r="E6847">
        <v>1</v>
      </c>
      <c r="F6847" t="s">
        <v>8262</v>
      </c>
    </row>
    <row r="6848" spans="1:6" x14ac:dyDescent="0.25">
      <c r="A6848" t="s">
        <v>7749</v>
      </c>
      <c r="B6848" t="s">
        <v>481</v>
      </c>
      <c r="C6848" t="s">
        <v>482</v>
      </c>
      <c r="D6848" t="str">
        <f>HYPERLINK("http://service.sap.com/sap/support/notes/1542782","1542782")</f>
        <v>1542782</v>
      </c>
      <c r="E6848">
        <v>11</v>
      </c>
      <c r="F6848" t="s">
        <v>2720</v>
      </c>
    </row>
    <row r="6849" spans="1:6" x14ac:dyDescent="0.25">
      <c r="A6849" t="s">
        <v>7749</v>
      </c>
      <c r="B6849" t="s">
        <v>481</v>
      </c>
      <c r="C6849" t="s">
        <v>482</v>
      </c>
      <c r="D6849" t="str">
        <f>HYPERLINK("http://service.sap.com/sap/support/notes/1687513","1687513")</f>
        <v>1687513</v>
      </c>
      <c r="E6849">
        <v>2</v>
      </c>
      <c r="F6849" t="s">
        <v>8263</v>
      </c>
    </row>
    <row r="6850" spans="1:6" x14ac:dyDescent="0.25">
      <c r="A6850" t="s">
        <v>7749</v>
      </c>
      <c r="B6850" t="s">
        <v>481</v>
      </c>
      <c r="C6850" t="s">
        <v>482</v>
      </c>
      <c r="D6850" t="str">
        <f>HYPERLINK("http://service.sap.com/sap/support/notes/1692637","1692637")</f>
        <v>1692637</v>
      </c>
      <c r="E6850">
        <v>6</v>
      </c>
      <c r="F6850" t="s">
        <v>8264</v>
      </c>
    </row>
    <row r="6851" spans="1:6" x14ac:dyDescent="0.25">
      <c r="A6851" t="s">
        <v>7749</v>
      </c>
      <c r="B6851" t="s">
        <v>481</v>
      </c>
      <c r="C6851" t="s">
        <v>482</v>
      </c>
      <c r="D6851" t="str">
        <f>HYPERLINK("http://service.sap.com/sap/support/notes/1694800","1694800")</f>
        <v>1694800</v>
      </c>
      <c r="E6851">
        <v>7</v>
      </c>
      <c r="F6851" t="s">
        <v>8265</v>
      </c>
    </row>
    <row r="6852" spans="1:6" x14ac:dyDescent="0.25">
      <c r="A6852" t="s">
        <v>7749</v>
      </c>
      <c r="B6852" t="s">
        <v>481</v>
      </c>
      <c r="C6852" t="s">
        <v>482</v>
      </c>
      <c r="D6852" t="str">
        <f>HYPERLINK("http://service.sap.com/sap/support/notes/1695405","1695405")</f>
        <v>1695405</v>
      </c>
      <c r="E6852">
        <v>3</v>
      </c>
      <c r="F6852" t="s">
        <v>8266</v>
      </c>
    </row>
    <row r="6853" spans="1:6" x14ac:dyDescent="0.25">
      <c r="A6853" t="s">
        <v>7749</v>
      </c>
      <c r="B6853" t="s">
        <v>481</v>
      </c>
      <c r="C6853" t="s">
        <v>482</v>
      </c>
      <c r="D6853" t="str">
        <f>HYPERLINK("http://service.sap.com/sap/support/notes/1700573","1700573")</f>
        <v>1700573</v>
      </c>
      <c r="E6853">
        <v>1</v>
      </c>
      <c r="F6853" t="s">
        <v>8267</v>
      </c>
    </row>
    <row r="6854" spans="1:6" x14ac:dyDescent="0.25">
      <c r="A6854" t="s">
        <v>7749</v>
      </c>
      <c r="B6854" t="s">
        <v>481</v>
      </c>
      <c r="C6854" t="s">
        <v>482</v>
      </c>
      <c r="D6854" t="str">
        <f>HYPERLINK("http://service.sap.com/sap/support/notes/1700580","1700580")</f>
        <v>1700580</v>
      </c>
      <c r="E6854">
        <v>1</v>
      </c>
      <c r="F6854" t="s">
        <v>8268</v>
      </c>
    </row>
    <row r="6855" spans="1:6" x14ac:dyDescent="0.25">
      <c r="A6855" t="s">
        <v>7749</v>
      </c>
      <c r="B6855" t="s">
        <v>481</v>
      </c>
      <c r="C6855" t="s">
        <v>482</v>
      </c>
      <c r="D6855" t="str">
        <f>HYPERLINK("http://service.sap.com/sap/support/notes/1703988","1703988")</f>
        <v>1703988</v>
      </c>
      <c r="E6855">
        <v>1</v>
      </c>
      <c r="F6855" t="s">
        <v>8269</v>
      </c>
    </row>
    <row r="6856" spans="1:6" x14ac:dyDescent="0.25">
      <c r="A6856" t="s">
        <v>7749</v>
      </c>
      <c r="B6856" t="s">
        <v>481</v>
      </c>
      <c r="C6856" t="s">
        <v>482</v>
      </c>
      <c r="D6856" t="str">
        <f>HYPERLINK("http://service.sap.com/sap/support/notes/1703995","1703995")</f>
        <v>1703995</v>
      </c>
      <c r="E6856">
        <v>1</v>
      </c>
      <c r="F6856" t="s">
        <v>8270</v>
      </c>
    </row>
    <row r="6857" spans="1:6" x14ac:dyDescent="0.25">
      <c r="A6857" t="s">
        <v>7749</v>
      </c>
      <c r="B6857" t="s">
        <v>481</v>
      </c>
      <c r="C6857" t="s">
        <v>482</v>
      </c>
      <c r="D6857" t="str">
        <f>HYPERLINK("http://service.sap.com/sap/support/notes/1707628","1707628")</f>
        <v>1707628</v>
      </c>
      <c r="E6857">
        <v>4</v>
      </c>
      <c r="F6857" t="s">
        <v>8271</v>
      </c>
    </row>
    <row r="6858" spans="1:6" x14ac:dyDescent="0.25">
      <c r="A6858" t="s">
        <v>7749</v>
      </c>
      <c r="B6858" t="s">
        <v>481</v>
      </c>
      <c r="C6858" t="s">
        <v>482</v>
      </c>
      <c r="D6858" t="str">
        <f>HYPERLINK("http://service.sap.com/sap/support/notes/1708462","1708462")</f>
        <v>1708462</v>
      </c>
      <c r="E6858">
        <v>1</v>
      </c>
      <c r="F6858" t="s">
        <v>8272</v>
      </c>
    </row>
    <row r="6859" spans="1:6" x14ac:dyDescent="0.25">
      <c r="A6859" t="s">
        <v>7749</v>
      </c>
      <c r="B6859" t="s">
        <v>481</v>
      </c>
      <c r="C6859" t="s">
        <v>482</v>
      </c>
      <c r="D6859" t="str">
        <f>HYPERLINK("http://service.sap.com/sap/support/notes/1712280","1712280")</f>
        <v>1712280</v>
      </c>
      <c r="E6859">
        <v>1</v>
      </c>
      <c r="F6859" t="s">
        <v>8273</v>
      </c>
    </row>
    <row r="6860" spans="1:6" x14ac:dyDescent="0.25">
      <c r="A6860" t="s">
        <v>7749</v>
      </c>
      <c r="B6860" t="s">
        <v>481</v>
      </c>
      <c r="C6860" t="s">
        <v>482</v>
      </c>
      <c r="D6860" t="str">
        <f>HYPERLINK("http://service.sap.com/sap/support/notes/1713173","1713173")</f>
        <v>1713173</v>
      </c>
      <c r="E6860">
        <v>1</v>
      </c>
      <c r="F6860" t="s">
        <v>8274</v>
      </c>
    </row>
    <row r="6861" spans="1:6" x14ac:dyDescent="0.25">
      <c r="A6861" t="s">
        <v>7749</v>
      </c>
      <c r="B6861" t="s">
        <v>481</v>
      </c>
      <c r="C6861" t="s">
        <v>482</v>
      </c>
      <c r="D6861" t="str">
        <f>HYPERLINK("http://service.sap.com/sap/support/notes/1716129","1716129")</f>
        <v>1716129</v>
      </c>
      <c r="E6861">
        <v>3</v>
      </c>
      <c r="F6861" t="s">
        <v>8275</v>
      </c>
    </row>
    <row r="6862" spans="1:6" x14ac:dyDescent="0.25">
      <c r="A6862" t="s">
        <v>7749</v>
      </c>
      <c r="B6862" t="s">
        <v>481</v>
      </c>
      <c r="C6862" t="s">
        <v>482</v>
      </c>
      <c r="D6862" t="str">
        <f>HYPERLINK("http://service.sap.com/sap/support/notes/1716832","1716832")</f>
        <v>1716832</v>
      </c>
      <c r="E6862">
        <v>1</v>
      </c>
      <c r="F6862" t="s">
        <v>8276</v>
      </c>
    </row>
    <row r="6863" spans="1:6" x14ac:dyDescent="0.25">
      <c r="A6863" t="s">
        <v>7749</v>
      </c>
      <c r="B6863" t="s">
        <v>481</v>
      </c>
      <c r="C6863" t="s">
        <v>482</v>
      </c>
      <c r="D6863" t="str">
        <f>HYPERLINK("http://service.sap.com/sap/support/notes/1719272","1719272")</f>
        <v>1719272</v>
      </c>
      <c r="E6863">
        <v>2</v>
      </c>
      <c r="F6863" t="s">
        <v>8277</v>
      </c>
    </row>
    <row r="6864" spans="1:6" x14ac:dyDescent="0.25">
      <c r="A6864" t="s">
        <v>7749</v>
      </c>
      <c r="B6864" t="s">
        <v>481</v>
      </c>
      <c r="C6864" t="s">
        <v>482</v>
      </c>
      <c r="D6864" t="str">
        <f>HYPERLINK("http://service.sap.com/sap/support/notes/1721940","1721940")</f>
        <v>1721940</v>
      </c>
      <c r="E6864">
        <v>1</v>
      </c>
      <c r="F6864" t="s">
        <v>8278</v>
      </c>
    </row>
    <row r="6865" spans="1:6" x14ac:dyDescent="0.25">
      <c r="A6865" t="s">
        <v>7749</v>
      </c>
      <c r="B6865" t="s">
        <v>481</v>
      </c>
      <c r="C6865" t="s">
        <v>482</v>
      </c>
      <c r="D6865" t="str">
        <f>HYPERLINK("http://service.sap.com/sap/support/notes/1723137","1723137")</f>
        <v>1723137</v>
      </c>
      <c r="E6865">
        <v>1</v>
      </c>
      <c r="F6865" t="s">
        <v>8279</v>
      </c>
    </row>
    <row r="6866" spans="1:6" x14ac:dyDescent="0.25">
      <c r="A6866" t="s">
        <v>7749</v>
      </c>
      <c r="B6866" t="s">
        <v>481</v>
      </c>
      <c r="C6866" t="s">
        <v>482</v>
      </c>
      <c r="D6866" t="str">
        <f>HYPERLINK("http://service.sap.com/sap/support/notes/1723189","1723189")</f>
        <v>1723189</v>
      </c>
      <c r="E6866">
        <v>2</v>
      </c>
      <c r="F6866" t="s">
        <v>8280</v>
      </c>
    </row>
    <row r="6867" spans="1:6" x14ac:dyDescent="0.25">
      <c r="A6867" t="s">
        <v>7749</v>
      </c>
      <c r="B6867" t="s">
        <v>2754</v>
      </c>
      <c r="C6867" t="s">
        <v>2755</v>
      </c>
      <c r="D6867" t="str">
        <f>HYPERLINK("http://service.sap.com/sap/support/notes/1524732","1524732")</f>
        <v>1524732</v>
      </c>
      <c r="E6867">
        <v>4</v>
      </c>
      <c r="F6867" t="s">
        <v>8281</v>
      </c>
    </row>
    <row r="6868" spans="1:6" x14ac:dyDescent="0.25">
      <c r="A6868" t="s">
        <v>7749</v>
      </c>
      <c r="B6868" t="s">
        <v>2754</v>
      </c>
      <c r="C6868" t="s">
        <v>2755</v>
      </c>
      <c r="D6868" t="str">
        <f>HYPERLINK("http://service.sap.com/sap/support/notes/1640050","1640050")</f>
        <v>1640050</v>
      </c>
      <c r="E6868">
        <v>2</v>
      </c>
      <c r="F6868" t="s">
        <v>8282</v>
      </c>
    </row>
    <row r="6869" spans="1:6" x14ac:dyDescent="0.25">
      <c r="A6869" t="s">
        <v>7749</v>
      </c>
      <c r="B6869" t="s">
        <v>2754</v>
      </c>
      <c r="C6869" t="s">
        <v>2755</v>
      </c>
      <c r="D6869" t="str">
        <f>HYPERLINK("http://service.sap.com/sap/support/notes/1648121","1648121")</f>
        <v>1648121</v>
      </c>
      <c r="E6869">
        <v>2</v>
      </c>
      <c r="F6869" t="s">
        <v>8283</v>
      </c>
    </row>
    <row r="6870" spans="1:6" x14ac:dyDescent="0.25">
      <c r="A6870" t="s">
        <v>7749</v>
      </c>
      <c r="B6870" t="s">
        <v>2754</v>
      </c>
      <c r="C6870" t="s">
        <v>2755</v>
      </c>
      <c r="D6870" t="str">
        <f>HYPERLINK("http://service.sap.com/sap/support/notes/1662182","1662182")</f>
        <v>1662182</v>
      </c>
      <c r="E6870">
        <v>2</v>
      </c>
      <c r="F6870" t="s">
        <v>8284</v>
      </c>
    </row>
    <row r="6871" spans="1:6" x14ac:dyDescent="0.25">
      <c r="A6871" t="s">
        <v>7749</v>
      </c>
      <c r="B6871" t="s">
        <v>2754</v>
      </c>
      <c r="C6871" t="s">
        <v>2755</v>
      </c>
      <c r="D6871" t="str">
        <f>HYPERLINK("http://service.sap.com/sap/support/notes/1676351","1676351")</f>
        <v>1676351</v>
      </c>
      <c r="E6871">
        <v>1</v>
      </c>
      <c r="F6871" t="s">
        <v>8285</v>
      </c>
    </row>
    <row r="6872" spans="1:6" x14ac:dyDescent="0.25">
      <c r="A6872" t="s">
        <v>7749</v>
      </c>
      <c r="B6872" t="s">
        <v>2754</v>
      </c>
      <c r="C6872" t="s">
        <v>2755</v>
      </c>
      <c r="D6872" t="str">
        <f>HYPERLINK("http://service.sap.com/sap/support/notes/1680193","1680193")</f>
        <v>1680193</v>
      </c>
      <c r="E6872">
        <v>2</v>
      </c>
      <c r="F6872" t="s">
        <v>8286</v>
      </c>
    </row>
    <row r="6873" spans="1:6" x14ac:dyDescent="0.25">
      <c r="A6873" t="s">
        <v>7749</v>
      </c>
      <c r="B6873" t="s">
        <v>2754</v>
      </c>
      <c r="C6873" t="s">
        <v>2755</v>
      </c>
      <c r="D6873" t="str">
        <f>HYPERLINK("http://service.sap.com/sap/support/notes/1681321","1681321")</f>
        <v>1681321</v>
      </c>
      <c r="E6873">
        <v>2</v>
      </c>
      <c r="F6873" t="s">
        <v>8287</v>
      </c>
    </row>
    <row r="6874" spans="1:6" x14ac:dyDescent="0.25">
      <c r="A6874" t="s">
        <v>7749</v>
      </c>
      <c r="B6874" t="s">
        <v>2754</v>
      </c>
      <c r="C6874" t="s">
        <v>2755</v>
      </c>
      <c r="D6874" t="str">
        <f>HYPERLINK("http://service.sap.com/sap/support/notes/1684296","1684296")</f>
        <v>1684296</v>
      </c>
      <c r="E6874">
        <v>1</v>
      </c>
      <c r="F6874" t="s">
        <v>8288</v>
      </c>
    </row>
    <row r="6875" spans="1:6" x14ac:dyDescent="0.25">
      <c r="A6875" t="s">
        <v>7749</v>
      </c>
      <c r="B6875" t="s">
        <v>2754</v>
      </c>
      <c r="C6875" t="s">
        <v>2755</v>
      </c>
      <c r="D6875" t="str">
        <f>HYPERLINK("http://service.sap.com/sap/support/notes/1685204","1685204")</f>
        <v>1685204</v>
      </c>
      <c r="E6875">
        <v>2</v>
      </c>
      <c r="F6875" t="s">
        <v>8289</v>
      </c>
    </row>
    <row r="6876" spans="1:6" x14ac:dyDescent="0.25">
      <c r="A6876" t="s">
        <v>7749</v>
      </c>
      <c r="B6876" t="s">
        <v>2754</v>
      </c>
      <c r="C6876" t="s">
        <v>2755</v>
      </c>
      <c r="D6876" t="str">
        <f>HYPERLINK("http://service.sap.com/sap/support/notes/1687572","1687572")</f>
        <v>1687572</v>
      </c>
      <c r="E6876">
        <v>1</v>
      </c>
      <c r="F6876" t="s">
        <v>8290</v>
      </c>
    </row>
    <row r="6877" spans="1:6" x14ac:dyDescent="0.25">
      <c r="A6877" t="s">
        <v>7749</v>
      </c>
      <c r="B6877" t="s">
        <v>2754</v>
      </c>
      <c r="C6877" t="s">
        <v>2755</v>
      </c>
      <c r="D6877" t="str">
        <f>HYPERLINK("http://service.sap.com/sap/support/notes/1689307","1689307")</f>
        <v>1689307</v>
      </c>
      <c r="E6877">
        <v>1</v>
      </c>
      <c r="F6877" t="s">
        <v>8291</v>
      </c>
    </row>
    <row r="6878" spans="1:6" x14ac:dyDescent="0.25">
      <c r="A6878" t="s">
        <v>7749</v>
      </c>
      <c r="B6878" t="s">
        <v>2754</v>
      </c>
      <c r="C6878" t="s">
        <v>2755</v>
      </c>
      <c r="D6878" t="str">
        <f>HYPERLINK("http://service.sap.com/sap/support/notes/1691783","1691783")</f>
        <v>1691783</v>
      </c>
      <c r="E6878">
        <v>2</v>
      </c>
      <c r="F6878" t="s">
        <v>8292</v>
      </c>
    </row>
    <row r="6879" spans="1:6" x14ac:dyDescent="0.25">
      <c r="A6879" t="s">
        <v>7749</v>
      </c>
      <c r="B6879" t="s">
        <v>2754</v>
      </c>
      <c r="C6879" t="s">
        <v>2755</v>
      </c>
      <c r="D6879" t="str">
        <f>HYPERLINK("http://service.sap.com/sap/support/notes/1692740","1692740")</f>
        <v>1692740</v>
      </c>
      <c r="E6879">
        <v>3</v>
      </c>
      <c r="F6879" t="s">
        <v>8293</v>
      </c>
    </row>
    <row r="6880" spans="1:6" x14ac:dyDescent="0.25">
      <c r="A6880" t="s">
        <v>7749</v>
      </c>
      <c r="B6880" t="s">
        <v>2754</v>
      </c>
      <c r="C6880" t="s">
        <v>2755</v>
      </c>
      <c r="D6880" t="str">
        <f>HYPERLINK("http://service.sap.com/sap/support/notes/1694379","1694379")</f>
        <v>1694379</v>
      </c>
      <c r="E6880">
        <v>2</v>
      </c>
      <c r="F6880" t="s">
        <v>8294</v>
      </c>
    </row>
    <row r="6881" spans="1:6" x14ac:dyDescent="0.25">
      <c r="A6881" t="s">
        <v>7749</v>
      </c>
      <c r="B6881" t="s">
        <v>2754</v>
      </c>
      <c r="C6881" t="s">
        <v>2755</v>
      </c>
      <c r="D6881" t="str">
        <f>HYPERLINK("http://service.sap.com/sap/support/notes/1694380","1694380")</f>
        <v>1694380</v>
      </c>
      <c r="E6881">
        <v>1</v>
      </c>
      <c r="F6881" t="s">
        <v>8295</v>
      </c>
    </row>
    <row r="6882" spans="1:6" x14ac:dyDescent="0.25">
      <c r="A6882" t="s">
        <v>7749</v>
      </c>
      <c r="B6882" t="s">
        <v>2754</v>
      </c>
      <c r="C6882" t="s">
        <v>2755</v>
      </c>
      <c r="D6882" t="str">
        <f>HYPERLINK("http://service.sap.com/sap/support/notes/1695635","1695635")</f>
        <v>1695635</v>
      </c>
      <c r="E6882">
        <v>5</v>
      </c>
      <c r="F6882" t="s">
        <v>8296</v>
      </c>
    </row>
    <row r="6883" spans="1:6" x14ac:dyDescent="0.25">
      <c r="A6883" t="s">
        <v>7749</v>
      </c>
      <c r="B6883" t="s">
        <v>2754</v>
      </c>
      <c r="C6883" t="s">
        <v>2755</v>
      </c>
      <c r="D6883" t="str">
        <f>HYPERLINK("http://service.sap.com/sap/support/notes/1696877","1696877")</f>
        <v>1696877</v>
      </c>
      <c r="E6883">
        <v>2</v>
      </c>
      <c r="F6883" t="s">
        <v>8297</v>
      </c>
    </row>
    <row r="6884" spans="1:6" x14ac:dyDescent="0.25">
      <c r="A6884" t="s">
        <v>7749</v>
      </c>
      <c r="B6884" t="s">
        <v>2754</v>
      </c>
      <c r="C6884" t="s">
        <v>2755</v>
      </c>
      <c r="D6884" t="str">
        <f>HYPERLINK("http://service.sap.com/sap/support/notes/1697255","1697255")</f>
        <v>1697255</v>
      </c>
      <c r="E6884">
        <v>1</v>
      </c>
      <c r="F6884" t="s">
        <v>8298</v>
      </c>
    </row>
    <row r="6885" spans="1:6" x14ac:dyDescent="0.25">
      <c r="A6885" t="s">
        <v>7749</v>
      </c>
      <c r="B6885" t="s">
        <v>2754</v>
      </c>
      <c r="C6885" t="s">
        <v>2755</v>
      </c>
      <c r="D6885" t="str">
        <f>HYPERLINK("http://service.sap.com/sap/support/notes/1698443","1698443")</f>
        <v>1698443</v>
      </c>
      <c r="E6885">
        <v>2</v>
      </c>
      <c r="F6885" t="s">
        <v>8299</v>
      </c>
    </row>
    <row r="6886" spans="1:6" x14ac:dyDescent="0.25">
      <c r="A6886" t="s">
        <v>7749</v>
      </c>
      <c r="B6886" t="s">
        <v>2754</v>
      </c>
      <c r="C6886" t="s">
        <v>2755</v>
      </c>
      <c r="D6886" t="str">
        <f>HYPERLINK("http://service.sap.com/sap/support/notes/1698656","1698656")</f>
        <v>1698656</v>
      </c>
      <c r="E6886">
        <v>2</v>
      </c>
      <c r="F6886" t="s">
        <v>8300</v>
      </c>
    </row>
    <row r="6887" spans="1:6" x14ac:dyDescent="0.25">
      <c r="A6887" t="s">
        <v>7749</v>
      </c>
      <c r="B6887" t="s">
        <v>2754</v>
      </c>
      <c r="C6887" t="s">
        <v>2755</v>
      </c>
      <c r="D6887" t="str">
        <f>HYPERLINK("http://service.sap.com/sap/support/notes/1698814","1698814")</f>
        <v>1698814</v>
      </c>
      <c r="E6887">
        <v>2</v>
      </c>
      <c r="F6887" t="s">
        <v>8301</v>
      </c>
    </row>
    <row r="6888" spans="1:6" x14ac:dyDescent="0.25">
      <c r="A6888" t="s">
        <v>7749</v>
      </c>
      <c r="B6888" t="s">
        <v>2754</v>
      </c>
      <c r="C6888" t="s">
        <v>2755</v>
      </c>
      <c r="D6888" t="str">
        <f>HYPERLINK("http://service.sap.com/sap/support/notes/1699436","1699436")</f>
        <v>1699436</v>
      </c>
      <c r="E6888">
        <v>3</v>
      </c>
      <c r="F6888" t="s">
        <v>8302</v>
      </c>
    </row>
    <row r="6889" spans="1:6" x14ac:dyDescent="0.25">
      <c r="A6889" t="s">
        <v>7749</v>
      </c>
      <c r="B6889" t="s">
        <v>2754</v>
      </c>
      <c r="C6889" t="s">
        <v>2755</v>
      </c>
      <c r="D6889" t="str">
        <f>HYPERLINK("http://service.sap.com/sap/support/notes/1699939","1699939")</f>
        <v>1699939</v>
      </c>
      <c r="E6889">
        <v>1</v>
      </c>
      <c r="F6889" t="s">
        <v>8303</v>
      </c>
    </row>
    <row r="6890" spans="1:6" x14ac:dyDescent="0.25">
      <c r="A6890" t="s">
        <v>7749</v>
      </c>
      <c r="B6890" t="s">
        <v>2754</v>
      </c>
      <c r="C6890" t="s">
        <v>2755</v>
      </c>
      <c r="D6890" t="str">
        <f>HYPERLINK("http://service.sap.com/sap/support/notes/1700468","1700468")</f>
        <v>1700468</v>
      </c>
      <c r="E6890">
        <v>1</v>
      </c>
      <c r="F6890" t="s">
        <v>8304</v>
      </c>
    </row>
    <row r="6891" spans="1:6" x14ac:dyDescent="0.25">
      <c r="A6891" t="s">
        <v>7749</v>
      </c>
      <c r="B6891" t="s">
        <v>2754</v>
      </c>
      <c r="C6891" t="s">
        <v>2755</v>
      </c>
      <c r="D6891" t="str">
        <f>HYPERLINK("http://service.sap.com/sap/support/notes/1702075","1702075")</f>
        <v>1702075</v>
      </c>
      <c r="E6891">
        <v>1</v>
      </c>
      <c r="F6891" t="s">
        <v>8304</v>
      </c>
    </row>
    <row r="6892" spans="1:6" x14ac:dyDescent="0.25">
      <c r="A6892" t="s">
        <v>7749</v>
      </c>
      <c r="B6892" t="s">
        <v>2754</v>
      </c>
      <c r="C6892" t="s">
        <v>2755</v>
      </c>
      <c r="D6892" t="str">
        <f>HYPERLINK("http://service.sap.com/sap/support/notes/1703851","1703851")</f>
        <v>1703851</v>
      </c>
      <c r="E6892">
        <v>2</v>
      </c>
      <c r="F6892" t="s">
        <v>8305</v>
      </c>
    </row>
    <row r="6893" spans="1:6" x14ac:dyDescent="0.25">
      <c r="A6893" t="s">
        <v>7749</v>
      </c>
      <c r="B6893" t="s">
        <v>2754</v>
      </c>
      <c r="C6893" t="s">
        <v>2755</v>
      </c>
      <c r="D6893" t="str">
        <f>HYPERLINK("http://service.sap.com/sap/support/notes/1706781","1706781")</f>
        <v>1706781</v>
      </c>
      <c r="E6893">
        <v>1</v>
      </c>
      <c r="F6893" t="s">
        <v>8306</v>
      </c>
    </row>
    <row r="6894" spans="1:6" x14ac:dyDescent="0.25">
      <c r="A6894" t="s">
        <v>7749</v>
      </c>
      <c r="B6894" t="s">
        <v>2754</v>
      </c>
      <c r="C6894" t="s">
        <v>2755</v>
      </c>
      <c r="D6894" t="str">
        <f>HYPERLINK("http://service.sap.com/sap/support/notes/1707406","1707406")</f>
        <v>1707406</v>
      </c>
      <c r="E6894">
        <v>2</v>
      </c>
      <c r="F6894" t="s">
        <v>8307</v>
      </c>
    </row>
    <row r="6895" spans="1:6" x14ac:dyDescent="0.25">
      <c r="A6895" t="s">
        <v>7749</v>
      </c>
      <c r="B6895" t="s">
        <v>2754</v>
      </c>
      <c r="C6895" t="s">
        <v>2755</v>
      </c>
      <c r="D6895" t="str">
        <f>HYPERLINK("http://service.sap.com/sap/support/notes/1708465","1708465")</f>
        <v>1708465</v>
      </c>
      <c r="E6895">
        <v>2</v>
      </c>
      <c r="F6895" t="s">
        <v>8308</v>
      </c>
    </row>
    <row r="6896" spans="1:6" x14ac:dyDescent="0.25">
      <c r="A6896" t="s">
        <v>7749</v>
      </c>
      <c r="B6896" t="s">
        <v>2754</v>
      </c>
      <c r="C6896" t="s">
        <v>2755</v>
      </c>
      <c r="D6896" t="str">
        <f>HYPERLINK("http://service.sap.com/sap/support/notes/1708509","1708509")</f>
        <v>1708509</v>
      </c>
      <c r="E6896">
        <v>4</v>
      </c>
      <c r="F6896" t="s">
        <v>8309</v>
      </c>
    </row>
    <row r="6897" spans="1:6" x14ac:dyDescent="0.25">
      <c r="A6897" t="s">
        <v>7749</v>
      </c>
      <c r="B6897" t="s">
        <v>2754</v>
      </c>
      <c r="C6897" t="s">
        <v>2755</v>
      </c>
      <c r="D6897" t="str">
        <f>HYPERLINK("http://service.sap.com/sap/support/notes/1713802","1713802")</f>
        <v>1713802</v>
      </c>
      <c r="E6897">
        <v>1</v>
      </c>
      <c r="F6897" t="s">
        <v>8295</v>
      </c>
    </row>
    <row r="6898" spans="1:6" x14ac:dyDescent="0.25">
      <c r="A6898" t="s">
        <v>7749</v>
      </c>
      <c r="B6898" t="s">
        <v>2754</v>
      </c>
      <c r="C6898" t="s">
        <v>2755</v>
      </c>
      <c r="D6898" t="str">
        <f>HYPERLINK("http://service.sap.com/sap/support/notes/1715461","1715461")</f>
        <v>1715461</v>
      </c>
      <c r="E6898">
        <v>2</v>
      </c>
      <c r="F6898" t="s">
        <v>8310</v>
      </c>
    </row>
    <row r="6899" spans="1:6" x14ac:dyDescent="0.25">
      <c r="A6899" t="s">
        <v>7749</v>
      </c>
      <c r="B6899" t="s">
        <v>2754</v>
      </c>
      <c r="C6899" t="s">
        <v>2755</v>
      </c>
      <c r="D6899" t="str">
        <f>HYPERLINK("http://service.sap.com/sap/support/notes/1718237","1718237")</f>
        <v>1718237</v>
      </c>
      <c r="E6899">
        <v>1</v>
      </c>
      <c r="F6899" t="s">
        <v>8311</v>
      </c>
    </row>
    <row r="6900" spans="1:6" x14ac:dyDescent="0.25">
      <c r="A6900" t="s">
        <v>7749</v>
      </c>
      <c r="B6900" t="s">
        <v>2754</v>
      </c>
      <c r="C6900" t="s">
        <v>2755</v>
      </c>
      <c r="D6900" t="str">
        <f>HYPERLINK("http://service.sap.com/sap/support/notes/1720741","1720741")</f>
        <v>1720741</v>
      </c>
      <c r="E6900">
        <v>1</v>
      </c>
      <c r="F6900" t="s">
        <v>2776</v>
      </c>
    </row>
    <row r="6901" spans="1:6" x14ac:dyDescent="0.25">
      <c r="A6901" t="s">
        <v>7749</v>
      </c>
      <c r="B6901" t="s">
        <v>2754</v>
      </c>
      <c r="C6901" t="s">
        <v>2755</v>
      </c>
      <c r="D6901" t="str">
        <f>HYPERLINK("http://service.sap.com/sap/support/notes/1721290","1721290")</f>
        <v>1721290</v>
      </c>
      <c r="E6901">
        <v>4</v>
      </c>
      <c r="F6901" t="s">
        <v>8312</v>
      </c>
    </row>
    <row r="6902" spans="1:6" x14ac:dyDescent="0.25">
      <c r="A6902" t="s">
        <v>7749</v>
      </c>
      <c r="B6902" t="s">
        <v>2754</v>
      </c>
      <c r="C6902" t="s">
        <v>2755</v>
      </c>
      <c r="D6902" t="str">
        <f>HYPERLINK("http://service.sap.com/sap/support/notes/1721291","1721291")</f>
        <v>1721291</v>
      </c>
      <c r="E6902">
        <v>2</v>
      </c>
      <c r="F6902" t="s">
        <v>8313</v>
      </c>
    </row>
    <row r="6903" spans="1:6" x14ac:dyDescent="0.25">
      <c r="A6903" t="s">
        <v>7749</v>
      </c>
      <c r="B6903" t="s">
        <v>2754</v>
      </c>
      <c r="C6903" t="s">
        <v>2755</v>
      </c>
      <c r="D6903" t="str">
        <f>HYPERLINK("http://service.sap.com/sap/support/notes/1722479","1722479")</f>
        <v>1722479</v>
      </c>
      <c r="E6903">
        <v>3</v>
      </c>
      <c r="F6903" t="s">
        <v>8314</v>
      </c>
    </row>
    <row r="6904" spans="1:6" x14ac:dyDescent="0.25">
      <c r="A6904" t="s">
        <v>7749</v>
      </c>
      <c r="B6904" t="s">
        <v>2754</v>
      </c>
      <c r="C6904" t="s">
        <v>2755</v>
      </c>
      <c r="D6904" t="str">
        <f>HYPERLINK("http://service.sap.com/sap/support/notes/1726074","1726074")</f>
        <v>1726074</v>
      </c>
      <c r="E6904">
        <v>2</v>
      </c>
      <c r="F6904" t="s">
        <v>8315</v>
      </c>
    </row>
    <row r="6905" spans="1:6" x14ac:dyDescent="0.25">
      <c r="A6905" t="s">
        <v>7749</v>
      </c>
      <c r="B6905" t="s">
        <v>504</v>
      </c>
      <c r="C6905" t="s">
        <v>505</v>
      </c>
      <c r="D6905" t="str">
        <f>HYPERLINK("http://service.sap.com/sap/support/notes/1643842","1643842")</f>
        <v>1643842</v>
      </c>
      <c r="E6905">
        <v>1</v>
      </c>
      <c r="F6905" t="s">
        <v>8316</v>
      </c>
    </row>
    <row r="6906" spans="1:6" x14ac:dyDescent="0.25">
      <c r="A6906" t="s">
        <v>7749</v>
      </c>
      <c r="B6906" t="s">
        <v>504</v>
      </c>
      <c r="C6906" t="s">
        <v>505</v>
      </c>
      <c r="D6906" t="str">
        <f>HYPERLINK("http://service.sap.com/sap/support/notes/1667995","1667995")</f>
        <v>1667995</v>
      </c>
      <c r="E6906">
        <v>4</v>
      </c>
      <c r="F6906" t="s">
        <v>8317</v>
      </c>
    </row>
    <row r="6907" spans="1:6" x14ac:dyDescent="0.25">
      <c r="A6907" t="s">
        <v>7749</v>
      </c>
      <c r="B6907" t="s">
        <v>504</v>
      </c>
      <c r="C6907" t="s">
        <v>505</v>
      </c>
      <c r="D6907" t="str">
        <f>HYPERLINK("http://service.sap.com/sap/support/notes/1677673","1677673")</f>
        <v>1677673</v>
      </c>
      <c r="E6907">
        <v>4</v>
      </c>
      <c r="F6907" t="s">
        <v>8318</v>
      </c>
    </row>
    <row r="6908" spans="1:6" x14ac:dyDescent="0.25">
      <c r="A6908" t="s">
        <v>7749</v>
      </c>
      <c r="B6908" t="s">
        <v>504</v>
      </c>
      <c r="C6908" t="s">
        <v>505</v>
      </c>
      <c r="D6908" t="str">
        <f>HYPERLINK("http://service.sap.com/sap/support/notes/1687723","1687723")</f>
        <v>1687723</v>
      </c>
      <c r="E6908">
        <v>1</v>
      </c>
      <c r="F6908" t="s">
        <v>8319</v>
      </c>
    </row>
    <row r="6909" spans="1:6" x14ac:dyDescent="0.25">
      <c r="A6909" t="s">
        <v>7749</v>
      </c>
      <c r="B6909" t="s">
        <v>504</v>
      </c>
      <c r="C6909" t="s">
        <v>505</v>
      </c>
      <c r="D6909" t="str">
        <f>HYPERLINK("http://service.sap.com/sap/support/notes/1687896","1687896")</f>
        <v>1687896</v>
      </c>
      <c r="E6909">
        <v>1</v>
      </c>
      <c r="F6909" t="s">
        <v>8320</v>
      </c>
    </row>
    <row r="6910" spans="1:6" x14ac:dyDescent="0.25">
      <c r="A6910" t="s">
        <v>7749</v>
      </c>
      <c r="B6910" t="s">
        <v>504</v>
      </c>
      <c r="C6910" t="s">
        <v>505</v>
      </c>
      <c r="D6910" t="str">
        <f>HYPERLINK("http://service.sap.com/sap/support/notes/1688528","1688528")</f>
        <v>1688528</v>
      </c>
      <c r="E6910">
        <v>5</v>
      </c>
      <c r="F6910" t="s">
        <v>8321</v>
      </c>
    </row>
    <row r="6911" spans="1:6" x14ac:dyDescent="0.25">
      <c r="A6911" t="s">
        <v>7749</v>
      </c>
      <c r="B6911" t="s">
        <v>504</v>
      </c>
      <c r="C6911" t="s">
        <v>505</v>
      </c>
      <c r="D6911" t="str">
        <f>HYPERLINK("http://service.sap.com/sap/support/notes/1692445","1692445")</f>
        <v>1692445</v>
      </c>
      <c r="E6911">
        <v>3</v>
      </c>
      <c r="F6911" t="s">
        <v>8322</v>
      </c>
    </row>
    <row r="6912" spans="1:6" x14ac:dyDescent="0.25">
      <c r="A6912" t="s">
        <v>7749</v>
      </c>
      <c r="B6912" t="s">
        <v>504</v>
      </c>
      <c r="C6912" t="s">
        <v>505</v>
      </c>
      <c r="D6912" t="str">
        <f>HYPERLINK("http://service.sap.com/sap/support/notes/1692832","1692832")</f>
        <v>1692832</v>
      </c>
      <c r="E6912">
        <v>2</v>
      </c>
      <c r="F6912" t="s">
        <v>8323</v>
      </c>
    </row>
    <row r="6913" spans="1:6" x14ac:dyDescent="0.25">
      <c r="A6913" t="s">
        <v>7749</v>
      </c>
      <c r="B6913" t="s">
        <v>504</v>
      </c>
      <c r="C6913" t="s">
        <v>505</v>
      </c>
      <c r="D6913" t="str">
        <f>HYPERLINK("http://service.sap.com/sap/support/notes/1695084","1695084")</f>
        <v>1695084</v>
      </c>
      <c r="E6913">
        <v>3</v>
      </c>
      <c r="F6913" t="s">
        <v>8324</v>
      </c>
    </row>
    <row r="6914" spans="1:6" x14ac:dyDescent="0.25">
      <c r="A6914" t="s">
        <v>7749</v>
      </c>
      <c r="B6914" t="s">
        <v>504</v>
      </c>
      <c r="C6914" t="s">
        <v>505</v>
      </c>
      <c r="D6914" t="str">
        <f>HYPERLINK("http://service.sap.com/sap/support/notes/1695979","1695979")</f>
        <v>1695979</v>
      </c>
      <c r="E6914">
        <v>2</v>
      </c>
      <c r="F6914" t="s">
        <v>8325</v>
      </c>
    </row>
    <row r="6915" spans="1:6" x14ac:dyDescent="0.25">
      <c r="A6915" t="s">
        <v>7749</v>
      </c>
      <c r="B6915" t="s">
        <v>504</v>
      </c>
      <c r="C6915" t="s">
        <v>505</v>
      </c>
      <c r="D6915" t="str">
        <f>HYPERLINK("http://service.sap.com/sap/support/notes/1696349","1696349")</f>
        <v>1696349</v>
      </c>
      <c r="E6915">
        <v>1</v>
      </c>
      <c r="F6915" t="s">
        <v>8326</v>
      </c>
    </row>
    <row r="6916" spans="1:6" x14ac:dyDescent="0.25">
      <c r="A6916" t="s">
        <v>7749</v>
      </c>
      <c r="B6916" t="s">
        <v>504</v>
      </c>
      <c r="C6916" t="s">
        <v>505</v>
      </c>
      <c r="D6916" t="str">
        <f>HYPERLINK("http://service.sap.com/sap/support/notes/1696387","1696387")</f>
        <v>1696387</v>
      </c>
      <c r="E6916">
        <v>7</v>
      </c>
      <c r="F6916" t="s">
        <v>8327</v>
      </c>
    </row>
    <row r="6917" spans="1:6" x14ac:dyDescent="0.25">
      <c r="A6917" t="s">
        <v>7749</v>
      </c>
      <c r="B6917" t="s">
        <v>504</v>
      </c>
      <c r="C6917" t="s">
        <v>505</v>
      </c>
      <c r="D6917" t="str">
        <f>HYPERLINK("http://service.sap.com/sap/support/notes/1700545","1700545")</f>
        <v>1700545</v>
      </c>
      <c r="E6917">
        <v>1</v>
      </c>
      <c r="F6917" t="s">
        <v>8328</v>
      </c>
    </row>
    <row r="6918" spans="1:6" x14ac:dyDescent="0.25">
      <c r="A6918" t="s">
        <v>7749</v>
      </c>
      <c r="B6918" t="s">
        <v>504</v>
      </c>
      <c r="C6918" t="s">
        <v>505</v>
      </c>
      <c r="D6918" t="str">
        <f>HYPERLINK("http://service.sap.com/sap/support/notes/1703750","1703750")</f>
        <v>1703750</v>
      </c>
      <c r="E6918">
        <v>1</v>
      </c>
      <c r="F6918" t="s">
        <v>8329</v>
      </c>
    </row>
    <row r="6919" spans="1:6" x14ac:dyDescent="0.25">
      <c r="A6919" t="s">
        <v>7749</v>
      </c>
      <c r="B6919" t="s">
        <v>504</v>
      </c>
      <c r="C6919" t="s">
        <v>505</v>
      </c>
      <c r="D6919" t="str">
        <f>HYPERLINK("http://service.sap.com/sap/support/notes/1703974","1703974")</f>
        <v>1703974</v>
      </c>
      <c r="E6919">
        <v>1</v>
      </c>
      <c r="F6919" t="s">
        <v>8330</v>
      </c>
    </row>
    <row r="6920" spans="1:6" x14ac:dyDescent="0.25">
      <c r="A6920" t="s">
        <v>7749</v>
      </c>
      <c r="B6920" t="s">
        <v>504</v>
      </c>
      <c r="C6920" t="s">
        <v>505</v>
      </c>
      <c r="D6920" t="str">
        <f>HYPERLINK("http://service.sap.com/sap/support/notes/1709069","1709069")</f>
        <v>1709069</v>
      </c>
      <c r="E6920">
        <v>2</v>
      </c>
      <c r="F6920" t="s">
        <v>8331</v>
      </c>
    </row>
    <row r="6921" spans="1:6" x14ac:dyDescent="0.25">
      <c r="A6921" t="s">
        <v>7749</v>
      </c>
      <c r="B6921" t="s">
        <v>504</v>
      </c>
      <c r="C6921" t="s">
        <v>505</v>
      </c>
      <c r="D6921" t="str">
        <f>HYPERLINK("http://service.sap.com/sap/support/notes/1710915","1710915")</f>
        <v>1710915</v>
      </c>
      <c r="E6921">
        <v>2</v>
      </c>
      <c r="F6921" t="s">
        <v>8332</v>
      </c>
    </row>
    <row r="6922" spans="1:6" x14ac:dyDescent="0.25">
      <c r="A6922" t="s">
        <v>7749</v>
      </c>
      <c r="B6922" t="s">
        <v>504</v>
      </c>
      <c r="C6922" t="s">
        <v>505</v>
      </c>
      <c r="D6922" t="str">
        <f>HYPERLINK("http://service.sap.com/sap/support/notes/1711424","1711424")</f>
        <v>1711424</v>
      </c>
      <c r="E6922">
        <v>1</v>
      </c>
      <c r="F6922" t="s">
        <v>8333</v>
      </c>
    </row>
    <row r="6923" spans="1:6" x14ac:dyDescent="0.25">
      <c r="A6923" t="s">
        <v>7749</v>
      </c>
      <c r="B6923" t="s">
        <v>504</v>
      </c>
      <c r="C6923" t="s">
        <v>505</v>
      </c>
      <c r="D6923" t="str">
        <f>HYPERLINK("http://service.sap.com/sap/support/notes/1712039","1712039")</f>
        <v>1712039</v>
      </c>
      <c r="E6923">
        <v>3</v>
      </c>
      <c r="F6923" t="s">
        <v>8334</v>
      </c>
    </row>
    <row r="6924" spans="1:6" x14ac:dyDescent="0.25">
      <c r="A6924" t="s">
        <v>7749</v>
      </c>
      <c r="B6924" t="s">
        <v>504</v>
      </c>
      <c r="C6924" t="s">
        <v>505</v>
      </c>
      <c r="D6924" t="str">
        <f>HYPERLINK("http://service.sap.com/sap/support/notes/1715059","1715059")</f>
        <v>1715059</v>
      </c>
      <c r="E6924">
        <v>2</v>
      </c>
      <c r="F6924" t="s">
        <v>8335</v>
      </c>
    </row>
    <row r="6925" spans="1:6" x14ac:dyDescent="0.25">
      <c r="A6925" t="s">
        <v>7749</v>
      </c>
      <c r="B6925" t="s">
        <v>504</v>
      </c>
      <c r="C6925" t="s">
        <v>505</v>
      </c>
      <c r="D6925" t="str">
        <f>HYPERLINK("http://service.sap.com/sap/support/notes/1715633","1715633")</f>
        <v>1715633</v>
      </c>
      <c r="E6925">
        <v>4</v>
      </c>
      <c r="F6925" t="s">
        <v>8336</v>
      </c>
    </row>
    <row r="6926" spans="1:6" x14ac:dyDescent="0.25">
      <c r="A6926" t="s">
        <v>7749</v>
      </c>
      <c r="B6926" t="s">
        <v>504</v>
      </c>
      <c r="C6926" t="s">
        <v>505</v>
      </c>
      <c r="D6926" t="str">
        <f>HYPERLINK("http://service.sap.com/sap/support/notes/1716312","1716312")</f>
        <v>1716312</v>
      </c>
      <c r="E6926">
        <v>2</v>
      </c>
      <c r="F6926" t="s">
        <v>8337</v>
      </c>
    </row>
    <row r="6927" spans="1:6" x14ac:dyDescent="0.25">
      <c r="A6927" t="s">
        <v>7749</v>
      </c>
      <c r="B6927" t="s">
        <v>504</v>
      </c>
      <c r="C6927" t="s">
        <v>505</v>
      </c>
      <c r="D6927" t="str">
        <f>HYPERLINK("http://service.sap.com/sap/support/notes/1719692","1719692")</f>
        <v>1719692</v>
      </c>
      <c r="E6927">
        <v>1</v>
      </c>
      <c r="F6927" t="s">
        <v>8338</v>
      </c>
    </row>
    <row r="6928" spans="1:6" x14ac:dyDescent="0.25">
      <c r="A6928" t="s">
        <v>7749</v>
      </c>
      <c r="B6928" t="s">
        <v>504</v>
      </c>
      <c r="C6928" t="s">
        <v>505</v>
      </c>
      <c r="D6928" t="str">
        <f>HYPERLINK("http://service.sap.com/sap/support/notes/1723237","1723237")</f>
        <v>1723237</v>
      </c>
      <c r="E6928">
        <v>1</v>
      </c>
      <c r="F6928" t="s">
        <v>8339</v>
      </c>
    </row>
    <row r="6929" spans="1:6" x14ac:dyDescent="0.25">
      <c r="A6929" t="s">
        <v>7749</v>
      </c>
      <c r="B6929" t="s">
        <v>504</v>
      </c>
      <c r="C6929" t="s">
        <v>505</v>
      </c>
      <c r="D6929" t="str">
        <f>HYPERLINK("http://service.sap.com/sap/support/notes/1723839","1723839")</f>
        <v>1723839</v>
      </c>
      <c r="E6929">
        <v>3</v>
      </c>
      <c r="F6929" t="s">
        <v>8340</v>
      </c>
    </row>
    <row r="6930" spans="1:6" x14ac:dyDescent="0.25">
      <c r="A6930" t="s">
        <v>7749</v>
      </c>
      <c r="B6930" t="s">
        <v>504</v>
      </c>
      <c r="C6930" t="s">
        <v>505</v>
      </c>
      <c r="D6930" t="str">
        <f>HYPERLINK("http://service.sap.com/sap/support/notes/1724353","1724353")</f>
        <v>1724353</v>
      </c>
      <c r="E6930">
        <v>2</v>
      </c>
      <c r="F6930" t="s">
        <v>8341</v>
      </c>
    </row>
    <row r="6931" spans="1:6" x14ac:dyDescent="0.25">
      <c r="A6931" t="s">
        <v>7749</v>
      </c>
      <c r="B6931" t="s">
        <v>2844</v>
      </c>
      <c r="C6931" t="s">
        <v>2452</v>
      </c>
      <c r="D6931" t="str">
        <f>HYPERLINK("http://service.sap.com/sap/support/notes/1717861","1717861")</f>
        <v>1717861</v>
      </c>
      <c r="E6931">
        <v>1</v>
      </c>
      <c r="F6931" t="s">
        <v>8342</v>
      </c>
    </row>
    <row r="6932" spans="1:6" x14ac:dyDescent="0.25">
      <c r="A6932" t="s">
        <v>7749</v>
      </c>
      <c r="B6932" t="s">
        <v>511</v>
      </c>
      <c r="C6932" t="s">
        <v>394</v>
      </c>
      <c r="D6932" t="str">
        <f>HYPERLINK("http://service.sap.com/sap/support/notes/1712645","1712645")</f>
        <v>1712645</v>
      </c>
      <c r="E6932">
        <v>1</v>
      </c>
      <c r="F6932" t="s">
        <v>8343</v>
      </c>
    </row>
    <row r="6933" spans="1:6" x14ac:dyDescent="0.25">
      <c r="A6933" t="s">
        <v>7749</v>
      </c>
      <c r="B6933" t="s">
        <v>514</v>
      </c>
      <c r="C6933" t="s">
        <v>14</v>
      </c>
      <c r="D6933" t="str">
        <f>HYPERLINK("http://service.sap.com/sap/support/notes/1650840","1650840")</f>
        <v>1650840</v>
      </c>
      <c r="E6933">
        <v>1</v>
      </c>
      <c r="F6933" t="s">
        <v>8344</v>
      </c>
    </row>
    <row r="6934" spans="1:6" x14ac:dyDescent="0.25">
      <c r="A6934" t="s">
        <v>7749</v>
      </c>
      <c r="B6934" t="s">
        <v>2853</v>
      </c>
      <c r="C6934" t="s">
        <v>2854</v>
      </c>
      <c r="D6934" t="str">
        <f>HYPERLINK("http://service.sap.com/sap/support/notes/1688124","1688124")</f>
        <v>1688124</v>
      </c>
      <c r="E6934">
        <v>2</v>
      </c>
      <c r="F6934" t="s">
        <v>8345</v>
      </c>
    </row>
    <row r="6935" spans="1:6" x14ac:dyDescent="0.25">
      <c r="A6935" t="s">
        <v>7749</v>
      </c>
      <c r="B6935" t="s">
        <v>2853</v>
      </c>
      <c r="C6935" t="s">
        <v>2854</v>
      </c>
      <c r="D6935" t="str">
        <f>HYPERLINK("http://service.sap.com/sap/support/notes/1693281","1693281")</f>
        <v>1693281</v>
      </c>
      <c r="E6935">
        <v>1</v>
      </c>
      <c r="F6935" t="s">
        <v>8346</v>
      </c>
    </row>
    <row r="6936" spans="1:6" x14ac:dyDescent="0.25">
      <c r="A6936" t="s">
        <v>7749</v>
      </c>
      <c r="B6936" t="s">
        <v>2853</v>
      </c>
      <c r="C6936" t="s">
        <v>2854</v>
      </c>
      <c r="D6936" t="str">
        <f>HYPERLINK("http://service.sap.com/sap/support/notes/1718045","1718045")</f>
        <v>1718045</v>
      </c>
      <c r="E6936">
        <v>2</v>
      </c>
      <c r="F6936" t="s">
        <v>8347</v>
      </c>
    </row>
    <row r="6937" spans="1:6" x14ac:dyDescent="0.25">
      <c r="A6937" t="s">
        <v>7749</v>
      </c>
      <c r="B6937" t="s">
        <v>517</v>
      </c>
      <c r="C6937" t="s">
        <v>409</v>
      </c>
      <c r="D6937" t="str">
        <f>HYPERLINK("http://service.sap.com/sap/support/notes/1703884","1703884")</f>
        <v>1703884</v>
      </c>
      <c r="E6937">
        <v>1</v>
      </c>
      <c r="F6937" t="s">
        <v>8348</v>
      </c>
    </row>
    <row r="6938" spans="1:6" x14ac:dyDescent="0.25">
      <c r="A6938" t="s">
        <v>7749</v>
      </c>
      <c r="B6938" t="s">
        <v>517</v>
      </c>
      <c r="C6938" t="s">
        <v>409</v>
      </c>
      <c r="D6938" t="str">
        <f>HYPERLINK("http://service.sap.com/sap/support/notes/1707358","1707358")</f>
        <v>1707358</v>
      </c>
      <c r="E6938">
        <v>4</v>
      </c>
      <c r="F6938" t="s">
        <v>8349</v>
      </c>
    </row>
    <row r="6939" spans="1:6" x14ac:dyDescent="0.25">
      <c r="A6939" t="s">
        <v>7749</v>
      </c>
      <c r="B6939" t="s">
        <v>2863</v>
      </c>
      <c r="C6939" t="s">
        <v>2864</v>
      </c>
      <c r="D6939" t="str">
        <f>HYPERLINK("http://service.sap.com/sap/support/notes/1696473","1696473")</f>
        <v>1696473</v>
      </c>
      <c r="E6939">
        <v>2</v>
      </c>
      <c r="F6939" t="s">
        <v>8350</v>
      </c>
    </row>
    <row r="6940" spans="1:6" x14ac:dyDescent="0.25">
      <c r="A6940" t="s">
        <v>7749</v>
      </c>
      <c r="B6940" t="s">
        <v>2863</v>
      </c>
      <c r="C6940" t="s">
        <v>2864</v>
      </c>
      <c r="D6940" t="str">
        <f>HYPERLINK("http://service.sap.com/sap/support/notes/1716222","1716222")</f>
        <v>1716222</v>
      </c>
      <c r="E6940">
        <v>2</v>
      </c>
      <c r="F6940" t="s">
        <v>8351</v>
      </c>
    </row>
    <row r="6941" spans="1:6" x14ac:dyDescent="0.25">
      <c r="A6941" t="s">
        <v>7749</v>
      </c>
      <c r="B6941" t="s">
        <v>2863</v>
      </c>
      <c r="C6941" t="s">
        <v>2864</v>
      </c>
      <c r="D6941" t="str">
        <f>HYPERLINK("http://service.sap.com/sap/support/notes/1722813","1722813")</f>
        <v>1722813</v>
      </c>
      <c r="E6941">
        <v>1</v>
      </c>
      <c r="F6941" t="s">
        <v>8352</v>
      </c>
    </row>
    <row r="6942" spans="1:6" x14ac:dyDescent="0.25">
      <c r="A6942" t="s">
        <v>7749</v>
      </c>
      <c r="B6942" t="s">
        <v>2869</v>
      </c>
      <c r="C6942" t="s">
        <v>350</v>
      </c>
      <c r="D6942" t="str">
        <f>HYPERLINK("http://service.sap.com/sap/support/notes/1666580","1666580")</f>
        <v>1666580</v>
      </c>
      <c r="E6942">
        <v>13</v>
      </c>
      <c r="F6942" t="s">
        <v>6606</v>
      </c>
    </row>
    <row r="6943" spans="1:6" x14ac:dyDescent="0.25">
      <c r="A6943" t="s">
        <v>7749</v>
      </c>
      <c r="B6943" t="s">
        <v>2869</v>
      </c>
      <c r="C6943" t="s">
        <v>350</v>
      </c>
      <c r="D6943" t="str">
        <f>HYPERLINK("http://service.sap.com/sap/support/notes/1689842","1689842")</f>
        <v>1689842</v>
      </c>
      <c r="E6943">
        <v>1</v>
      </c>
      <c r="F6943" t="s">
        <v>8353</v>
      </c>
    </row>
    <row r="6944" spans="1:6" x14ac:dyDescent="0.25">
      <c r="A6944" t="s">
        <v>7749</v>
      </c>
      <c r="B6944" t="s">
        <v>2869</v>
      </c>
      <c r="C6944" t="s">
        <v>350</v>
      </c>
      <c r="D6944" t="str">
        <f>HYPERLINK("http://service.sap.com/sap/support/notes/1695153","1695153")</f>
        <v>1695153</v>
      </c>
      <c r="E6944">
        <v>1</v>
      </c>
      <c r="F6944" t="s">
        <v>8354</v>
      </c>
    </row>
    <row r="6945" spans="1:6" x14ac:dyDescent="0.25">
      <c r="A6945" t="s">
        <v>7749</v>
      </c>
      <c r="B6945" t="s">
        <v>2869</v>
      </c>
      <c r="C6945" t="s">
        <v>350</v>
      </c>
      <c r="D6945" t="str">
        <f>HYPERLINK("http://service.sap.com/sap/support/notes/1710670","1710670")</f>
        <v>1710670</v>
      </c>
      <c r="E6945">
        <v>3</v>
      </c>
      <c r="F6945" t="s">
        <v>8355</v>
      </c>
    </row>
    <row r="6946" spans="1:6" x14ac:dyDescent="0.25">
      <c r="A6946" t="s">
        <v>7749</v>
      </c>
      <c r="B6946" t="s">
        <v>2869</v>
      </c>
      <c r="C6946" t="s">
        <v>350</v>
      </c>
      <c r="D6946" t="str">
        <f>HYPERLINK("http://service.sap.com/sap/support/notes/1711876","1711876")</f>
        <v>1711876</v>
      </c>
      <c r="E6946">
        <v>1</v>
      </c>
      <c r="F6946" t="s">
        <v>8356</v>
      </c>
    </row>
    <row r="6947" spans="1:6" x14ac:dyDescent="0.25">
      <c r="A6947" t="s">
        <v>7749</v>
      </c>
      <c r="B6947" t="s">
        <v>2869</v>
      </c>
      <c r="C6947" t="s">
        <v>350</v>
      </c>
      <c r="D6947" t="str">
        <f>HYPERLINK("http://service.sap.com/sap/support/notes/1712817","1712817")</f>
        <v>1712817</v>
      </c>
      <c r="E6947">
        <v>2</v>
      </c>
      <c r="F6947" t="s">
        <v>8357</v>
      </c>
    </row>
    <row r="6948" spans="1:6" x14ac:dyDescent="0.25">
      <c r="A6948" t="s">
        <v>7749</v>
      </c>
      <c r="B6948" t="s">
        <v>2869</v>
      </c>
      <c r="C6948" t="s">
        <v>350</v>
      </c>
      <c r="D6948" t="str">
        <f>HYPERLINK("http://service.sap.com/sap/support/notes/1713539","1713539")</f>
        <v>1713539</v>
      </c>
      <c r="E6948">
        <v>3</v>
      </c>
      <c r="F6948" t="s">
        <v>8358</v>
      </c>
    </row>
    <row r="6949" spans="1:6" x14ac:dyDescent="0.25">
      <c r="A6949" t="s">
        <v>7749</v>
      </c>
      <c r="B6949" t="s">
        <v>2869</v>
      </c>
      <c r="C6949" t="s">
        <v>350</v>
      </c>
      <c r="D6949" t="str">
        <f>HYPERLINK("http://service.sap.com/sap/support/notes/1714515","1714515")</f>
        <v>1714515</v>
      </c>
      <c r="E6949">
        <v>2</v>
      </c>
      <c r="F6949" t="s">
        <v>8359</v>
      </c>
    </row>
    <row r="6950" spans="1:6" x14ac:dyDescent="0.25">
      <c r="A6950" t="s">
        <v>7749</v>
      </c>
      <c r="B6950" t="s">
        <v>2869</v>
      </c>
      <c r="C6950" t="s">
        <v>350</v>
      </c>
      <c r="D6950" t="str">
        <f>HYPERLINK("http://service.sap.com/sap/support/notes/1715908","1715908")</f>
        <v>1715908</v>
      </c>
      <c r="E6950">
        <v>2</v>
      </c>
      <c r="F6950" t="s">
        <v>8360</v>
      </c>
    </row>
    <row r="6951" spans="1:6" x14ac:dyDescent="0.25">
      <c r="A6951" t="s">
        <v>7749</v>
      </c>
      <c r="B6951" t="s">
        <v>2869</v>
      </c>
      <c r="C6951" t="s">
        <v>350</v>
      </c>
      <c r="D6951" t="str">
        <f>HYPERLINK("http://service.sap.com/sap/support/notes/1719743","1719743")</f>
        <v>1719743</v>
      </c>
      <c r="E6951">
        <v>2</v>
      </c>
      <c r="F6951" t="s">
        <v>8361</v>
      </c>
    </row>
    <row r="6952" spans="1:6" x14ac:dyDescent="0.25">
      <c r="A6952" t="s">
        <v>7749</v>
      </c>
      <c r="B6952" t="s">
        <v>2877</v>
      </c>
      <c r="C6952" t="s">
        <v>2878</v>
      </c>
    </row>
    <row r="6953" spans="1:6" x14ac:dyDescent="0.25">
      <c r="A6953" t="s">
        <v>7749</v>
      </c>
      <c r="B6953" t="s">
        <v>2879</v>
      </c>
      <c r="C6953" t="s">
        <v>2880</v>
      </c>
      <c r="D6953" t="str">
        <f>HYPERLINK("http://service.sap.com/sap/support/notes/1604736","1604736")</f>
        <v>1604736</v>
      </c>
      <c r="E6953">
        <v>1</v>
      </c>
      <c r="F6953" t="s">
        <v>8362</v>
      </c>
    </row>
    <row r="6954" spans="1:6" x14ac:dyDescent="0.25">
      <c r="A6954" t="s">
        <v>7749</v>
      </c>
      <c r="B6954" t="s">
        <v>2879</v>
      </c>
      <c r="C6954" t="s">
        <v>2880</v>
      </c>
      <c r="D6954" t="str">
        <f>HYPERLINK("http://service.sap.com/sap/support/notes/1630623","1630623")</f>
        <v>1630623</v>
      </c>
      <c r="E6954">
        <v>4</v>
      </c>
      <c r="F6954" t="s">
        <v>2884</v>
      </c>
    </row>
    <row r="6955" spans="1:6" x14ac:dyDescent="0.25">
      <c r="A6955" t="s">
        <v>7749</v>
      </c>
      <c r="B6955" t="s">
        <v>2879</v>
      </c>
      <c r="C6955" t="s">
        <v>2880</v>
      </c>
      <c r="D6955" t="str">
        <f>HYPERLINK("http://service.sap.com/sap/support/notes/1685598","1685598")</f>
        <v>1685598</v>
      </c>
      <c r="E6955">
        <v>2</v>
      </c>
      <c r="F6955" t="s">
        <v>8363</v>
      </c>
    </row>
    <row r="6956" spans="1:6" x14ac:dyDescent="0.25">
      <c r="A6956" t="s">
        <v>7749</v>
      </c>
      <c r="B6956" t="s">
        <v>2879</v>
      </c>
      <c r="C6956" t="s">
        <v>2880</v>
      </c>
      <c r="D6956" t="str">
        <f>HYPERLINK("http://service.sap.com/sap/support/notes/1720965","1720965")</f>
        <v>1720965</v>
      </c>
      <c r="E6956">
        <v>9</v>
      </c>
      <c r="F6956" t="s">
        <v>8364</v>
      </c>
    </row>
    <row r="6957" spans="1:6" x14ac:dyDescent="0.25">
      <c r="A6957" t="s">
        <v>7749</v>
      </c>
      <c r="B6957" t="s">
        <v>2886</v>
      </c>
      <c r="C6957" t="s">
        <v>2887</v>
      </c>
      <c r="D6957" t="str">
        <f>HYPERLINK("http://service.sap.com/sap/support/notes/1667603","1667603")</f>
        <v>1667603</v>
      </c>
      <c r="E6957">
        <v>2</v>
      </c>
      <c r="F6957" t="s">
        <v>8365</v>
      </c>
    </row>
    <row r="6958" spans="1:6" x14ac:dyDescent="0.25">
      <c r="A6958" t="s">
        <v>7749</v>
      </c>
      <c r="B6958" t="s">
        <v>2886</v>
      </c>
      <c r="C6958" t="s">
        <v>2887</v>
      </c>
      <c r="D6958" t="str">
        <f>HYPERLINK("http://service.sap.com/sap/support/notes/1716690","1716690")</f>
        <v>1716690</v>
      </c>
      <c r="E6958">
        <v>2</v>
      </c>
      <c r="F6958" t="s">
        <v>8366</v>
      </c>
    </row>
    <row r="6959" spans="1:6" x14ac:dyDescent="0.25">
      <c r="A6959" t="s">
        <v>7749</v>
      </c>
      <c r="B6959" t="s">
        <v>2886</v>
      </c>
      <c r="C6959" t="s">
        <v>2887</v>
      </c>
      <c r="D6959" t="str">
        <f>HYPERLINK("http://service.sap.com/sap/support/notes/1718793","1718793")</f>
        <v>1718793</v>
      </c>
      <c r="E6959">
        <v>1</v>
      </c>
      <c r="F6959" t="s">
        <v>8367</v>
      </c>
    </row>
    <row r="6960" spans="1:6" x14ac:dyDescent="0.25">
      <c r="A6960" t="s">
        <v>7749</v>
      </c>
      <c r="B6960" t="s">
        <v>2886</v>
      </c>
      <c r="C6960" t="s">
        <v>2887</v>
      </c>
      <c r="D6960" t="str">
        <f>HYPERLINK("http://service.sap.com/sap/support/notes/1721166","1721166")</f>
        <v>1721166</v>
      </c>
      <c r="E6960">
        <v>1</v>
      </c>
      <c r="F6960" t="s">
        <v>8368</v>
      </c>
    </row>
    <row r="6961" spans="1:6" x14ac:dyDescent="0.25">
      <c r="A6961" t="s">
        <v>7749</v>
      </c>
      <c r="B6961" t="s">
        <v>2897</v>
      </c>
      <c r="C6961" t="s">
        <v>2898</v>
      </c>
      <c r="D6961" t="str">
        <f>HYPERLINK("http://service.sap.com/sap/support/notes/1628542","1628542")</f>
        <v>1628542</v>
      </c>
      <c r="E6961">
        <v>1</v>
      </c>
      <c r="F6961" t="s">
        <v>8369</v>
      </c>
    </row>
    <row r="6962" spans="1:6" x14ac:dyDescent="0.25">
      <c r="A6962" t="s">
        <v>7749</v>
      </c>
      <c r="B6962" t="s">
        <v>2897</v>
      </c>
      <c r="C6962" t="s">
        <v>2898</v>
      </c>
      <c r="D6962" t="str">
        <f>HYPERLINK("http://service.sap.com/sap/support/notes/1687685","1687685")</f>
        <v>1687685</v>
      </c>
      <c r="E6962">
        <v>2</v>
      </c>
      <c r="F6962" t="s">
        <v>8370</v>
      </c>
    </row>
    <row r="6963" spans="1:6" x14ac:dyDescent="0.25">
      <c r="A6963" t="s">
        <v>7749</v>
      </c>
      <c r="B6963" t="s">
        <v>2900</v>
      </c>
      <c r="C6963" t="s">
        <v>2887</v>
      </c>
      <c r="D6963" t="str">
        <f>HYPERLINK("http://service.sap.com/sap/support/notes/1707428","1707428")</f>
        <v>1707428</v>
      </c>
      <c r="E6963">
        <v>2</v>
      </c>
      <c r="F6963" t="s">
        <v>8371</v>
      </c>
    </row>
    <row r="6964" spans="1:6" x14ac:dyDescent="0.25">
      <c r="A6964" t="s">
        <v>7749</v>
      </c>
      <c r="B6964" t="s">
        <v>2909</v>
      </c>
      <c r="C6964" t="s">
        <v>2887</v>
      </c>
      <c r="D6964" t="str">
        <f>HYPERLINK("http://service.sap.com/sap/support/notes/1685927","1685927")</f>
        <v>1685927</v>
      </c>
      <c r="E6964">
        <v>2</v>
      </c>
      <c r="F6964" t="s">
        <v>6630</v>
      </c>
    </row>
    <row r="6965" spans="1:6" x14ac:dyDescent="0.25">
      <c r="A6965" t="s">
        <v>7749</v>
      </c>
      <c r="B6965" t="s">
        <v>2909</v>
      </c>
      <c r="C6965" t="s">
        <v>2887</v>
      </c>
      <c r="D6965" t="str">
        <f>HYPERLINK("http://service.sap.com/sap/support/notes/1696418","1696418")</f>
        <v>1696418</v>
      </c>
      <c r="E6965">
        <v>2</v>
      </c>
      <c r="F6965" t="s">
        <v>6628</v>
      </c>
    </row>
    <row r="6966" spans="1:6" x14ac:dyDescent="0.25">
      <c r="A6966" t="s">
        <v>7749</v>
      </c>
      <c r="B6966" t="s">
        <v>2909</v>
      </c>
      <c r="C6966" t="s">
        <v>2887</v>
      </c>
      <c r="D6966" t="str">
        <f>HYPERLINK("http://service.sap.com/sap/support/notes/1706481","1706481")</f>
        <v>1706481</v>
      </c>
      <c r="E6966">
        <v>2</v>
      </c>
      <c r="F6966" t="s">
        <v>8372</v>
      </c>
    </row>
    <row r="6967" spans="1:6" x14ac:dyDescent="0.25">
      <c r="A6967" t="s">
        <v>7749</v>
      </c>
      <c r="B6967" t="s">
        <v>2909</v>
      </c>
      <c r="C6967" t="s">
        <v>2887</v>
      </c>
      <c r="D6967" t="str">
        <f>HYPERLINK("http://service.sap.com/sap/support/notes/1720661","1720661")</f>
        <v>1720661</v>
      </c>
      <c r="E6967">
        <v>2</v>
      </c>
      <c r="F6967" t="s">
        <v>8373</v>
      </c>
    </row>
    <row r="6968" spans="1:6" x14ac:dyDescent="0.25">
      <c r="A6968" t="s">
        <v>7749</v>
      </c>
      <c r="B6968" t="s">
        <v>2909</v>
      </c>
      <c r="C6968" t="s">
        <v>2887</v>
      </c>
      <c r="D6968" t="str">
        <f>HYPERLINK("http://service.sap.com/sap/support/notes/1721168","1721168")</f>
        <v>1721168</v>
      </c>
      <c r="E6968">
        <v>1</v>
      </c>
      <c r="F6968" t="s">
        <v>8374</v>
      </c>
    </row>
    <row r="6969" spans="1:6" x14ac:dyDescent="0.25">
      <c r="A6969" t="s">
        <v>7749</v>
      </c>
      <c r="B6969" t="s">
        <v>2929</v>
      </c>
      <c r="C6969" t="s">
        <v>2887</v>
      </c>
      <c r="D6969" t="str">
        <f>HYPERLINK("http://service.sap.com/sap/support/notes/1686377","1686377")</f>
        <v>1686377</v>
      </c>
      <c r="E6969">
        <v>3</v>
      </c>
      <c r="F6969" t="s">
        <v>8375</v>
      </c>
    </row>
    <row r="6970" spans="1:6" x14ac:dyDescent="0.25">
      <c r="A6970" t="s">
        <v>7749</v>
      </c>
      <c r="B6970" t="s">
        <v>2929</v>
      </c>
      <c r="C6970" t="s">
        <v>2887</v>
      </c>
      <c r="D6970" t="str">
        <f>HYPERLINK("http://service.sap.com/sap/support/notes/1723893","1723893")</f>
        <v>1723893</v>
      </c>
      <c r="E6970">
        <v>1</v>
      </c>
      <c r="F6970" t="s">
        <v>8376</v>
      </c>
    </row>
    <row r="6971" spans="1:6" x14ac:dyDescent="0.25">
      <c r="A6971" t="s">
        <v>7749</v>
      </c>
      <c r="B6971" t="s">
        <v>2929</v>
      </c>
      <c r="C6971" t="s">
        <v>2887</v>
      </c>
      <c r="D6971" t="str">
        <f>HYPERLINK("http://service.sap.com/sap/support/notes/1725063","1725063")</f>
        <v>1725063</v>
      </c>
      <c r="E6971">
        <v>1</v>
      </c>
      <c r="F6971" t="s">
        <v>8377</v>
      </c>
    </row>
    <row r="6972" spans="1:6" x14ac:dyDescent="0.25">
      <c r="A6972" t="s">
        <v>7749</v>
      </c>
      <c r="B6972" t="s">
        <v>2938</v>
      </c>
      <c r="C6972" t="s">
        <v>8378</v>
      </c>
      <c r="D6972" t="str">
        <f>HYPERLINK("http://service.sap.com/sap/support/notes/1704158","1704158")</f>
        <v>1704158</v>
      </c>
      <c r="E6972">
        <v>1</v>
      </c>
      <c r="F6972" t="s">
        <v>8379</v>
      </c>
    </row>
    <row r="6973" spans="1:6" x14ac:dyDescent="0.25">
      <c r="A6973" t="s">
        <v>7749</v>
      </c>
      <c r="B6973" t="s">
        <v>2940</v>
      </c>
      <c r="C6973" t="s">
        <v>350</v>
      </c>
    </row>
    <row r="6974" spans="1:6" x14ac:dyDescent="0.25">
      <c r="A6974" t="s">
        <v>7749</v>
      </c>
      <c r="B6974" t="s">
        <v>2941</v>
      </c>
      <c r="C6974" t="s">
        <v>2942</v>
      </c>
      <c r="D6974" t="str">
        <f>HYPERLINK("http://service.sap.com/sap/support/notes/582903","582903")</f>
        <v>582903</v>
      </c>
      <c r="E6974">
        <v>4</v>
      </c>
      <c r="F6974" t="s">
        <v>8380</v>
      </c>
    </row>
    <row r="6975" spans="1:6" x14ac:dyDescent="0.25">
      <c r="A6975" t="s">
        <v>7749</v>
      </c>
      <c r="B6975" t="s">
        <v>2941</v>
      </c>
      <c r="C6975" t="s">
        <v>2942</v>
      </c>
      <c r="D6975" t="str">
        <f>HYPERLINK("http://service.sap.com/sap/support/notes/799080","799080")</f>
        <v>799080</v>
      </c>
      <c r="E6975">
        <v>5</v>
      </c>
      <c r="F6975" t="s">
        <v>8381</v>
      </c>
    </row>
    <row r="6976" spans="1:6" x14ac:dyDescent="0.25">
      <c r="A6976" t="s">
        <v>7749</v>
      </c>
      <c r="B6976" t="s">
        <v>2941</v>
      </c>
      <c r="C6976" t="s">
        <v>2942</v>
      </c>
      <c r="D6976" t="str">
        <f>HYPERLINK("http://service.sap.com/sap/support/notes/808585","808585")</f>
        <v>808585</v>
      </c>
      <c r="E6976">
        <v>6</v>
      </c>
      <c r="F6976" t="s">
        <v>8382</v>
      </c>
    </row>
    <row r="6977" spans="1:6" x14ac:dyDescent="0.25">
      <c r="A6977" t="s">
        <v>7749</v>
      </c>
      <c r="B6977" t="s">
        <v>2941</v>
      </c>
      <c r="C6977" t="s">
        <v>2942</v>
      </c>
      <c r="D6977" t="str">
        <f>HYPERLINK("http://service.sap.com/sap/support/notes/809149","809149")</f>
        <v>809149</v>
      </c>
      <c r="E6977">
        <v>5</v>
      </c>
      <c r="F6977" t="s">
        <v>8383</v>
      </c>
    </row>
    <row r="6978" spans="1:6" x14ac:dyDescent="0.25">
      <c r="A6978" t="s">
        <v>7749</v>
      </c>
      <c r="B6978" t="s">
        <v>2941</v>
      </c>
      <c r="C6978" t="s">
        <v>2942</v>
      </c>
      <c r="D6978" t="str">
        <f>HYPERLINK("http://service.sap.com/sap/support/notes/892195","892195")</f>
        <v>892195</v>
      </c>
      <c r="E6978">
        <v>8</v>
      </c>
      <c r="F6978" t="s">
        <v>8384</v>
      </c>
    </row>
    <row r="6979" spans="1:6" x14ac:dyDescent="0.25">
      <c r="A6979" t="s">
        <v>7749</v>
      </c>
      <c r="B6979" t="s">
        <v>2941</v>
      </c>
      <c r="C6979" t="s">
        <v>2942</v>
      </c>
      <c r="D6979" t="str">
        <f>HYPERLINK("http://service.sap.com/sap/support/notes/950838","950838")</f>
        <v>950838</v>
      </c>
      <c r="E6979">
        <v>6</v>
      </c>
      <c r="F6979" t="s">
        <v>8385</v>
      </c>
    </row>
    <row r="6980" spans="1:6" x14ac:dyDescent="0.25">
      <c r="A6980" t="s">
        <v>7749</v>
      </c>
      <c r="B6980" t="s">
        <v>2941</v>
      </c>
      <c r="C6980" t="s">
        <v>2942</v>
      </c>
      <c r="D6980" t="str">
        <f>HYPERLINK("http://service.sap.com/sap/support/notes/979680","979680")</f>
        <v>979680</v>
      </c>
      <c r="E6980">
        <v>12</v>
      </c>
      <c r="F6980" t="s">
        <v>8386</v>
      </c>
    </row>
    <row r="6981" spans="1:6" x14ac:dyDescent="0.25">
      <c r="A6981" t="s">
        <v>7749</v>
      </c>
      <c r="B6981" t="s">
        <v>2941</v>
      </c>
      <c r="C6981" t="s">
        <v>2942</v>
      </c>
      <c r="D6981" t="str">
        <f>HYPERLINK("http://service.sap.com/sap/support/notes/1180562","1180562")</f>
        <v>1180562</v>
      </c>
      <c r="E6981">
        <v>4</v>
      </c>
      <c r="F6981" t="s">
        <v>8387</v>
      </c>
    </row>
    <row r="6982" spans="1:6" x14ac:dyDescent="0.25">
      <c r="A6982" t="s">
        <v>7749</v>
      </c>
      <c r="B6982" t="s">
        <v>2941</v>
      </c>
      <c r="C6982" t="s">
        <v>2942</v>
      </c>
      <c r="D6982" t="str">
        <f>HYPERLINK("http://service.sap.com/sap/support/notes/1264375","1264375")</f>
        <v>1264375</v>
      </c>
      <c r="E6982">
        <v>6</v>
      </c>
      <c r="F6982" t="s">
        <v>8388</v>
      </c>
    </row>
    <row r="6983" spans="1:6" x14ac:dyDescent="0.25">
      <c r="A6983" t="s">
        <v>7749</v>
      </c>
      <c r="B6983" t="s">
        <v>2941</v>
      </c>
      <c r="C6983" t="s">
        <v>2942</v>
      </c>
      <c r="D6983" t="str">
        <f>HYPERLINK("http://service.sap.com/sap/support/notes/1290249","1290249")</f>
        <v>1290249</v>
      </c>
      <c r="E6983">
        <v>14</v>
      </c>
      <c r="F6983" t="s">
        <v>8389</v>
      </c>
    </row>
    <row r="6984" spans="1:6" x14ac:dyDescent="0.25">
      <c r="A6984" t="s">
        <v>7749</v>
      </c>
      <c r="B6984" t="s">
        <v>2941</v>
      </c>
      <c r="C6984" t="s">
        <v>2942</v>
      </c>
      <c r="D6984" t="str">
        <f>HYPERLINK("http://service.sap.com/sap/support/notes/1329650","1329650")</f>
        <v>1329650</v>
      </c>
      <c r="E6984">
        <v>6</v>
      </c>
      <c r="F6984" t="s">
        <v>8390</v>
      </c>
    </row>
    <row r="6985" spans="1:6" x14ac:dyDescent="0.25">
      <c r="A6985" t="s">
        <v>7749</v>
      </c>
      <c r="B6985" t="s">
        <v>2941</v>
      </c>
      <c r="C6985" t="s">
        <v>2942</v>
      </c>
      <c r="D6985" t="str">
        <f>HYPERLINK("http://service.sap.com/sap/support/notes/1591194","1591194")</f>
        <v>1591194</v>
      </c>
      <c r="E6985">
        <v>3</v>
      </c>
      <c r="F6985" t="s">
        <v>8391</v>
      </c>
    </row>
    <row r="6986" spans="1:6" x14ac:dyDescent="0.25">
      <c r="A6986" t="s">
        <v>7749</v>
      </c>
      <c r="B6986" t="s">
        <v>2941</v>
      </c>
      <c r="C6986" t="s">
        <v>2942</v>
      </c>
      <c r="D6986" t="str">
        <f>HYPERLINK("http://service.sap.com/sap/support/notes/1622050","1622050")</f>
        <v>1622050</v>
      </c>
      <c r="E6986">
        <v>2</v>
      </c>
      <c r="F6986" t="s">
        <v>8392</v>
      </c>
    </row>
    <row r="6987" spans="1:6" x14ac:dyDescent="0.25">
      <c r="A6987" t="s">
        <v>7749</v>
      </c>
      <c r="B6987" t="s">
        <v>2941</v>
      </c>
      <c r="C6987" t="s">
        <v>2942</v>
      </c>
      <c r="D6987" t="str">
        <f>HYPERLINK("http://service.sap.com/sap/support/notes/1624435","1624435")</f>
        <v>1624435</v>
      </c>
      <c r="E6987">
        <v>4</v>
      </c>
      <c r="F6987" t="s">
        <v>8393</v>
      </c>
    </row>
    <row r="6988" spans="1:6" x14ac:dyDescent="0.25">
      <c r="A6988" t="s">
        <v>7749</v>
      </c>
      <c r="B6988" t="s">
        <v>2941</v>
      </c>
      <c r="C6988" t="s">
        <v>2942</v>
      </c>
      <c r="D6988" t="str">
        <f>HYPERLINK("http://service.sap.com/sap/support/notes/1705419","1705419")</f>
        <v>1705419</v>
      </c>
      <c r="E6988">
        <v>6</v>
      </c>
      <c r="F6988" t="s">
        <v>8394</v>
      </c>
    </row>
    <row r="6989" spans="1:6" x14ac:dyDescent="0.25">
      <c r="A6989" t="s">
        <v>7749</v>
      </c>
      <c r="B6989" t="s">
        <v>2941</v>
      </c>
      <c r="C6989" t="s">
        <v>2942</v>
      </c>
      <c r="D6989" t="str">
        <f>HYPERLINK("http://service.sap.com/sap/support/notes/1706812","1706812")</f>
        <v>1706812</v>
      </c>
      <c r="E6989">
        <v>2</v>
      </c>
      <c r="F6989" t="s">
        <v>8395</v>
      </c>
    </row>
    <row r="6990" spans="1:6" x14ac:dyDescent="0.25">
      <c r="A6990" t="s">
        <v>7749</v>
      </c>
      <c r="B6990" t="s">
        <v>2941</v>
      </c>
      <c r="C6990" t="s">
        <v>2942</v>
      </c>
      <c r="D6990" t="str">
        <f>HYPERLINK("http://service.sap.com/sap/support/notes/1710242","1710242")</f>
        <v>1710242</v>
      </c>
      <c r="E6990">
        <v>3</v>
      </c>
      <c r="F6990" t="s">
        <v>8396</v>
      </c>
    </row>
    <row r="6991" spans="1:6" x14ac:dyDescent="0.25">
      <c r="A6991" t="s">
        <v>7749</v>
      </c>
      <c r="B6991" t="s">
        <v>2941</v>
      </c>
      <c r="C6991" t="s">
        <v>2942</v>
      </c>
      <c r="D6991" t="str">
        <f>HYPERLINK("http://service.sap.com/sap/support/notes/1713431","1713431")</f>
        <v>1713431</v>
      </c>
      <c r="E6991">
        <v>1</v>
      </c>
      <c r="F6991" t="s">
        <v>8397</v>
      </c>
    </row>
    <row r="6992" spans="1:6" x14ac:dyDescent="0.25">
      <c r="A6992" t="s">
        <v>7749</v>
      </c>
      <c r="B6992" t="s">
        <v>2941</v>
      </c>
      <c r="C6992" t="s">
        <v>2942</v>
      </c>
      <c r="D6992" t="str">
        <f>HYPERLINK("http://service.sap.com/sap/support/notes/1716647","1716647")</f>
        <v>1716647</v>
      </c>
      <c r="E6992">
        <v>1</v>
      </c>
      <c r="F6992" t="s">
        <v>8398</v>
      </c>
    </row>
    <row r="6993" spans="1:6" x14ac:dyDescent="0.25">
      <c r="A6993" t="s">
        <v>7749</v>
      </c>
      <c r="B6993" t="s">
        <v>2941</v>
      </c>
      <c r="C6993" t="s">
        <v>2942</v>
      </c>
      <c r="D6993" t="str">
        <f>HYPERLINK("http://service.sap.com/sap/support/notes/1723324","1723324")</f>
        <v>1723324</v>
      </c>
      <c r="E6993">
        <v>2</v>
      </c>
      <c r="F6993" t="s">
        <v>8399</v>
      </c>
    </row>
    <row r="6994" spans="1:6" x14ac:dyDescent="0.25">
      <c r="A6994" t="s">
        <v>7749</v>
      </c>
      <c r="B6994" t="s">
        <v>2949</v>
      </c>
      <c r="C6994" t="s">
        <v>337</v>
      </c>
      <c r="D6994" t="str">
        <f>HYPERLINK("http://service.sap.com/sap/support/notes/1703157","1703157")</f>
        <v>1703157</v>
      </c>
      <c r="E6994">
        <v>2</v>
      </c>
      <c r="F6994" t="s">
        <v>8400</v>
      </c>
    </row>
    <row r="6995" spans="1:6" x14ac:dyDescent="0.25">
      <c r="A6995" t="s">
        <v>7749</v>
      </c>
      <c r="B6995" t="s">
        <v>8401</v>
      </c>
      <c r="C6995" t="s">
        <v>8402</v>
      </c>
      <c r="D6995" t="str">
        <f>HYPERLINK("http://service.sap.com/sap/support/notes/1706268","1706268")</f>
        <v>1706268</v>
      </c>
      <c r="E6995">
        <v>1</v>
      </c>
      <c r="F6995" t="s">
        <v>8403</v>
      </c>
    </row>
    <row r="6996" spans="1:6" x14ac:dyDescent="0.25">
      <c r="A6996" t="s">
        <v>7749</v>
      </c>
      <c r="B6996" t="s">
        <v>2967</v>
      </c>
      <c r="C6996" t="s">
        <v>1845</v>
      </c>
      <c r="D6996" t="str">
        <f>HYPERLINK("http://service.sap.com/sap/support/notes/1695363","1695363")</f>
        <v>1695363</v>
      </c>
      <c r="E6996">
        <v>1</v>
      </c>
      <c r="F6996" t="s">
        <v>6635</v>
      </c>
    </row>
    <row r="6997" spans="1:6" x14ac:dyDescent="0.25">
      <c r="A6997" t="s">
        <v>7749</v>
      </c>
      <c r="B6997" t="s">
        <v>2967</v>
      </c>
      <c r="C6997" t="s">
        <v>1845</v>
      </c>
      <c r="D6997" t="str">
        <f>HYPERLINK("http://service.sap.com/sap/support/notes/1703287","1703287")</f>
        <v>1703287</v>
      </c>
      <c r="E6997">
        <v>1</v>
      </c>
      <c r="F6997" t="s">
        <v>8404</v>
      </c>
    </row>
    <row r="6998" spans="1:6" x14ac:dyDescent="0.25">
      <c r="A6998" t="s">
        <v>7749</v>
      </c>
      <c r="B6998" t="s">
        <v>2967</v>
      </c>
      <c r="C6998" t="s">
        <v>1845</v>
      </c>
      <c r="D6998" t="str">
        <f>HYPERLINK("http://service.sap.com/sap/support/notes/1709962","1709962")</f>
        <v>1709962</v>
      </c>
      <c r="E6998">
        <v>1</v>
      </c>
      <c r="F6998" t="s">
        <v>8405</v>
      </c>
    </row>
    <row r="6999" spans="1:6" x14ac:dyDescent="0.25">
      <c r="A6999" t="s">
        <v>7749</v>
      </c>
      <c r="B6999" t="s">
        <v>2967</v>
      </c>
      <c r="C6999" t="s">
        <v>1845</v>
      </c>
      <c r="D6999" t="str">
        <f>HYPERLINK("http://service.sap.com/sap/support/notes/1713929","1713929")</f>
        <v>1713929</v>
      </c>
      <c r="E6999">
        <v>1</v>
      </c>
      <c r="F6999" t="s">
        <v>8406</v>
      </c>
    </row>
    <row r="7000" spans="1:6" x14ac:dyDescent="0.25">
      <c r="A7000" t="s">
        <v>7749</v>
      </c>
      <c r="B7000" t="s">
        <v>2967</v>
      </c>
      <c r="C7000" t="s">
        <v>1845</v>
      </c>
      <c r="D7000" t="str">
        <f>HYPERLINK("http://service.sap.com/sap/support/notes/1721719","1721719")</f>
        <v>1721719</v>
      </c>
      <c r="E7000">
        <v>1</v>
      </c>
      <c r="F7000" t="s">
        <v>8407</v>
      </c>
    </row>
    <row r="7001" spans="1:6" x14ac:dyDescent="0.25">
      <c r="A7001" t="s">
        <v>7749</v>
      </c>
      <c r="B7001" t="s">
        <v>8408</v>
      </c>
      <c r="C7001" t="s">
        <v>8409</v>
      </c>
      <c r="D7001" t="str">
        <f>HYPERLINK("http://service.sap.com/sap/support/notes/1698085","1698085")</f>
        <v>1698085</v>
      </c>
      <c r="E7001">
        <v>1</v>
      </c>
      <c r="F7001" t="s">
        <v>8410</v>
      </c>
    </row>
    <row r="7002" spans="1:6" x14ac:dyDescent="0.25">
      <c r="A7002" t="s">
        <v>7749</v>
      </c>
      <c r="B7002" t="s">
        <v>2972</v>
      </c>
      <c r="C7002" t="s">
        <v>2973</v>
      </c>
      <c r="D7002" t="str">
        <f>HYPERLINK("http://service.sap.com/sap/support/notes/1702676","1702676")</f>
        <v>1702676</v>
      </c>
      <c r="E7002">
        <v>1</v>
      </c>
      <c r="F7002" t="s">
        <v>8411</v>
      </c>
    </row>
    <row r="7003" spans="1:6" x14ac:dyDescent="0.25">
      <c r="A7003" t="s">
        <v>7749</v>
      </c>
      <c r="B7003" t="s">
        <v>8412</v>
      </c>
      <c r="C7003" t="s">
        <v>8413</v>
      </c>
      <c r="D7003" t="str">
        <f>HYPERLINK("http://service.sap.com/sap/support/notes/1685789","1685789")</f>
        <v>1685789</v>
      </c>
      <c r="E7003">
        <v>1</v>
      </c>
      <c r="F7003" t="s">
        <v>8414</v>
      </c>
    </row>
    <row r="7004" spans="1:6" x14ac:dyDescent="0.25">
      <c r="A7004" t="s">
        <v>7749</v>
      </c>
      <c r="B7004" t="s">
        <v>2978</v>
      </c>
      <c r="C7004" t="s">
        <v>6637</v>
      </c>
      <c r="D7004" t="str">
        <f>HYPERLINK("http://service.sap.com/sap/support/notes/1715875","1715875")</f>
        <v>1715875</v>
      </c>
      <c r="E7004">
        <v>2</v>
      </c>
      <c r="F7004" t="s">
        <v>8415</v>
      </c>
    </row>
    <row r="7005" spans="1:6" x14ac:dyDescent="0.25">
      <c r="A7005" t="s">
        <v>7749</v>
      </c>
      <c r="B7005" t="s">
        <v>2980</v>
      </c>
      <c r="C7005" t="s">
        <v>2981</v>
      </c>
      <c r="D7005" t="str">
        <f>HYPERLINK("http://service.sap.com/sap/support/notes/1686196","1686196")</f>
        <v>1686196</v>
      </c>
      <c r="E7005">
        <v>8</v>
      </c>
      <c r="F7005" t="s">
        <v>8416</v>
      </c>
    </row>
    <row r="7006" spans="1:6" x14ac:dyDescent="0.25">
      <c r="A7006" t="s">
        <v>7749</v>
      </c>
      <c r="B7006" t="s">
        <v>2980</v>
      </c>
      <c r="C7006" t="s">
        <v>2981</v>
      </c>
      <c r="D7006" t="str">
        <f>HYPERLINK("http://service.sap.com/sap/support/notes/1710821","1710821")</f>
        <v>1710821</v>
      </c>
      <c r="E7006">
        <v>1</v>
      </c>
      <c r="F7006" t="s">
        <v>8417</v>
      </c>
    </row>
    <row r="7007" spans="1:6" x14ac:dyDescent="0.25">
      <c r="A7007" t="s">
        <v>7749</v>
      </c>
      <c r="B7007" t="s">
        <v>2980</v>
      </c>
      <c r="C7007" t="s">
        <v>2981</v>
      </c>
      <c r="D7007" t="str">
        <f>HYPERLINK("http://service.sap.com/sap/support/notes/1711827","1711827")</f>
        <v>1711827</v>
      </c>
      <c r="E7007">
        <v>1</v>
      </c>
      <c r="F7007" t="s">
        <v>8418</v>
      </c>
    </row>
    <row r="7008" spans="1:6" x14ac:dyDescent="0.25">
      <c r="A7008" t="s">
        <v>7749</v>
      </c>
      <c r="B7008" t="s">
        <v>2980</v>
      </c>
      <c r="C7008" t="s">
        <v>2981</v>
      </c>
      <c r="D7008" t="str">
        <f>HYPERLINK("http://service.sap.com/sap/support/notes/1717316","1717316")</f>
        <v>1717316</v>
      </c>
      <c r="E7008">
        <v>2</v>
      </c>
      <c r="F7008" t="s">
        <v>8419</v>
      </c>
    </row>
    <row r="7009" spans="1:6" x14ac:dyDescent="0.25">
      <c r="A7009" t="s">
        <v>7749</v>
      </c>
      <c r="B7009" t="s">
        <v>522</v>
      </c>
      <c r="C7009" t="s">
        <v>523</v>
      </c>
    </row>
    <row r="7010" spans="1:6" x14ac:dyDescent="0.25">
      <c r="A7010" t="s">
        <v>7749</v>
      </c>
      <c r="B7010" t="s">
        <v>524</v>
      </c>
      <c r="C7010" t="s">
        <v>525</v>
      </c>
      <c r="D7010" t="str">
        <f>HYPERLINK("http://service.sap.com/sap/support/notes/1610148","1610148")</f>
        <v>1610148</v>
      </c>
      <c r="E7010">
        <v>1</v>
      </c>
      <c r="F7010" t="s">
        <v>526</v>
      </c>
    </row>
    <row r="7011" spans="1:6" x14ac:dyDescent="0.25">
      <c r="A7011" t="s">
        <v>7749</v>
      </c>
      <c r="B7011" t="s">
        <v>527</v>
      </c>
      <c r="C7011" t="s">
        <v>528</v>
      </c>
    </row>
    <row r="7012" spans="1:6" x14ac:dyDescent="0.25">
      <c r="A7012" t="s">
        <v>7749</v>
      </c>
      <c r="B7012" t="s">
        <v>529</v>
      </c>
      <c r="C7012" t="s">
        <v>530</v>
      </c>
    </row>
    <row r="7013" spans="1:6" x14ac:dyDescent="0.25">
      <c r="A7013" t="s">
        <v>7749</v>
      </c>
      <c r="B7013" t="s">
        <v>531</v>
      </c>
      <c r="C7013" t="s">
        <v>532</v>
      </c>
      <c r="D7013" t="str">
        <f>HYPERLINK("http://service.sap.com/sap/support/notes/1699611","1699611")</f>
        <v>1699611</v>
      </c>
      <c r="E7013">
        <v>1</v>
      </c>
      <c r="F7013" t="s">
        <v>8420</v>
      </c>
    </row>
    <row r="7014" spans="1:6" x14ac:dyDescent="0.25">
      <c r="A7014" t="s">
        <v>7749</v>
      </c>
      <c r="B7014" t="s">
        <v>531</v>
      </c>
      <c r="C7014" t="s">
        <v>532</v>
      </c>
      <c r="D7014" t="str">
        <f>HYPERLINK("http://service.sap.com/sap/support/notes/1705534","1705534")</f>
        <v>1705534</v>
      </c>
      <c r="E7014">
        <v>1</v>
      </c>
      <c r="F7014" t="s">
        <v>8421</v>
      </c>
    </row>
    <row r="7015" spans="1:6" x14ac:dyDescent="0.25">
      <c r="A7015" t="s">
        <v>7749</v>
      </c>
      <c r="B7015" t="s">
        <v>531</v>
      </c>
      <c r="C7015" t="s">
        <v>532</v>
      </c>
      <c r="D7015" t="str">
        <f>HYPERLINK("http://service.sap.com/sap/support/notes/1705585","1705585")</f>
        <v>1705585</v>
      </c>
      <c r="E7015">
        <v>1</v>
      </c>
      <c r="F7015" t="s">
        <v>8422</v>
      </c>
    </row>
    <row r="7016" spans="1:6" x14ac:dyDescent="0.25">
      <c r="A7016" t="s">
        <v>7749</v>
      </c>
      <c r="B7016" t="s">
        <v>531</v>
      </c>
      <c r="C7016" t="s">
        <v>532</v>
      </c>
      <c r="D7016" t="str">
        <f>HYPERLINK("http://service.sap.com/sap/support/notes/1707670","1707670")</f>
        <v>1707670</v>
      </c>
      <c r="E7016">
        <v>1</v>
      </c>
      <c r="F7016" t="s">
        <v>8423</v>
      </c>
    </row>
    <row r="7017" spans="1:6" x14ac:dyDescent="0.25">
      <c r="A7017" t="s">
        <v>7749</v>
      </c>
      <c r="B7017" t="s">
        <v>531</v>
      </c>
      <c r="C7017" t="s">
        <v>532</v>
      </c>
      <c r="D7017" t="str">
        <f>HYPERLINK("http://service.sap.com/sap/support/notes/1707923","1707923")</f>
        <v>1707923</v>
      </c>
      <c r="E7017">
        <v>1</v>
      </c>
      <c r="F7017" t="s">
        <v>8424</v>
      </c>
    </row>
    <row r="7018" spans="1:6" x14ac:dyDescent="0.25">
      <c r="A7018" t="s">
        <v>7749</v>
      </c>
      <c r="B7018" t="s">
        <v>531</v>
      </c>
      <c r="C7018" t="s">
        <v>532</v>
      </c>
      <c r="D7018" t="str">
        <f>HYPERLINK("http://service.sap.com/sap/support/notes/1707928","1707928")</f>
        <v>1707928</v>
      </c>
      <c r="E7018">
        <v>1</v>
      </c>
      <c r="F7018" t="s">
        <v>8425</v>
      </c>
    </row>
    <row r="7019" spans="1:6" x14ac:dyDescent="0.25">
      <c r="A7019" t="s">
        <v>7749</v>
      </c>
      <c r="B7019" t="s">
        <v>531</v>
      </c>
      <c r="C7019" t="s">
        <v>532</v>
      </c>
      <c r="D7019" t="str">
        <f>HYPERLINK("http://service.sap.com/sap/support/notes/1708122","1708122")</f>
        <v>1708122</v>
      </c>
      <c r="E7019">
        <v>1</v>
      </c>
      <c r="F7019" t="s">
        <v>8426</v>
      </c>
    </row>
    <row r="7020" spans="1:6" x14ac:dyDescent="0.25">
      <c r="A7020" t="s">
        <v>7749</v>
      </c>
      <c r="B7020" t="s">
        <v>531</v>
      </c>
      <c r="C7020" t="s">
        <v>532</v>
      </c>
      <c r="D7020" t="str">
        <f>HYPERLINK("http://service.sap.com/sap/support/notes/1716753","1716753")</f>
        <v>1716753</v>
      </c>
      <c r="E7020">
        <v>2</v>
      </c>
      <c r="F7020" t="s">
        <v>8427</v>
      </c>
    </row>
    <row r="7021" spans="1:6" x14ac:dyDescent="0.25">
      <c r="A7021" t="s">
        <v>7749</v>
      </c>
      <c r="B7021" t="s">
        <v>531</v>
      </c>
      <c r="C7021" t="s">
        <v>532</v>
      </c>
      <c r="D7021" t="str">
        <f>HYPERLINK("http://service.sap.com/sap/support/notes/1718543","1718543")</f>
        <v>1718543</v>
      </c>
      <c r="E7021">
        <v>1</v>
      </c>
      <c r="F7021" t="s">
        <v>8428</v>
      </c>
    </row>
    <row r="7022" spans="1:6" x14ac:dyDescent="0.25">
      <c r="A7022" t="s">
        <v>7749</v>
      </c>
      <c r="B7022" t="s">
        <v>531</v>
      </c>
      <c r="C7022" t="s">
        <v>532</v>
      </c>
      <c r="D7022" t="str">
        <f>HYPERLINK("http://service.sap.com/sap/support/notes/1719787","1719787")</f>
        <v>1719787</v>
      </c>
      <c r="E7022">
        <v>1</v>
      </c>
      <c r="F7022" t="s">
        <v>8429</v>
      </c>
    </row>
    <row r="7023" spans="1:6" x14ac:dyDescent="0.25">
      <c r="A7023" t="s">
        <v>7749</v>
      </c>
      <c r="B7023" t="s">
        <v>531</v>
      </c>
      <c r="C7023" t="s">
        <v>532</v>
      </c>
      <c r="D7023" t="str">
        <f>HYPERLINK("http://service.sap.com/sap/support/notes/1719789","1719789")</f>
        <v>1719789</v>
      </c>
      <c r="E7023">
        <v>1</v>
      </c>
      <c r="F7023" t="s">
        <v>8430</v>
      </c>
    </row>
    <row r="7024" spans="1:6" x14ac:dyDescent="0.25">
      <c r="A7024" t="s">
        <v>7749</v>
      </c>
      <c r="B7024" t="s">
        <v>539</v>
      </c>
      <c r="C7024" t="s">
        <v>540</v>
      </c>
      <c r="D7024" t="str">
        <f>HYPERLINK("http://service.sap.com/sap/support/notes/1045823","1045823")</f>
        <v>1045823</v>
      </c>
      <c r="E7024">
        <v>1</v>
      </c>
      <c r="F7024" t="s">
        <v>8140</v>
      </c>
    </row>
    <row r="7025" spans="1:6" x14ac:dyDescent="0.25">
      <c r="A7025" t="s">
        <v>7749</v>
      </c>
      <c r="B7025" t="s">
        <v>539</v>
      </c>
      <c r="C7025" t="s">
        <v>540</v>
      </c>
      <c r="D7025" t="str">
        <f>HYPERLINK("http://service.sap.com/sap/support/notes/1664364","1664364")</f>
        <v>1664364</v>
      </c>
      <c r="E7025">
        <v>3</v>
      </c>
      <c r="F7025" t="s">
        <v>8431</v>
      </c>
    </row>
    <row r="7026" spans="1:6" x14ac:dyDescent="0.25">
      <c r="A7026" t="s">
        <v>7749</v>
      </c>
      <c r="B7026" t="s">
        <v>539</v>
      </c>
      <c r="C7026" t="s">
        <v>540</v>
      </c>
      <c r="D7026" t="str">
        <f>HYPERLINK("http://service.sap.com/sap/support/notes/1671504","1671504")</f>
        <v>1671504</v>
      </c>
      <c r="E7026">
        <v>1</v>
      </c>
      <c r="F7026" t="s">
        <v>8432</v>
      </c>
    </row>
    <row r="7027" spans="1:6" x14ac:dyDescent="0.25">
      <c r="A7027" t="s">
        <v>7749</v>
      </c>
      <c r="B7027" t="s">
        <v>539</v>
      </c>
      <c r="C7027" t="s">
        <v>540</v>
      </c>
      <c r="D7027" t="str">
        <f>HYPERLINK("http://service.sap.com/sap/support/notes/1686915","1686915")</f>
        <v>1686915</v>
      </c>
      <c r="E7027">
        <v>1</v>
      </c>
      <c r="F7027" t="s">
        <v>8433</v>
      </c>
    </row>
    <row r="7028" spans="1:6" x14ac:dyDescent="0.25">
      <c r="A7028" t="s">
        <v>7749</v>
      </c>
      <c r="B7028" t="s">
        <v>539</v>
      </c>
      <c r="C7028" t="s">
        <v>540</v>
      </c>
      <c r="D7028" t="str">
        <f>HYPERLINK("http://service.sap.com/sap/support/notes/1688868","1688868")</f>
        <v>1688868</v>
      </c>
      <c r="E7028">
        <v>1</v>
      </c>
      <c r="F7028" t="s">
        <v>8434</v>
      </c>
    </row>
    <row r="7029" spans="1:6" x14ac:dyDescent="0.25">
      <c r="A7029" t="s">
        <v>7749</v>
      </c>
      <c r="B7029" t="s">
        <v>539</v>
      </c>
      <c r="C7029" t="s">
        <v>540</v>
      </c>
      <c r="D7029" t="str">
        <f>HYPERLINK("http://service.sap.com/sap/support/notes/1697428","1697428")</f>
        <v>1697428</v>
      </c>
      <c r="E7029">
        <v>1</v>
      </c>
      <c r="F7029" t="s">
        <v>8435</v>
      </c>
    </row>
    <row r="7030" spans="1:6" x14ac:dyDescent="0.25">
      <c r="A7030" t="s">
        <v>7749</v>
      </c>
      <c r="B7030" t="s">
        <v>539</v>
      </c>
      <c r="C7030" t="s">
        <v>540</v>
      </c>
      <c r="D7030" t="str">
        <f>HYPERLINK("http://service.sap.com/sap/support/notes/1698595","1698595")</f>
        <v>1698595</v>
      </c>
      <c r="E7030">
        <v>1</v>
      </c>
      <c r="F7030" t="s">
        <v>8436</v>
      </c>
    </row>
    <row r="7031" spans="1:6" x14ac:dyDescent="0.25">
      <c r="A7031" t="s">
        <v>7749</v>
      </c>
      <c r="B7031" t="s">
        <v>539</v>
      </c>
      <c r="C7031" t="s">
        <v>540</v>
      </c>
      <c r="D7031" t="str">
        <f>HYPERLINK("http://service.sap.com/sap/support/notes/1701896","1701896")</f>
        <v>1701896</v>
      </c>
      <c r="E7031">
        <v>1</v>
      </c>
      <c r="F7031" t="s">
        <v>8437</v>
      </c>
    </row>
    <row r="7032" spans="1:6" x14ac:dyDescent="0.25">
      <c r="A7032" t="s">
        <v>7749</v>
      </c>
      <c r="B7032" t="s">
        <v>553</v>
      </c>
      <c r="C7032" t="s">
        <v>554</v>
      </c>
      <c r="D7032" t="str">
        <f>HYPERLINK("http://service.sap.com/sap/support/notes/1710710","1710710")</f>
        <v>1710710</v>
      </c>
      <c r="E7032">
        <v>1</v>
      </c>
      <c r="F7032" t="s">
        <v>8438</v>
      </c>
    </row>
    <row r="7033" spans="1:6" x14ac:dyDescent="0.25">
      <c r="A7033" t="s">
        <v>7749</v>
      </c>
      <c r="B7033" t="s">
        <v>3033</v>
      </c>
      <c r="C7033" t="s">
        <v>337</v>
      </c>
      <c r="D7033" t="str">
        <f>HYPERLINK("http://service.sap.com/sap/support/notes/1678253","1678253")</f>
        <v>1678253</v>
      </c>
      <c r="E7033">
        <v>2</v>
      </c>
      <c r="F7033" t="s">
        <v>8439</v>
      </c>
    </row>
    <row r="7034" spans="1:6" x14ac:dyDescent="0.25">
      <c r="A7034" t="s">
        <v>7749</v>
      </c>
      <c r="B7034" t="s">
        <v>3033</v>
      </c>
      <c r="C7034" t="s">
        <v>337</v>
      </c>
      <c r="D7034" t="str">
        <f>HYPERLINK("http://service.sap.com/sap/support/notes/1678260","1678260")</f>
        <v>1678260</v>
      </c>
      <c r="E7034">
        <v>6</v>
      </c>
      <c r="F7034" t="s">
        <v>8440</v>
      </c>
    </row>
    <row r="7035" spans="1:6" x14ac:dyDescent="0.25">
      <c r="A7035" t="s">
        <v>7749</v>
      </c>
      <c r="B7035" t="s">
        <v>3033</v>
      </c>
      <c r="C7035" t="s">
        <v>337</v>
      </c>
      <c r="D7035" t="str">
        <f>HYPERLINK("http://service.sap.com/sap/support/notes/1693575","1693575")</f>
        <v>1693575</v>
      </c>
      <c r="E7035">
        <v>3</v>
      </c>
      <c r="F7035" t="s">
        <v>8441</v>
      </c>
    </row>
    <row r="7036" spans="1:6" x14ac:dyDescent="0.25">
      <c r="A7036" t="s">
        <v>7749</v>
      </c>
      <c r="B7036" t="s">
        <v>3033</v>
      </c>
      <c r="C7036" t="s">
        <v>337</v>
      </c>
      <c r="D7036" t="str">
        <f>HYPERLINK("http://service.sap.com/sap/support/notes/1694911","1694911")</f>
        <v>1694911</v>
      </c>
      <c r="E7036">
        <v>3</v>
      </c>
      <c r="F7036" t="s">
        <v>8442</v>
      </c>
    </row>
    <row r="7037" spans="1:6" x14ac:dyDescent="0.25">
      <c r="A7037" t="s">
        <v>7749</v>
      </c>
      <c r="B7037" t="s">
        <v>3033</v>
      </c>
      <c r="C7037" t="s">
        <v>337</v>
      </c>
      <c r="D7037" t="str">
        <f>HYPERLINK("http://service.sap.com/sap/support/notes/1724968","1724968")</f>
        <v>1724968</v>
      </c>
      <c r="E7037">
        <v>1</v>
      </c>
      <c r="F7037" t="s">
        <v>8443</v>
      </c>
    </row>
    <row r="7038" spans="1:6" x14ac:dyDescent="0.25">
      <c r="A7038" t="s">
        <v>7749</v>
      </c>
      <c r="B7038" t="s">
        <v>557</v>
      </c>
      <c r="C7038" t="s">
        <v>558</v>
      </c>
      <c r="D7038" t="str">
        <f>HYPERLINK("http://service.sap.com/sap/support/notes/1654275","1654275")</f>
        <v>1654275</v>
      </c>
      <c r="E7038">
        <v>3</v>
      </c>
      <c r="F7038" t="s">
        <v>8444</v>
      </c>
    </row>
    <row r="7039" spans="1:6" x14ac:dyDescent="0.25">
      <c r="A7039" t="s">
        <v>7749</v>
      </c>
      <c r="B7039" t="s">
        <v>557</v>
      </c>
      <c r="C7039" t="s">
        <v>558</v>
      </c>
      <c r="D7039" t="str">
        <f>HYPERLINK("http://service.sap.com/sap/support/notes/1704495","1704495")</f>
        <v>1704495</v>
      </c>
      <c r="E7039">
        <v>1</v>
      </c>
      <c r="F7039" t="s">
        <v>8445</v>
      </c>
    </row>
    <row r="7040" spans="1:6" x14ac:dyDescent="0.25">
      <c r="A7040" t="s">
        <v>7749</v>
      </c>
      <c r="B7040" t="s">
        <v>557</v>
      </c>
      <c r="C7040" t="s">
        <v>558</v>
      </c>
      <c r="D7040" t="str">
        <f>HYPERLINK("http://service.sap.com/sap/support/notes/1717299","1717299")</f>
        <v>1717299</v>
      </c>
      <c r="E7040">
        <v>1</v>
      </c>
      <c r="F7040" t="s">
        <v>8446</v>
      </c>
    </row>
    <row r="7041" spans="1:6" x14ac:dyDescent="0.25">
      <c r="A7041" t="s">
        <v>7749</v>
      </c>
      <c r="B7041" t="s">
        <v>557</v>
      </c>
      <c r="C7041" t="s">
        <v>558</v>
      </c>
      <c r="D7041" t="str">
        <f>HYPERLINK("http://service.sap.com/sap/support/notes/1723801","1723801")</f>
        <v>1723801</v>
      </c>
      <c r="E7041">
        <v>2</v>
      </c>
      <c r="F7041" t="s">
        <v>8447</v>
      </c>
    </row>
    <row r="7042" spans="1:6" x14ac:dyDescent="0.25">
      <c r="A7042" t="s">
        <v>7749</v>
      </c>
      <c r="B7042" t="s">
        <v>566</v>
      </c>
      <c r="C7042" t="s">
        <v>567</v>
      </c>
      <c r="D7042" t="str">
        <f>HYPERLINK("http://service.sap.com/sap/support/notes/1700683","1700683")</f>
        <v>1700683</v>
      </c>
      <c r="E7042">
        <v>2</v>
      </c>
      <c r="F7042" t="s">
        <v>8448</v>
      </c>
    </row>
    <row r="7043" spans="1:6" x14ac:dyDescent="0.25">
      <c r="A7043" t="s">
        <v>7749</v>
      </c>
      <c r="B7043" t="s">
        <v>566</v>
      </c>
      <c r="C7043" t="s">
        <v>567</v>
      </c>
      <c r="D7043" t="str">
        <f>HYPERLINK("http://service.sap.com/sap/support/notes/1706604","1706604")</f>
        <v>1706604</v>
      </c>
      <c r="E7043">
        <v>3</v>
      </c>
      <c r="F7043" t="s">
        <v>8449</v>
      </c>
    </row>
    <row r="7044" spans="1:6" x14ac:dyDescent="0.25">
      <c r="A7044" t="s">
        <v>7749</v>
      </c>
      <c r="B7044" t="s">
        <v>8450</v>
      </c>
      <c r="C7044" t="s">
        <v>8451</v>
      </c>
      <c r="D7044" t="str">
        <f>HYPERLINK("http://service.sap.com/sap/support/notes/1622432","1622432")</f>
        <v>1622432</v>
      </c>
      <c r="E7044">
        <v>4</v>
      </c>
      <c r="F7044" t="s">
        <v>8452</v>
      </c>
    </row>
    <row r="7045" spans="1:6" x14ac:dyDescent="0.25">
      <c r="A7045" t="s">
        <v>7749</v>
      </c>
      <c r="B7045" t="s">
        <v>6660</v>
      </c>
      <c r="C7045" t="s">
        <v>6661</v>
      </c>
      <c r="D7045" t="str">
        <f>HYPERLINK("http://service.sap.com/sap/support/notes/1697174","1697174")</f>
        <v>1697174</v>
      </c>
      <c r="E7045">
        <v>1</v>
      </c>
      <c r="F7045" t="s">
        <v>8453</v>
      </c>
    </row>
    <row r="7046" spans="1:6" x14ac:dyDescent="0.25">
      <c r="A7046" t="s">
        <v>7749</v>
      </c>
      <c r="B7046" t="s">
        <v>6660</v>
      </c>
      <c r="C7046" t="s">
        <v>6661</v>
      </c>
      <c r="D7046" t="str">
        <f>HYPERLINK("http://service.sap.com/sap/support/notes/1702967","1702967")</f>
        <v>1702967</v>
      </c>
      <c r="E7046">
        <v>2</v>
      </c>
      <c r="F7046" t="s">
        <v>8454</v>
      </c>
    </row>
    <row r="7047" spans="1:6" x14ac:dyDescent="0.25">
      <c r="A7047" t="s">
        <v>7749</v>
      </c>
      <c r="B7047" t="s">
        <v>569</v>
      </c>
      <c r="C7047" t="s">
        <v>3065</v>
      </c>
      <c r="D7047" t="str">
        <f>HYPERLINK("http://service.sap.com/sap/support/notes/1696226","1696226")</f>
        <v>1696226</v>
      </c>
      <c r="E7047">
        <v>2</v>
      </c>
      <c r="F7047" t="s">
        <v>8455</v>
      </c>
    </row>
    <row r="7048" spans="1:6" x14ac:dyDescent="0.25">
      <c r="A7048" t="s">
        <v>7749</v>
      </c>
      <c r="B7048" t="s">
        <v>569</v>
      </c>
      <c r="C7048" t="s">
        <v>3065</v>
      </c>
      <c r="D7048" t="str">
        <f>HYPERLINK("http://service.sap.com/sap/support/notes/1726605","1726605")</f>
        <v>1726605</v>
      </c>
      <c r="E7048">
        <v>1</v>
      </c>
      <c r="F7048" t="s">
        <v>8456</v>
      </c>
    </row>
    <row r="7049" spans="1:6" x14ac:dyDescent="0.25">
      <c r="A7049" t="s">
        <v>7749</v>
      </c>
      <c r="B7049" t="s">
        <v>8457</v>
      </c>
      <c r="C7049" t="s">
        <v>337</v>
      </c>
    </row>
    <row r="7050" spans="1:6" x14ac:dyDescent="0.25">
      <c r="A7050" t="s">
        <v>7749</v>
      </c>
      <c r="B7050" t="s">
        <v>8458</v>
      </c>
      <c r="C7050" t="s">
        <v>8459</v>
      </c>
      <c r="D7050" t="str">
        <f>HYPERLINK("http://service.sap.com/sap/support/notes/1673376","1673376")</f>
        <v>1673376</v>
      </c>
      <c r="E7050">
        <v>3</v>
      </c>
      <c r="F7050" t="s">
        <v>8460</v>
      </c>
    </row>
    <row r="7051" spans="1:6" x14ac:dyDescent="0.25">
      <c r="A7051" t="s">
        <v>7749</v>
      </c>
      <c r="B7051" t="s">
        <v>8458</v>
      </c>
      <c r="C7051" t="s">
        <v>8459</v>
      </c>
      <c r="D7051" t="str">
        <f>HYPERLINK("http://service.sap.com/sap/support/notes/1718232","1718232")</f>
        <v>1718232</v>
      </c>
      <c r="E7051">
        <v>1</v>
      </c>
      <c r="F7051" t="s">
        <v>8461</v>
      </c>
    </row>
    <row r="7052" spans="1:6" x14ac:dyDescent="0.25">
      <c r="A7052" t="s">
        <v>7749</v>
      </c>
      <c r="B7052" t="s">
        <v>3071</v>
      </c>
      <c r="C7052" t="s">
        <v>3072</v>
      </c>
      <c r="D7052" t="str">
        <f>HYPERLINK("http://service.sap.com/sap/support/notes/1603879","1603879")</f>
        <v>1603879</v>
      </c>
      <c r="E7052">
        <v>6</v>
      </c>
      <c r="F7052" t="s">
        <v>8462</v>
      </c>
    </row>
    <row r="7053" spans="1:6" x14ac:dyDescent="0.25">
      <c r="A7053" t="s">
        <v>7749</v>
      </c>
      <c r="B7053" t="s">
        <v>3074</v>
      </c>
      <c r="C7053" t="s">
        <v>3075</v>
      </c>
      <c r="D7053" t="str">
        <f>HYPERLINK("http://service.sap.com/sap/support/notes/1710054","1710054")</f>
        <v>1710054</v>
      </c>
      <c r="E7053">
        <v>2</v>
      </c>
      <c r="F7053" t="s">
        <v>8463</v>
      </c>
    </row>
    <row r="7054" spans="1:6" x14ac:dyDescent="0.25">
      <c r="A7054" t="s">
        <v>7749</v>
      </c>
      <c r="B7054" t="s">
        <v>3082</v>
      </c>
      <c r="C7054" t="s">
        <v>3083</v>
      </c>
      <c r="D7054" t="str">
        <f>HYPERLINK("http://service.sap.com/sap/support/notes/1701542","1701542")</f>
        <v>1701542</v>
      </c>
      <c r="E7054">
        <v>1</v>
      </c>
      <c r="F7054" t="s">
        <v>8464</v>
      </c>
    </row>
    <row r="7055" spans="1:6" x14ac:dyDescent="0.25">
      <c r="A7055" t="s">
        <v>7749</v>
      </c>
      <c r="B7055" t="s">
        <v>583</v>
      </c>
      <c r="C7055" t="s">
        <v>584</v>
      </c>
    </row>
    <row r="7056" spans="1:6" x14ac:dyDescent="0.25">
      <c r="A7056" t="s">
        <v>7749</v>
      </c>
      <c r="B7056" t="s">
        <v>3085</v>
      </c>
      <c r="C7056" t="s">
        <v>100</v>
      </c>
      <c r="D7056" t="str">
        <f>HYPERLINK("http://service.sap.com/sap/support/notes/1719188","1719188")</f>
        <v>1719188</v>
      </c>
      <c r="E7056">
        <v>2</v>
      </c>
      <c r="F7056" t="s">
        <v>8465</v>
      </c>
    </row>
    <row r="7057" spans="1:6" x14ac:dyDescent="0.25">
      <c r="A7057" t="s">
        <v>7749</v>
      </c>
      <c r="B7057" t="s">
        <v>3085</v>
      </c>
      <c r="C7057" t="s">
        <v>100</v>
      </c>
      <c r="D7057" t="str">
        <f>HYPERLINK("http://service.sap.com/sap/support/notes/1720596","1720596")</f>
        <v>1720596</v>
      </c>
      <c r="E7057">
        <v>1</v>
      </c>
      <c r="F7057" t="s">
        <v>8466</v>
      </c>
    </row>
    <row r="7058" spans="1:6" x14ac:dyDescent="0.25">
      <c r="A7058" t="s">
        <v>7749</v>
      </c>
      <c r="B7058" t="s">
        <v>585</v>
      </c>
      <c r="C7058" t="s">
        <v>6689</v>
      </c>
      <c r="D7058" t="str">
        <f>HYPERLINK("http://service.sap.com/sap/support/notes/1703630","1703630")</f>
        <v>1703630</v>
      </c>
      <c r="E7058">
        <v>1</v>
      </c>
      <c r="F7058" t="s">
        <v>8467</v>
      </c>
    </row>
    <row r="7059" spans="1:6" x14ac:dyDescent="0.25">
      <c r="A7059" t="s">
        <v>7749</v>
      </c>
      <c r="B7059" t="s">
        <v>591</v>
      </c>
      <c r="C7059" t="s">
        <v>592</v>
      </c>
    </row>
    <row r="7060" spans="1:6" x14ac:dyDescent="0.25">
      <c r="A7060" t="s">
        <v>7749</v>
      </c>
      <c r="B7060" t="s">
        <v>593</v>
      </c>
      <c r="C7060" t="s">
        <v>594</v>
      </c>
    </row>
    <row r="7061" spans="1:6" x14ac:dyDescent="0.25">
      <c r="A7061" t="s">
        <v>7749</v>
      </c>
      <c r="B7061" t="s">
        <v>3093</v>
      </c>
      <c r="C7061" t="s">
        <v>3094</v>
      </c>
      <c r="D7061" t="str">
        <f>HYPERLINK("http://service.sap.com/sap/support/notes/1691780","1691780")</f>
        <v>1691780</v>
      </c>
      <c r="E7061">
        <v>1</v>
      </c>
      <c r="F7061" t="s">
        <v>8468</v>
      </c>
    </row>
    <row r="7062" spans="1:6" x14ac:dyDescent="0.25">
      <c r="A7062" t="s">
        <v>7749</v>
      </c>
      <c r="B7062" t="s">
        <v>3104</v>
      </c>
      <c r="C7062" t="s">
        <v>3105</v>
      </c>
      <c r="D7062" t="str">
        <f>HYPERLINK("http://service.sap.com/sap/support/notes/1690559","1690559")</f>
        <v>1690559</v>
      </c>
      <c r="E7062">
        <v>1</v>
      </c>
      <c r="F7062" t="s">
        <v>8469</v>
      </c>
    </row>
    <row r="7063" spans="1:6" x14ac:dyDescent="0.25">
      <c r="A7063" t="s">
        <v>7749</v>
      </c>
      <c r="B7063" t="s">
        <v>3104</v>
      </c>
      <c r="C7063" t="s">
        <v>3105</v>
      </c>
      <c r="D7063" t="str">
        <f>HYPERLINK("http://service.sap.com/sap/support/notes/1698493","1698493")</f>
        <v>1698493</v>
      </c>
      <c r="E7063">
        <v>1</v>
      </c>
      <c r="F7063" t="s">
        <v>8470</v>
      </c>
    </row>
    <row r="7064" spans="1:6" x14ac:dyDescent="0.25">
      <c r="A7064" t="s">
        <v>7749</v>
      </c>
      <c r="B7064" t="s">
        <v>597</v>
      </c>
      <c r="C7064" t="s">
        <v>598</v>
      </c>
    </row>
    <row r="7065" spans="1:6" x14ac:dyDescent="0.25">
      <c r="A7065" t="s">
        <v>7749</v>
      </c>
      <c r="B7065" t="s">
        <v>599</v>
      </c>
      <c r="C7065" t="s">
        <v>600</v>
      </c>
    </row>
    <row r="7066" spans="1:6" x14ac:dyDescent="0.25">
      <c r="A7066" t="s">
        <v>7749</v>
      </c>
      <c r="B7066" t="s">
        <v>8471</v>
      </c>
      <c r="C7066" t="s">
        <v>939</v>
      </c>
      <c r="D7066" t="str">
        <f>HYPERLINK("http://service.sap.com/sap/support/notes/1719178","1719178")</f>
        <v>1719178</v>
      </c>
      <c r="E7066">
        <v>1</v>
      </c>
      <c r="F7066" t="s">
        <v>8472</v>
      </c>
    </row>
    <row r="7067" spans="1:6" x14ac:dyDescent="0.25">
      <c r="A7067" t="s">
        <v>7749</v>
      </c>
      <c r="B7067" t="s">
        <v>601</v>
      </c>
      <c r="C7067" t="s">
        <v>602</v>
      </c>
      <c r="D7067" t="str">
        <f>HYPERLINK("http://service.sap.com/sap/support/notes/1691684","1691684")</f>
        <v>1691684</v>
      </c>
      <c r="E7067">
        <v>4</v>
      </c>
      <c r="F7067" t="s">
        <v>8473</v>
      </c>
    </row>
    <row r="7068" spans="1:6" x14ac:dyDescent="0.25">
      <c r="A7068" t="s">
        <v>7749</v>
      </c>
      <c r="B7068" t="s">
        <v>601</v>
      </c>
      <c r="C7068" t="s">
        <v>602</v>
      </c>
      <c r="D7068" t="str">
        <f>HYPERLINK("http://service.sap.com/sap/support/notes/1695022","1695022")</f>
        <v>1695022</v>
      </c>
      <c r="E7068">
        <v>1</v>
      </c>
      <c r="F7068" t="s">
        <v>8474</v>
      </c>
    </row>
    <row r="7069" spans="1:6" x14ac:dyDescent="0.25">
      <c r="A7069" t="s">
        <v>7749</v>
      </c>
      <c r="B7069" t="s">
        <v>601</v>
      </c>
      <c r="C7069" t="s">
        <v>602</v>
      </c>
      <c r="D7069" t="str">
        <f>HYPERLINK("http://service.sap.com/sap/support/notes/1702354","1702354")</f>
        <v>1702354</v>
      </c>
      <c r="E7069">
        <v>2</v>
      </c>
      <c r="F7069" t="s">
        <v>8475</v>
      </c>
    </row>
    <row r="7070" spans="1:6" x14ac:dyDescent="0.25">
      <c r="A7070" t="s">
        <v>7749</v>
      </c>
      <c r="B7070" t="s">
        <v>601</v>
      </c>
      <c r="C7070" t="s">
        <v>602</v>
      </c>
      <c r="D7070" t="str">
        <f>HYPERLINK("http://service.sap.com/sap/support/notes/1704527","1704527")</f>
        <v>1704527</v>
      </c>
      <c r="E7070">
        <v>2</v>
      </c>
      <c r="F7070" t="s">
        <v>8476</v>
      </c>
    </row>
    <row r="7071" spans="1:6" x14ac:dyDescent="0.25">
      <c r="A7071" t="s">
        <v>7749</v>
      </c>
      <c r="B7071" t="s">
        <v>601</v>
      </c>
      <c r="C7071" t="s">
        <v>602</v>
      </c>
      <c r="D7071" t="str">
        <f>HYPERLINK("http://service.sap.com/sap/support/notes/1707482","1707482")</f>
        <v>1707482</v>
      </c>
      <c r="E7071">
        <v>3</v>
      </c>
      <c r="F7071" t="s">
        <v>8477</v>
      </c>
    </row>
    <row r="7072" spans="1:6" x14ac:dyDescent="0.25">
      <c r="A7072" t="s">
        <v>7749</v>
      </c>
      <c r="B7072" t="s">
        <v>601</v>
      </c>
      <c r="C7072" t="s">
        <v>602</v>
      </c>
      <c r="D7072" t="str">
        <f>HYPERLINK("http://service.sap.com/sap/support/notes/1712958","1712958")</f>
        <v>1712958</v>
      </c>
      <c r="E7072">
        <v>1</v>
      </c>
      <c r="F7072" t="s">
        <v>8478</v>
      </c>
    </row>
    <row r="7073" spans="1:6" x14ac:dyDescent="0.25">
      <c r="A7073" t="s">
        <v>7749</v>
      </c>
      <c r="B7073" t="s">
        <v>601</v>
      </c>
      <c r="C7073" t="s">
        <v>602</v>
      </c>
      <c r="D7073" t="str">
        <f>HYPERLINK("http://service.sap.com/sap/support/notes/1714418","1714418")</f>
        <v>1714418</v>
      </c>
      <c r="E7073">
        <v>1</v>
      </c>
      <c r="F7073" t="s">
        <v>8479</v>
      </c>
    </row>
    <row r="7074" spans="1:6" x14ac:dyDescent="0.25">
      <c r="A7074" t="s">
        <v>7749</v>
      </c>
      <c r="B7074" t="s">
        <v>601</v>
      </c>
      <c r="C7074" t="s">
        <v>602</v>
      </c>
      <c r="D7074" t="str">
        <f>HYPERLINK("http://service.sap.com/sap/support/notes/1715689","1715689")</f>
        <v>1715689</v>
      </c>
      <c r="E7074">
        <v>1</v>
      </c>
      <c r="F7074" t="s">
        <v>8480</v>
      </c>
    </row>
    <row r="7075" spans="1:6" x14ac:dyDescent="0.25">
      <c r="A7075" t="s">
        <v>7749</v>
      </c>
      <c r="B7075" t="s">
        <v>3119</v>
      </c>
      <c r="C7075" t="s">
        <v>3120</v>
      </c>
    </row>
    <row r="7076" spans="1:6" x14ac:dyDescent="0.25">
      <c r="A7076" t="s">
        <v>7749</v>
      </c>
      <c r="B7076" t="s">
        <v>3121</v>
      </c>
      <c r="C7076" t="s">
        <v>3122</v>
      </c>
      <c r="D7076" t="str">
        <f>HYPERLINK("http://service.sap.com/sap/support/notes/1688801","1688801")</f>
        <v>1688801</v>
      </c>
      <c r="E7076">
        <v>2</v>
      </c>
      <c r="F7076" t="s">
        <v>8481</v>
      </c>
    </row>
    <row r="7077" spans="1:6" x14ac:dyDescent="0.25">
      <c r="A7077" t="s">
        <v>7749</v>
      </c>
      <c r="B7077" t="s">
        <v>3121</v>
      </c>
      <c r="C7077" t="s">
        <v>3122</v>
      </c>
      <c r="D7077" t="str">
        <f>HYPERLINK("http://service.sap.com/sap/support/notes/1703151","1703151")</f>
        <v>1703151</v>
      </c>
      <c r="E7077">
        <v>1</v>
      </c>
      <c r="F7077" t="s">
        <v>8482</v>
      </c>
    </row>
    <row r="7078" spans="1:6" x14ac:dyDescent="0.25">
      <c r="A7078" t="s">
        <v>7749</v>
      </c>
      <c r="B7078" t="s">
        <v>3121</v>
      </c>
      <c r="C7078" t="s">
        <v>3122</v>
      </c>
      <c r="D7078" t="str">
        <f>HYPERLINK("http://service.sap.com/sap/support/notes/1719331","1719331")</f>
        <v>1719331</v>
      </c>
      <c r="E7078">
        <v>1</v>
      </c>
      <c r="F7078" t="s">
        <v>8483</v>
      </c>
    </row>
    <row r="7079" spans="1:6" x14ac:dyDescent="0.25">
      <c r="A7079" t="s">
        <v>7749</v>
      </c>
      <c r="B7079" t="s">
        <v>3123</v>
      </c>
      <c r="C7079" t="s">
        <v>3124</v>
      </c>
      <c r="D7079" t="str">
        <f>HYPERLINK("http://service.sap.com/sap/support/notes/1706113","1706113")</f>
        <v>1706113</v>
      </c>
      <c r="E7079">
        <v>1</v>
      </c>
      <c r="F7079" t="s">
        <v>8484</v>
      </c>
    </row>
    <row r="7080" spans="1:6" x14ac:dyDescent="0.25">
      <c r="A7080" t="s">
        <v>7749</v>
      </c>
      <c r="B7080" t="s">
        <v>3123</v>
      </c>
      <c r="C7080" t="s">
        <v>3124</v>
      </c>
      <c r="D7080" t="str">
        <f>HYPERLINK("http://service.sap.com/sap/support/notes/1726853","1726853")</f>
        <v>1726853</v>
      </c>
      <c r="E7080">
        <v>1</v>
      </c>
      <c r="F7080" t="s">
        <v>8485</v>
      </c>
    </row>
    <row r="7081" spans="1:6" x14ac:dyDescent="0.25">
      <c r="A7081" t="s">
        <v>7749</v>
      </c>
      <c r="B7081" t="s">
        <v>604</v>
      </c>
      <c r="C7081" t="s">
        <v>3130</v>
      </c>
      <c r="D7081" t="str">
        <f>HYPERLINK("http://service.sap.com/sap/support/notes/1712837","1712837")</f>
        <v>1712837</v>
      </c>
      <c r="E7081">
        <v>2</v>
      </c>
      <c r="F7081" t="s">
        <v>8486</v>
      </c>
    </row>
    <row r="7082" spans="1:6" x14ac:dyDescent="0.25">
      <c r="A7082" t="s">
        <v>7749</v>
      </c>
      <c r="B7082" t="s">
        <v>3137</v>
      </c>
      <c r="C7082" t="s">
        <v>3138</v>
      </c>
      <c r="D7082" t="str">
        <f>HYPERLINK("http://service.sap.com/sap/support/notes/1704344","1704344")</f>
        <v>1704344</v>
      </c>
      <c r="E7082">
        <v>3</v>
      </c>
      <c r="F7082" t="s">
        <v>8487</v>
      </c>
    </row>
    <row r="7083" spans="1:6" x14ac:dyDescent="0.25">
      <c r="A7083" t="s">
        <v>7749</v>
      </c>
      <c r="B7083" t="s">
        <v>606</v>
      </c>
      <c r="C7083" t="s">
        <v>607</v>
      </c>
      <c r="D7083" t="str">
        <f>HYPERLINK("http://service.sap.com/sap/support/notes/1717109","1717109")</f>
        <v>1717109</v>
      </c>
      <c r="E7083">
        <v>1</v>
      </c>
      <c r="F7083" t="s">
        <v>8488</v>
      </c>
    </row>
    <row r="7084" spans="1:6" x14ac:dyDescent="0.25">
      <c r="A7084" t="s">
        <v>7749</v>
      </c>
      <c r="B7084" t="s">
        <v>609</v>
      </c>
      <c r="C7084" t="s">
        <v>610</v>
      </c>
      <c r="D7084" t="str">
        <f>HYPERLINK("http://service.sap.com/sap/support/notes/1698477","1698477")</f>
        <v>1698477</v>
      </c>
      <c r="E7084">
        <v>2</v>
      </c>
      <c r="F7084" t="s">
        <v>8489</v>
      </c>
    </row>
    <row r="7085" spans="1:6" x14ac:dyDescent="0.25">
      <c r="A7085" t="s">
        <v>7749</v>
      </c>
      <c r="B7085" t="s">
        <v>609</v>
      </c>
      <c r="C7085" t="s">
        <v>610</v>
      </c>
      <c r="D7085" t="str">
        <f>HYPERLINK("http://service.sap.com/sap/support/notes/1721746","1721746")</f>
        <v>1721746</v>
      </c>
      <c r="E7085">
        <v>2</v>
      </c>
      <c r="F7085" t="s">
        <v>8490</v>
      </c>
    </row>
    <row r="7086" spans="1:6" x14ac:dyDescent="0.25">
      <c r="A7086" t="s">
        <v>7749</v>
      </c>
      <c r="B7086" t="s">
        <v>613</v>
      </c>
      <c r="C7086" t="s">
        <v>614</v>
      </c>
      <c r="D7086" t="str">
        <f>HYPERLINK("http://service.sap.com/sap/support/notes/1694191","1694191")</f>
        <v>1694191</v>
      </c>
      <c r="E7086">
        <v>1</v>
      </c>
      <c r="F7086" t="s">
        <v>8491</v>
      </c>
    </row>
    <row r="7087" spans="1:6" x14ac:dyDescent="0.25">
      <c r="A7087" t="s">
        <v>7749</v>
      </c>
      <c r="B7087" t="s">
        <v>3152</v>
      </c>
      <c r="C7087" t="s">
        <v>3153</v>
      </c>
      <c r="D7087" t="str">
        <f>HYPERLINK("http://service.sap.com/sap/support/notes/1724176","1724176")</f>
        <v>1724176</v>
      </c>
      <c r="E7087">
        <v>2</v>
      </c>
      <c r="F7087" t="s">
        <v>751</v>
      </c>
    </row>
    <row r="7088" spans="1:6" x14ac:dyDescent="0.25">
      <c r="A7088" t="s">
        <v>7749</v>
      </c>
      <c r="B7088" t="s">
        <v>8492</v>
      </c>
      <c r="C7088" t="s">
        <v>8493</v>
      </c>
      <c r="D7088" t="str">
        <f>HYPERLINK("http://service.sap.com/sap/support/notes/1723860","1723860")</f>
        <v>1723860</v>
      </c>
      <c r="E7088">
        <v>2</v>
      </c>
      <c r="F7088" t="s">
        <v>8494</v>
      </c>
    </row>
    <row r="7089" spans="1:6" x14ac:dyDescent="0.25">
      <c r="A7089" t="s">
        <v>7749</v>
      </c>
      <c r="B7089" t="s">
        <v>3154</v>
      </c>
      <c r="C7089" t="s">
        <v>3155</v>
      </c>
    </row>
    <row r="7090" spans="1:6" x14ac:dyDescent="0.25">
      <c r="A7090" t="s">
        <v>7749</v>
      </c>
      <c r="B7090" t="s">
        <v>8495</v>
      </c>
      <c r="C7090" t="s">
        <v>8496</v>
      </c>
      <c r="D7090" t="str">
        <f>HYPERLINK("http://service.sap.com/sap/support/notes/1717005","1717005")</f>
        <v>1717005</v>
      </c>
      <c r="E7090">
        <v>1</v>
      </c>
      <c r="F7090" t="s">
        <v>8497</v>
      </c>
    </row>
    <row r="7091" spans="1:6" x14ac:dyDescent="0.25">
      <c r="A7091" t="s">
        <v>7749</v>
      </c>
      <c r="B7091" t="s">
        <v>3156</v>
      </c>
      <c r="C7091" t="s">
        <v>990</v>
      </c>
    </row>
    <row r="7092" spans="1:6" x14ac:dyDescent="0.25">
      <c r="A7092" t="s">
        <v>7749</v>
      </c>
      <c r="B7092" t="s">
        <v>3157</v>
      </c>
      <c r="C7092" t="s">
        <v>3158</v>
      </c>
      <c r="D7092" t="str">
        <f>HYPERLINK("http://service.sap.com/sap/support/notes/1721220","1721220")</f>
        <v>1721220</v>
      </c>
      <c r="E7092">
        <v>1</v>
      </c>
      <c r="F7092" t="s">
        <v>8498</v>
      </c>
    </row>
    <row r="7093" spans="1:6" x14ac:dyDescent="0.25">
      <c r="A7093" t="s">
        <v>7749</v>
      </c>
      <c r="B7093" t="s">
        <v>616</v>
      </c>
      <c r="C7093" t="s">
        <v>3165</v>
      </c>
    </row>
    <row r="7094" spans="1:6" x14ac:dyDescent="0.25">
      <c r="A7094" t="s">
        <v>7749</v>
      </c>
      <c r="B7094" t="s">
        <v>619</v>
      </c>
      <c r="C7094" t="s">
        <v>141</v>
      </c>
      <c r="D7094" t="str">
        <f>HYPERLINK("http://service.sap.com/sap/support/notes/1722909","1722909")</f>
        <v>1722909</v>
      </c>
      <c r="E7094">
        <v>2</v>
      </c>
      <c r="F7094" t="s">
        <v>8499</v>
      </c>
    </row>
    <row r="7095" spans="1:6" x14ac:dyDescent="0.25">
      <c r="A7095" t="s">
        <v>7749</v>
      </c>
      <c r="B7095" t="s">
        <v>622</v>
      </c>
      <c r="C7095" t="s">
        <v>623</v>
      </c>
    </row>
    <row r="7096" spans="1:6" x14ac:dyDescent="0.25">
      <c r="A7096" t="s">
        <v>7749</v>
      </c>
      <c r="B7096" t="s">
        <v>624</v>
      </c>
      <c r="C7096" t="s">
        <v>625</v>
      </c>
      <c r="D7096" t="str">
        <f>HYPERLINK("http://service.sap.com/sap/support/notes/1469725","1469725")</f>
        <v>1469725</v>
      </c>
      <c r="E7096">
        <v>2</v>
      </c>
      <c r="F7096" t="s">
        <v>608</v>
      </c>
    </row>
    <row r="7097" spans="1:6" x14ac:dyDescent="0.25">
      <c r="A7097" t="s">
        <v>7749</v>
      </c>
      <c r="B7097" t="s">
        <v>8500</v>
      </c>
      <c r="C7097" t="s">
        <v>8501</v>
      </c>
      <c r="D7097" t="str">
        <f>HYPERLINK("http://service.sap.com/sap/support/notes/1719411","1719411")</f>
        <v>1719411</v>
      </c>
      <c r="E7097">
        <v>1</v>
      </c>
      <c r="F7097" t="s">
        <v>8502</v>
      </c>
    </row>
    <row r="7098" spans="1:6" x14ac:dyDescent="0.25">
      <c r="A7098" t="s">
        <v>7749</v>
      </c>
      <c r="B7098" t="s">
        <v>629</v>
      </c>
      <c r="C7098" t="s">
        <v>8503</v>
      </c>
      <c r="D7098" t="str">
        <f>HYPERLINK("http://service.sap.com/sap/support/notes/1719733","1719733")</f>
        <v>1719733</v>
      </c>
      <c r="E7098">
        <v>1</v>
      </c>
      <c r="F7098" t="s">
        <v>8504</v>
      </c>
    </row>
    <row r="7099" spans="1:6" x14ac:dyDescent="0.25">
      <c r="A7099" t="s">
        <v>7749</v>
      </c>
      <c r="B7099" t="s">
        <v>631</v>
      </c>
      <c r="C7099" t="s">
        <v>632</v>
      </c>
    </row>
    <row r="7100" spans="1:6" x14ac:dyDescent="0.25">
      <c r="A7100" t="s">
        <v>7749</v>
      </c>
      <c r="B7100" t="s">
        <v>633</v>
      </c>
      <c r="C7100" t="s">
        <v>634</v>
      </c>
      <c r="D7100" t="str">
        <f>HYPERLINK("http://service.sap.com/sap/support/notes/1696765","1696765")</f>
        <v>1696765</v>
      </c>
      <c r="E7100">
        <v>4</v>
      </c>
      <c r="F7100" t="s">
        <v>8505</v>
      </c>
    </row>
    <row r="7101" spans="1:6" x14ac:dyDescent="0.25">
      <c r="A7101" t="s">
        <v>7749</v>
      </c>
      <c r="B7101" t="s">
        <v>633</v>
      </c>
      <c r="C7101" t="s">
        <v>634</v>
      </c>
      <c r="D7101" t="str">
        <f>HYPERLINK("http://service.sap.com/sap/support/notes/1696937","1696937")</f>
        <v>1696937</v>
      </c>
      <c r="E7101">
        <v>2</v>
      </c>
      <c r="F7101" t="s">
        <v>8506</v>
      </c>
    </row>
    <row r="7102" spans="1:6" x14ac:dyDescent="0.25">
      <c r="A7102" t="s">
        <v>7749</v>
      </c>
      <c r="B7102" t="s">
        <v>633</v>
      </c>
      <c r="C7102" t="s">
        <v>634</v>
      </c>
      <c r="D7102" t="str">
        <f>HYPERLINK("http://service.sap.com/sap/support/notes/1703780","1703780")</f>
        <v>1703780</v>
      </c>
      <c r="E7102">
        <v>1</v>
      </c>
      <c r="F7102" t="s">
        <v>8507</v>
      </c>
    </row>
    <row r="7103" spans="1:6" x14ac:dyDescent="0.25">
      <c r="A7103" t="s">
        <v>7749</v>
      </c>
      <c r="B7103" t="s">
        <v>633</v>
      </c>
      <c r="C7103" t="s">
        <v>634</v>
      </c>
      <c r="D7103" t="str">
        <f>HYPERLINK("http://service.sap.com/sap/support/notes/1706018","1706018")</f>
        <v>1706018</v>
      </c>
      <c r="E7103">
        <v>3</v>
      </c>
      <c r="F7103" t="s">
        <v>8508</v>
      </c>
    </row>
    <row r="7104" spans="1:6" x14ac:dyDescent="0.25">
      <c r="A7104" t="s">
        <v>7749</v>
      </c>
      <c r="B7104" t="s">
        <v>633</v>
      </c>
      <c r="C7104" t="s">
        <v>634</v>
      </c>
      <c r="D7104" t="str">
        <f>HYPERLINK("http://service.sap.com/sap/support/notes/1718124","1718124")</f>
        <v>1718124</v>
      </c>
      <c r="E7104">
        <v>3</v>
      </c>
      <c r="F7104" t="s">
        <v>8509</v>
      </c>
    </row>
    <row r="7105" spans="1:6" x14ac:dyDescent="0.25">
      <c r="A7105" t="s">
        <v>7749</v>
      </c>
      <c r="B7105" t="s">
        <v>633</v>
      </c>
      <c r="C7105" t="s">
        <v>634</v>
      </c>
      <c r="D7105" t="str">
        <f>HYPERLINK("http://service.sap.com/sap/support/notes/1723305","1723305")</f>
        <v>1723305</v>
      </c>
      <c r="E7105">
        <v>3</v>
      </c>
      <c r="F7105" t="s">
        <v>8510</v>
      </c>
    </row>
    <row r="7106" spans="1:6" x14ac:dyDescent="0.25">
      <c r="A7106" t="s">
        <v>7749</v>
      </c>
      <c r="B7106" t="s">
        <v>633</v>
      </c>
      <c r="C7106" t="s">
        <v>634</v>
      </c>
      <c r="D7106" t="str">
        <f>HYPERLINK("http://service.sap.com/sap/support/notes/1724783","1724783")</f>
        <v>1724783</v>
      </c>
      <c r="E7106">
        <v>3</v>
      </c>
      <c r="F7106" t="s">
        <v>8511</v>
      </c>
    </row>
    <row r="7107" spans="1:6" x14ac:dyDescent="0.25">
      <c r="A7107" t="s">
        <v>7749</v>
      </c>
      <c r="B7107" t="s">
        <v>633</v>
      </c>
      <c r="C7107" t="s">
        <v>634</v>
      </c>
      <c r="D7107" t="str">
        <f>HYPERLINK("http://service.sap.com/sap/support/notes/1725559","1725559")</f>
        <v>1725559</v>
      </c>
      <c r="E7107">
        <v>3</v>
      </c>
      <c r="F7107" t="s">
        <v>8512</v>
      </c>
    </row>
    <row r="7108" spans="1:6" x14ac:dyDescent="0.25">
      <c r="A7108" t="s">
        <v>7749</v>
      </c>
      <c r="B7108" t="s">
        <v>3197</v>
      </c>
      <c r="C7108" t="s">
        <v>3198</v>
      </c>
      <c r="D7108" t="str">
        <f>HYPERLINK("http://service.sap.com/sap/support/notes/1699391","1699391")</f>
        <v>1699391</v>
      </c>
      <c r="E7108">
        <v>2</v>
      </c>
      <c r="F7108" t="s">
        <v>8513</v>
      </c>
    </row>
    <row r="7109" spans="1:6" x14ac:dyDescent="0.25">
      <c r="A7109" t="s">
        <v>7749</v>
      </c>
      <c r="B7109" t="s">
        <v>3197</v>
      </c>
      <c r="C7109" t="s">
        <v>3198</v>
      </c>
      <c r="D7109" t="str">
        <f>HYPERLINK("http://service.sap.com/sap/support/notes/1711281","1711281")</f>
        <v>1711281</v>
      </c>
      <c r="E7109">
        <v>1</v>
      </c>
      <c r="F7109" t="s">
        <v>8514</v>
      </c>
    </row>
    <row r="7110" spans="1:6" x14ac:dyDescent="0.25">
      <c r="A7110" t="s">
        <v>7749</v>
      </c>
      <c r="B7110" t="s">
        <v>636</v>
      </c>
      <c r="C7110" t="s">
        <v>637</v>
      </c>
      <c r="D7110" t="str">
        <f>HYPERLINK("http://service.sap.com/sap/support/notes/1726052","1726052")</f>
        <v>1726052</v>
      </c>
      <c r="E7110">
        <v>2</v>
      </c>
      <c r="F7110" t="s">
        <v>8515</v>
      </c>
    </row>
    <row r="7111" spans="1:6" x14ac:dyDescent="0.25">
      <c r="A7111" t="s">
        <v>7749</v>
      </c>
      <c r="B7111" t="s">
        <v>6732</v>
      </c>
      <c r="C7111" t="s">
        <v>6733</v>
      </c>
      <c r="D7111" t="str">
        <f>HYPERLINK("http://service.sap.com/sap/support/notes/1700669","1700669")</f>
        <v>1700669</v>
      </c>
      <c r="E7111">
        <v>1</v>
      </c>
      <c r="F7111" t="s">
        <v>8516</v>
      </c>
    </row>
    <row r="7112" spans="1:6" x14ac:dyDescent="0.25">
      <c r="A7112" t="s">
        <v>7749</v>
      </c>
      <c r="B7112" t="s">
        <v>3200</v>
      </c>
      <c r="C7112" t="s">
        <v>3201</v>
      </c>
    </row>
    <row r="7113" spans="1:6" x14ac:dyDescent="0.25">
      <c r="A7113" t="s">
        <v>7749</v>
      </c>
      <c r="B7113" t="s">
        <v>3202</v>
      </c>
      <c r="C7113" t="s">
        <v>3203</v>
      </c>
      <c r="D7113" t="str">
        <f>HYPERLINK("http://service.sap.com/sap/support/notes/1700012","1700012")</f>
        <v>1700012</v>
      </c>
      <c r="E7113">
        <v>1</v>
      </c>
      <c r="F7113" t="s">
        <v>8517</v>
      </c>
    </row>
    <row r="7114" spans="1:6" x14ac:dyDescent="0.25">
      <c r="A7114" t="s">
        <v>7749</v>
      </c>
      <c r="B7114" t="s">
        <v>639</v>
      </c>
      <c r="C7114" t="s">
        <v>640</v>
      </c>
      <c r="D7114" t="str">
        <f>HYPERLINK("http://service.sap.com/sap/support/notes/1709491","1709491")</f>
        <v>1709491</v>
      </c>
      <c r="E7114">
        <v>1</v>
      </c>
      <c r="F7114" t="s">
        <v>8518</v>
      </c>
    </row>
    <row r="7115" spans="1:6" x14ac:dyDescent="0.25">
      <c r="A7115" t="s">
        <v>7749</v>
      </c>
      <c r="B7115" t="s">
        <v>639</v>
      </c>
      <c r="C7115" t="s">
        <v>640</v>
      </c>
      <c r="D7115" t="str">
        <f>HYPERLINK("http://service.sap.com/sap/support/notes/1723816","1723816")</f>
        <v>1723816</v>
      </c>
      <c r="E7115">
        <v>2</v>
      </c>
      <c r="F7115" t="s">
        <v>8519</v>
      </c>
    </row>
    <row r="7116" spans="1:6" x14ac:dyDescent="0.25">
      <c r="A7116" t="s">
        <v>7749</v>
      </c>
      <c r="B7116" t="s">
        <v>642</v>
      </c>
      <c r="C7116" t="s">
        <v>643</v>
      </c>
    </row>
    <row r="7117" spans="1:6" x14ac:dyDescent="0.25">
      <c r="A7117" t="s">
        <v>7749</v>
      </c>
      <c r="B7117" t="s">
        <v>8520</v>
      </c>
      <c r="C7117" t="s">
        <v>8521</v>
      </c>
      <c r="D7117" t="str">
        <f>HYPERLINK("http://service.sap.com/sap/support/notes/1632001","1632001")</f>
        <v>1632001</v>
      </c>
      <c r="E7117">
        <v>4</v>
      </c>
      <c r="F7117" t="s">
        <v>8522</v>
      </c>
    </row>
    <row r="7118" spans="1:6" x14ac:dyDescent="0.25">
      <c r="A7118" t="s">
        <v>7749</v>
      </c>
      <c r="B7118" t="s">
        <v>8523</v>
      </c>
      <c r="C7118" t="s">
        <v>8524</v>
      </c>
      <c r="D7118" t="str">
        <f>HYPERLINK("http://service.sap.com/sap/support/notes/1711621","1711621")</f>
        <v>1711621</v>
      </c>
      <c r="E7118">
        <v>2</v>
      </c>
      <c r="F7118" t="s">
        <v>8525</v>
      </c>
    </row>
    <row r="7119" spans="1:6" x14ac:dyDescent="0.25">
      <c r="A7119" t="s">
        <v>7749</v>
      </c>
      <c r="B7119" t="s">
        <v>3221</v>
      </c>
      <c r="C7119" t="s">
        <v>3222</v>
      </c>
    </row>
    <row r="7120" spans="1:6" x14ac:dyDescent="0.25">
      <c r="A7120" t="s">
        <v>7749</v>
      </c>
      <c r="B7120" t="s">
        <v>3223</v>
      </c>
      <c r="C7120" t="s">
        <v>602</v>
      </c>
      <c r="D7120" t="str">
        <f>HYPERLINK("http://service.sap.com/sap/support/notes/1543619","1543619")</f>
        <v>1543619</v>
      </c>
      <c r="E7120">
        <v>2</v>
      </c>
      <c r="F7120" t="s">
        <v>8526</v>
      </c>
    </row>
    <row r="7121" spans="1:6" x14ac:dyDescent="0.25">
      <c r="A7121" t="s">
        <v>7749</v>
      </c>
      <c r="B7121" t="s">
        <v>3223</v>
      </c>
      <c r="C7121" t="s">
        <v>602</v>
      </c>
      <c r="D7121" t="str">
        <f>HYPERLINK("http://service.sap.com/sap/support/notes/1699750","1699750")</f>
        <v>1699750</v>
      </c>
      <c r="E7121">
        <v>2</v>
      </c>
      <c r="F7121" t="s">
        <v>8527</v>
      </c>
    </row>
    <row r="7122" spans="1:6" x14ac:dyDescent="0.25">
      <c r="A7122" t="s">
        <v>7749</v>
      </c>
      <c r="B7122" t="s">
        <v>3225</v>
      </c>
      <c r="C7122" t="s">
        <v>143</v>
      </c>
      <c r="D7122" t="str">
        <f>HYPERLINK("http://service.sap.com/sap/support/notes/1679213","1679213")</f>
        <v>1679213</v>
      </c>
      <c r="E7122">
        <v>3</v>
      </c>
      <c r="F7122" t="s">
        <v>8528</v>
      </c>
    </row>
    <row r="7123" spans="1:6" x14ac:dyDescent="0.25">
      <c r="A7123" t="s">
        <v>7749</v>
      </c>
      <c r="B7123" t="s">
        <v>8529</v>
      </c>
      <c r="C7123" t="s">
        <v>8530</v>
      </c>
      <c r="D7123" t="str">
        <f>HYPERLINK("http://service.sap.com/sap/support/notes/1327358","1327358")</f>
        <v>1327358</v>
      </c>
      <c r="E7123">
        <v>3</v>
      </c>
      <c r="F7123" t="s">
        <v>8531</v>
      </c>
    </row>
    <row r="7124" spans="1:6" x14ac:dyDescent="0.25">
      <c r="A7124" t="s">
        <v>7749</v>
      </c>
      <c r="B7124" t="s">
        <v>8529</v>
      </c>
      <c r="C7124" t="s">
        <v>8530</v>
      </c>
      <c r="D7124" t="str">
        <f>HYPERLINK("http://service.sap.com/sap/support/notes/1584449","1584449")</f>
        <v>1584449</v>
      </c>
      <c r="E7124">
        <v>2</v>
      </c>
      <c r="F7124" t="s">
        <v>8532</v>
      </c>
    </row>
    <row r="7125" spans="1:6" x14ac:dyDescent="0.25">
      <c r="A7125" t="s">
        <v>7749</v>
      </c>
      <c r="B7125" t="s">
        <v>650</v>
      </c>
      <c r="C7125" t="s">
        <v>651</v>
      </c>
    </row>
    <row r="7126" spans="1:6" x14ac:dyDescent="0.25">
      <c r="A7126" t="s">
        <v>7749</v>
      </c>
      <c r="B7126" t="s">
        <v>8533</v>
      </c>
      <c r="C7126" t="s">
        <v>8534</v>
      </c>
      <c r="D7126" t="str">
        <f>HYPERLINK("http://service.sap.com/sap/support/notes/1670204","1670204")</f>
        <v>1670204</v>
      </c>
      <c r="E7126">
        <v>1</v>
      </c>
      <c r="F7126" t="s">
        <v>8535</v>
      </c>
    </row>
    <row r="7127" spans="1:6" x14ac:dyDescent="0.25">
      <c r="A7127" t="s">
        <v>7749</v>
      </c>
      <c r="B7127" t="s">
        <v>8533</v>
      </c>
      <c r="C7127" t="s">
        <v>8534</v>
      </c>
      <c r="D7127" t="str">
        <f>HYPERLINK("http://service.sap.com/sap/support/notes/1676830","1676830")</f>
        <v>1676830</v>
      </c>
      <c r="E7127">
        <v>5</v>
      </c>
      <c r="F7127" t="s">
        <v>8536</v>
      </c>
    </row>
    <row r="7128" spans="1:6" x14ac:dyDescent="0.25">
      <c r="A7128" t="s">
        <v>7749</v>
      </c>
      <c r="B7128" t="s">
        <v>8537</v>
      </c>
      <c r="C7128" t="s">
        <v>8538</v>
      </c>
      <c r="D7128" t="str">
        <f>HYPERLINK("http://service.sap.com/sap/support/notes/1700013","1700013")</f>
        <v>1700013</v>
      </c>
      <c r="E7128">
        <v>1</v>
      </c>
      <c r="F7128" t="s">
        <v>8539</v>
      </c>
    </row>
    <row r="7129" spans="1:6" x14ac:dyDescent="0.25">
      <c r="A7129" t="s">
        <v>7749</v>
      </c>
      <c r="B7129" t="s">
        <v>8540</v>
      </c>
      <c r="C7129" t="s">
        <v>8541</v>
      </c>
      <c r="D7129" t="str">
        <f>HYPERLINK("http://service.sap.com/sap/support/notes/1339417","1339417")</f>
        <v>1339417</v>
      </c>
      <c r="E7129">
        <v>4</v>
      </c>
      <c r="F7129" t="s">
        <v>8542</v>
      </c>
    </row>
    <row r="7130" spans="1:6" x14ac:dyDescent="0.25">
      <c r="A7130" t="s">
        <v>7749</v>
      </c>
      <c r="B7130" t="s">
        <v>8540</v>
      </c>
      <c r="C7130" t="s">
        <v>8541</v>
      </c>
      <c r="D7130" t="str">
        <f>HYPERLINK("http://service.sap.com/sap/support/notes/1716681","1716681")</f>
        <v>1716681</v>
      </c>
      <c r="E7130">
        <v>1</v>
      </c>
      <c r="F7130" t="s">
        <v>8543</v>
      </c>
    </row>
    <row r="7131" spans="1:6" x14ac:dyDescent="0.25">
      <c r="A7131" t="s">
        <v>7749</v>
      </c>
      <c r="B7131" t="s">
        <v>3228</v>
      </c>
      <c r="C7131" t="s">
        <v>3229</v>
      </c>
      <c r="D7131" t="str">
        <f>HYPERLINK("http://service.sap.com/sap/support/notes/1699825","1699825")</f>
        <v>1699825</v>
      </c>
      <c r="E7131">
        <v>1</v>
      </c>
      <c r="F7131" t="s">
        <v>8544</v>
      </c>
    </row>
    <row r="7132" spans="1:6" x14ac:dyDescent="0.25">
      <c r="A7132" t="s">
        <v>7749</v>
      </c>
      <c r="B7132" t="s">
        <v>8545</v>
      </c>
      <c r="C7132" t="s">
        <v>8546</v>
      </c>
      <c r="D7132" t="str">
        <f>HYPERLINK("http://service.sap.com/sap/support/notes/913179","913179")</f>
        <v>913179</v>
      </c>
      <c r="E7132">
        <v>5</v>
      </c>
      <c r="F7132" t="s">
        <v>8547</v>
      </c>
    </row>
    <row r="7133" spans="1:6" x14ac:dyDescent="0.25">
      <c r="A7133" t="s">
        <v>7749</v>
      </c>
      <c r="B7133" t="s">
        <v>8548</v>
      </c>
      <c r="C7133" t="s">
        <v>8549</v>
      </c>
      <c r="D7133" t="str">
        <f>HYPERLINK("http://service.sap.com/sap/support/notes/1703635","1703635")</f>
        <v>1703635</v>
      </c>
      <c r="E7133">
        <v>2</v>
      </c>
      <c r="F7133" t="s">
        <v>8550</v>
      </c>
    </row>
    <row r="7134" spans="1:6" x14ac:dyDescent="0.25">
      <c r="A7134" t="s">
        <v>7749</v>
      </c>
      <c r="B7134" t="s">
        <v>652</v>
      </c>
      <c r="C7134" t="s">
        <v>653</v>
      </c>
      <c r="D7134" t="str">
        <f>HYPERLINK("http://service.sap.com/sap/support/notes/1704279","1704279")</f>
        <v>1704279</v>
      </c>
      <c r="E7134">
        <v>1</v>
      </c>
      <c r="F7134" t="s">
        <v>8551</v>
      </c>
    </row>
    <row r="7135" spans="1:6" x14ac:dyDescent="0.25">
      <c r="A7135" t="s">
        <v>7749</v>
      </c>
      <c r="B7135" t="s">
        <v>8552</v>
      </c>
      <c r="C7135" t="s">
        <v>8553</v>
      </c>
    </row>
    <row r="7136" spans="1:6" x14ac:dyDescent="0.25">
      <c r="A7136" t="s">
        <v>7749</v>
      </c>
      <c r="B7136" t="s">
        <v>8554</v>
      </c>
      <c r="C7136" t="s">
        <v>14</v>
      </c>
    </row>
    <row r="7137" spans="1:6" x14ac:dyDescent="0.25">
      <c r="A7137" t="s">
        <v>7749</v>
      </c>
      <c r="B7137" t="s">
        <v>8555</v>
      </c>
      <c r="C7137" t="s">
        <v>100</v>
      </c>
      <c r="D7137" t="str">
        <f>HYPERLINK("http://service.sap.com/sap/support/notes/1702128","1702128")</f>
        <v>1702128</v>
      </c>
      <c r="E7137">
        <v>1</v>
      </c>
      <c r="F7137" t="s">
        <v>8556</v>
      </c>
    </row>
    <row r="7138" spans="1:6" x14ac:dyDescent="0.25">
      <c r="A7138" t="s">
        <v>7749</v>
      </c>
      <c r="B7138" t="s">
        <v>655</v>
      </c>
      <c r="C7138" t="s">
        <v>656</v>
      </c>
    </row>
    <row r="7139" spans="1:6" x14ac:dyDescent="0.25">
      <c r="A7139" t="s">
        <v>7749</v>
      </c>
      <c r="B7139" t="s">
        <v>3233</v>
      </c>
      <c r="C7139" t="s">
        <v>3234</v>
      </c>
      <c r="D7139" t="str">
        <f>HYPERLINK("http://service.sap.com/sap/support/notes/1688877","1688877")</f>
        <v>1688877</v>
      </c>
      <c r="E7139">
        <v>2</v>
      </c>
      <c r="F7139" t="s">
        <v>8557</v>
      </c>
    </row>
    <row r="7140" spans="1:6" x14ac:dyDescent="0.25">
      <c r="A7140" t="s">
        <v>7749</v>
      </c>
      <c r="B7140" t="s">
        <v>3233</v>
      </c>
      <c r="C7140" t="s">
        <v>3234</v>
      </c>
      <c r="D7140" t="str">
        <f>HYPERLINK("http://service.sap.com/sap/support/notes/1689867","1689867")</f>
        <v>1689867</v>
      </c>
      <c r="E7140">
        <v>1</v>
      </c>
      <c r="F7140" t="s">
        <v>8558</v>
      </c>
    </row>
    <row r="7141" spans="1:6" x14ac:dyDescent="0.25">
      <c r="A7141" t="s">
        <v>7749</v>
      </c>
      <c r="B7141" t="s">
        <v>657</v>
      </c>
      <c r="C7141" t="s">
        <v>658</v>
      </c>
    </row>
    <row r="7142" spans="1:6" x14ac:dyDescent="0.25">
      <c r="A7142" t="s">
        <v>7749</v>
      </c>
      <c r="B7142" t="s">
        <v>659</v>
      </c>
      <c r="C7142" t="s">
        <v>660</v>
      </c>
      <c r="D7142" t="str">
        <f>HYPERLINK("http://service.sap.com/sap/support/notes/1705837","1705837")</f>
        <v>1705837</v>
      </c>
      <c r="E7142">
        <v>1</v>
      </c>
      <c r="F7142" t="s">
        <v>8559</v>
      </c>
    </row>
    <row r="7143" spans="1:6" x14ac:dyDescent="0.25">
      <c r="A7143" t="s">
        <v>7749</v>
      </c>
      <c r="B7143" t="s">
        <v>659</v>
      </c>
      <c r="C7143" t="s">
        <v>660</v>
      </c>
      <c r="D7143" t="str">
        <f>HYPERLINK("http://service.sap.com/sap/support/notes/1709279","1709279")</f>
        <v>1709279</v>
      </c>
      <c r="E7143">
        <v>1</v>
      </c>
      <c r="F7143" t="s">
        <v>8560</v>
      </c>
    </row>
    <row r="7144" spans="1:6" x14ac:dyDescent="0.25">
      <c r="A7144" t="s">
        <v>7749</v>
      </c>
      <c r="B7144" t="s">
        <v>659</v>
      </c>
      <c r="C7144" t="s">
        <v>660</v>
      </c>
      <c r="D7144" t="str">
        <f>HYPERLINK("http://service.sap.com/sap/support/notes/1711567","1711567")</f>
        <v>1711567</v>
      </c>
      <c r="E7144">
        <v>1</v>
      </c>
      <c r="F7144" t="s">
        <v>8561</v>
      </c>
    </row>
    <row r="7145" spans="1:6" x14ac:dyDescent="0.25">
      <c r="A7145" t="s">
        <v>7749</v>
      </c>
      <c r="B7145" t="s">
        <v>8562</v>
      </c>
      <c r="C7145" t="s">
        <v>8563</v>
      </c>
      <c r="D7145" t="str">
        <f>HYPERLINK("http://service.sap.com/sap/support/notes/1699469","1699469")</f>
        <v>1699469</v>
      </c>
      <c r="E7145">
        <v>1</v>
      </c>
      <c r="F7145" t="s">
        <v>8564</v>
      </c>
    </row>
    <row r="7146" spans="1:6" x14ac:dyDescent="0.25">
      <c r="A7146" t="s">
        <v>7749</v>
      </c>
      <c r="B7146" t="s">
        <v>663</v>
      </c>
      <c r="C7146" t="s">
        <v>664</v>
      </c>
      <c r="D7146" t="str">
        <f>HYPERLINK("http://service.sap.com/sap/support/notes/1677829","1677829")</f>
        <v>1677829</v>
      </c>
      <c r="E7146">
        <v>1</v>
      </c>
      <c r="F7146" t="s">
        <v>8565</v>
      </c>
    </row>
    <row r="7147" spans="1:6" x14ac:dyDescent="0.25">
      <c r="A7147" t="s">
        <v>7749</v>
      </c>
      <c r="B7147" t="s">
        <v>663</v>
      </c>
      <c r="C7147" t="s">
        <v>664</v>
      </c>
      <c r="D7147" t="str">
        <f>HYPERLINK("http://service.sap.com/sap/support/notes/1690103","1690103")</f>
        <v>1690103</v>
      </c>
      <c r="E7147">
        <v>2</v>
      </c>
      <c r="F7147" t="s">
        <v>8566</v>
      </c>
    </row>
    <row r="7148" spans="1:6" x14ac:dyDescent="0.25">
      <c r="A7148" t="s">
        <v>7749</v>
      </c>
      <c r="B7148" t="s">
        <v>663</v>
      </c>
      <c r="C7148" t="s">
        <v>664</v>
      </c>
      <c r="D7148" t="str">
        <f>HYPERLINK("http://service.sap.com/sap/support/notes/1697003","1697003")</f>
        <v>1697003</v>
      </c>
      <c r="E7148">
        <v>1</v>
      </c>
      <c r="F7148" t="s">
        <v>8567</v>
      </c>
    </row>
    <row r="7149" spans="1:6" x14ac:dyDescent="0.25">
      <c r="A7149" t="s">
        <v>7749</v>
      </c>
      <c r="B7149" t="s">
        <v>663</v>
      </c>
      <c r="C7149" t="s">
        <v>664</v>
      </c>
      <c r="D7149" t="str">
        <f>HYPERLINK("http://service.sap.com/sap/support/notes/1705860","1705860")</f>
        <v>1705860</v>
      </c>
      <c r="E7149">
        <v>2</v>
      </c>
      <c r="F7149" t="s">
        <v>8568</v>
      </c>
    </row>
    <row r="7150" spans="1:6" x14ac:dyDescent="0.25">
      <c r="A7150" t="s">
        <v>7749</v>
      </c>
      <c r="B7150" t="s">
        <v>663</v>
      </c>
      <c r="C7150" t="s">
        <v>664</v>
      </c>
      <c r="D7150" t="str">
        <f>HYPERLINK("http://service.sap.com/sap/support/notes/1706406","1706406")</f>
        <v>1706406</v>
      </c>
      <c r="E7150">
        <v>2</v>
      </c>
      <c r="F7150" t="s">
        <v>8569</v>
      </c>
    </row>
    <row r="7151" spans="1:6" x14ac:dyDescent="0.25">
      <c r="A7151" t="s">
        <v>7749</v>
      </c>
      <c r="B7151" t="s">
        <v>663</v>
      </c>
      <c r="C7151" t="s">
        <v>664</v>
      </c>
      <c r="D7151" t="str">
        <f>HYPERLINK("http://service.sap.com/sap/support/notes/1710116","1710116")</f>
        <v>1710116</v>
      </c>
      <c r="E7151">
        <v>3</v>
      </c>
      <c r="F7151" t="s">
        <v>8570</v>
      </c>
    </row>
    <row r="7152" spans="1:6" x14ac:dyDescent="0.25">
      <c r="A7152" t="s">
        <v>7749</v>
      </c>
      <c r="B7152" t="s">
        <v>663</v>
      </c>
      <c r="C7152" t="s">
        <v>664</v>
      </c>
      <c r="D7152" t="str">
        <f>HYPERLINK("http://service.sap.com/sap/support/notes/1710377","1710377")</f>
        <v>1710377</v>
      </c>
      <c r="E7152">
        <v>1</v>
      </c>
      <c r="F7152" t="s">
        <v>8571</v>
      </c>
    </row>
    <row r="7153" spans="1:6" x14ac:dyDescent="0.25">
      <c r="A7153" t="s">
        <v>7749</v>
      </c>
      <c r="B7153" t="s">
        <v>663</v>
      </c>
      <c r="C7153" t="s">
        <v>664</v>
      </c>
      <c r="D7153" t="str">
        <f>HYPERLINK("http://service.sap.com/sap/support/notes/1710972","1710972")</f>
        <v>1710972</v>
      </c>
      <c r="E7153">
        <v>3</v>
      </c>
      <c r="F7153" t="s">
        <v>8572</v>
      </c>
    </row>
    <row r="7154" spans="1:6" x14ac:dyDescent="0.25">
      <c r="A7154" t="s">
        <v>7749</v>
      </c>
      <c r="B7154" t="s">
        <v>669</v>
      </c>
      <c r="C7154" t="s">
        <v>670</v>
      </c>
      <c r="D7154" t="str">
        <f>HYPERLINK("http://service.sap.com/sap/support/notes/1677603","1677603")</f>
        <v>1677603</v>
      </c>
      <c r="E7154">
        <v>1</v>
      </c>
      <c r="F7154" t="s">
        <v>6764</v>
      </c>
    </row>
    <row r="7155" spans="1:6" x14ac:dyDescent="0.25">
      <c r="A7155" t="s">
        <v>7749</v>
      </c>
      <c r="B7155" t="s">
        <v>669</v>
      </c>
      <c r="C7155" t="s">
        <v>670</v>
      </c>
      <c r="D7155" t="str">
        <f>HYPERLINK("http://service.sap.com/sap/support/notes/1725364","1725364")</f>
        <v>1725364</v>
      </c>
      <c r="E7155">
        <v>1</v>
      </c>
      <c r="F7155" t="s">
        <v>8573</v>
      </c>
    </row>
    <row r="7156" spans="1:6" x14ac:dyDescent="0.25">
      <c r="A7156" t="s">
        <v>7749</v>
      </c>
      <c r="B7156" t="s">
        <v>671</v>
      </c>
      <c r="C7156" t="s">
        <v>672</v>
      </c>
      <c r="D7156" t="str">
        <f>HYPERLINK("http://service.sap.com/sap/support/notes/1673856","1673856")</f>
        <v>1673856</v>
      </c>
      <c r="E7156">
        <v>1</v>
      </c>
      <c r="F7156" t="s">
        <v>8574</v>
      </c>
    </row>
    <row r="7157" spans="1:6" x14ac:dyDescent="0.25">
      <c r="A7157" t="s">
        <v>7749</v>
      </c>
      <c r="B7157" t="s">
        <v>671</v>
      </c>
      <c r="C7157" t="s">
        <v>672</v>
      </c>
      <c r="D7157" t="str">
        <f>HYPERLINK("http://service.sap.com/sap/support/notes/1679369","1679369")</f>
        <v>1679369</v>
      </c>
      <c r="E7157">
        <v>3</v>
      </c>
      <c r="F7157" t="s">
        <v>8575</v>
      </c>
    </row>
    <row r="7158" spans="1:6" x14ac:dyDescent="0.25">
      <c r="A7158" t="s">
        <v>7749</v>
      </c>
      <c r="B7158" t="s">
        <v>671</v>
      </c>
      <c r="C7158" t="s">
        <v>672</v>
      </c>
      <c r="D7158" t="str">
        <f>HYPERLINK("http://service.sap.com/sap/support/notes/1696489","1696489")</f>
        <v>1696489</v>
      </c>
      <c r="E7158">
        <v>3</v>
      </c>
      <c r="F7158" t="s">
        <v>8576</v>
      </c>
    </row>
    <row r="7159" spans="1:6" x14ac:dyDescent="0.25">
      <c r="A7159" t="s">
        <v>7749</v>
      </c>
      <c r="B7159" t="s">
        <v>671</v>
      </c>
      <c r="C7159" t="s">
        <v>672</v>
      </c>
      <c r="D7159" t="str">
        <f>HYPERLINK("http://service.sap.com/sap/support/notes/1700177","1700177")</f>
        <v>1700177</v>
      </c>
      <c r="E7159">
        <v>1</v>
      </c>
      <c r="F7159" t="s">
        <v>8577</v>
      </c>
    </row>
    <row r="7160" spans="1:6" x14ac:dyDescent="0.25">
      <c r="A7160" t="s">
        <v>7749</v>
      </c>
      <c r="B7160" t="s">
        <v>671</v>
      </c>
      <c r="C7160" t="s">
        <v>672</v>
      </c>
      <c r="D7160" t="str">
        <f>HYPERLINK("http://service.sap.com/sap/support/notes/1702270","1702270")</f>
        <v>1702270</v>
      </c>
      <c r="E7160">
        <v>1</v>
      </c>
      <c r="F7160" t="s">
        <v>8578</v>
      </c>
    </row>
    <row r="7161" spans="1:6" x14ac:dyDescent="0.25">
      <c r="A7161" t="s">
        <v>7749</v>
      </c>
      <c r="B7161" t="s">
        <v>3282</v>
      </c>
      <c r="C7161" t="s">
        <v>3283</v>
      </c>
      <c r="D7161" t="str">
        <f>HYPERLINK("http://service.sap.com/sap/support/notes/1667755","1667755")</f>
        <v>1667755</v>
      </c>
      <c r="E7161">
        <v>1</v>
      </c>
      <c r="F7161" t="s">
        <v>8579</v>
      </c>
    </row>
    <row r="7162" spans="1:6" x14ac:dyDescent="0.25">
      <c r="A7162" t="s">
        <v>7749</v>
      </c>
      <c r="B7162" t="s">
        <v>3282</v>
      </c>
      <c r="C7162" t="s">
        <v>3283</v>
      </c>
      <c r="D7162" t="str">
        <f>HYPERLINK("http://service.sap.com/sap/support/notes/1700107","1700107")</f>
        <v>1700107</v>
      </c>
      <c r="E7162">
        <v>1</v>
      </c>
      <c r="F7162" t="s">
        <v>8580</v>
      </c>
    </row>
    <row r="7163" spans="1:6" x14ac:dyDescent="0.25">
      <c r="A7163" t="s">
        <v>7749</v>
      </c>
      <c r="B7163" t="s">
        <v>3282</v>
      </c>
      <c r="C7163" t="s">
        <v>3283</v>
      </c>
      <c r="D7163" t="str">
        <f>HYPERLINK("http://service.sap.com/sap/support/notes/1700921","1700921")</f>
        <v>1700921</v>
      </c>
      <c r="E7163">
        <v>1</v>
      </c>
      <c r="F7163" t="s">
        <v>8581</v>
      </c>
    </row>
    <row r="7164" spans="1:6" x14ac:dyDescent="0.25">
      <c r="A7164" t="s">
        <v>7749</v>
      </c>
      <c r="B7164" t="s">
        <v>3282</v>
      </c>
      <c r="C7164" t="s">
        <v>3283</v>
      </c>
      <c r="D7164" t="str">
        <f>HYPERLINK("http://service.sap.com/sap/support/notes/1715257","1715257")</f>
        <v>1715257</v>
      </c>
      <c r="E7164">
        <v>1</v>
      </c>
      <c r="F7164" t="s">
        <v>8582</v>
      </c>
    </row>
    <row r="7165" spans="1:6" x14ac:dyDescent="0.25">
      <c r="A7165" t="s">
        <v>7749</v>
      </c>
      <c r="B7165" t="s">
        <v>3288</v>
      </c>
      <c r="C7165" t="s">
        <v>3289</v>
      </c>
      <c r="D7165" t="str">
        <f>HYPERLINK("http://service.sap.com/sap/support/notes/1708059","1708059")</f>
        <v>1708059</v>
      </c>
      <c r="E7165">
        <v>1</v>
      </c>
      <c r="F7165" t="s">
        <v>8583</v>
      </c>
    </row>
    <row r="7166" spans="1:6" x14ac:dyDescent="0.25">
      <c r="A7166" t="s">
        <v>7749</v>
      </c>
      <c r="B7166" t="s">
        <v>3294</v>
      </c>
      <c r="C7166" t="s">
        <v>3295</v>
      </c>
      <c r="D7166" t="str">
        <f>HYPERLINK("http://service.sap.com/sap/support/notes/1700046","1700046")</f>
        <v>1700046</v>
      </c>
      <c r="E7166">
        <v>2</v>
      </c>
      <c r="F7166" t="s">
        <v>8584</v>
      </c>
    </row>
    <row r="7167" spans="1:6" x14ac:dyDescent="0.25">
      <c r="A7167" t="s">
        <v>7749</v>
      </c>
      <c r="B7167" t="s">
        <v>681</v>
      </c>
      <c r="C7167" t="s">
        <v>682</v>
      </c>
      <c r="D7167" t="str">
        <f>HYPERLINK("http://service.sap.com/sap/support/notes/1710893","1710893")</f>
        <v>1710893</v>
      </c>
      <c r="E7167">
        <v>1</v>
      </c>
      <c r="F7167" t="s">
        <v>8585</v>
      </c>
    </row>
    <row r="7168" spans="1:6" x14ac:dyDescent="0.25">
      <c r="A7168" t="s">
        <v>7749</v>
      </c>
      <c r="B7168" t="s">
        <v>684</v>
      </c>
      <c r="C7168" t="s">
        <v>685</v>
      </c>
      <c r="D7168" t="str">
        <f>HYPERLINK("http://service.sap.com/sap/support/notes/1687308","1687308")</f>
        <v>1687308</v>
      </c>
      <c r="E7168">
        <v>3</v>
      </c>
      <c r="F7168" t="s">
        <v>8586</v>
      </c>
    </row>
    <row r="7169" spans="1:6" x14ac:dyDescent="0.25">
      <c r="A7169" t="s">
        <v>7749</v>
      </c>
      <c r="B7169" t="s">
        <v>684</v>
      </c>
      <c r="C7169" t="s">
        <v>685</v>
      </c>
      <c r="D7169" t="str">
        <f>HYPERLINK("http://service.sap.com/sap/support/notes/1701227","1701227")</f>
        <v>1701227</v>
      </c>
      <c r="E7169">
        <v>2</v>
      </c>
      <c r="F7169" t="s">
        <v>8587</v>
      </c>
    </row>
    <row r="7170" spans="1:6" x14ac:dyDescent="0.25">
      <c r="A7170" t="s">
        <v>7749</v>
      </c>
      <c r="B7170" t="s">
        <v>684</v>
      </c>
      <c r="C7170" t="s">
        <v>685</v>
      </c>
      <c r="D7170" t="str">
        <f>HYPERLINK("http://service.sap.com/sap/support/notes/1710167","1710167")</f>
        <v>1710167</v>
      </c>
      <c r="E7170">
        <v>1</v>
      </c>
      <c r="F7170" t="s">
        <v>8588</v>
      </c>
    </row>
    <row r="7171" spans="1:6" x14ac:dyDescent="0.25">
      <c r="A7171" t="s">
        <v>7749</v>
      </c>
      <c r="B7171" t="s">
        <v>687</v>
      </c>
      <c r="C7171" t="s">
        <v>337</v>
      </c>
      <c r="D7171" t="str">
        <f>HYPERLINK("http://service.sap.com/sap/support/notes/1677594","1677594")</f>
        <v>1677594</v>
      </c>
      <c r="E7171">
        <v>1</v>
      </c>
      <c r="F7171" t="s">
        <v>6786</v>
      </c>
    </row>
    <row r="7172" spans="1:6" x14ac:dyDescent="0.25">
      <c r="A7172" t="s">
        <v>7749</v>
      </c>
      <c r="B7172" t="s">
        <v>3326</v>
      </c>
      <c r="C7172" t="s">
        <v>3327</v>
      </c>
      <c r="D7172" t="str">
        <f>HYPERLINK("http://service.sap.com/sap/support/notes/1689040","1689040")</f>
        <v>1689040</v>
      </c>
      <c r="E7172">
        <v>1</v>
      </c>
      <c r="F7172" t="s">
        <v>8589</v>
      </c>
    </row>
    <row r="7173" spans="1:6" x14ac:dyDescent="0.25">
      <c r="A7173" t="s">
        <v>7749</v>
      </c>
      <c r="B7173" t="s">
        <v>3329</v>
      </c>
      <c r="C7173" t="s">
        <v>3330</v>
      </c>
      <c r="D7173" t="str">
        <f>HYPERLINK("http://service.sap.com/sap/support/notes/1688645","1688645")</f>
        <v>1688645</v>
      </c>
      <c r="E7173">
        <v>4</v>
      </c>
      <c r="F7173" t="s">
        <v>8590</v>
      </c>
    </row>
    <row r="7174" spans="1:6" x14ac:dyDescent="0.25">
      <c r="A7174" t="s">
        <v>7749</v>
      </c>
      <c r="B7174" t="s">
        <v>3332</v>
      </c>
      <c r="C7174" t="s">
        <v>3333</v>
      </c>
      <c r="D7174" t="str">
        <f>HYPERLINK("http://service.sap.com/sap/support/notes/1679390","1679390")</f>
        <v>1679390</v>
      </c>
      <c r="E7174">
        <v>2</v>
      </c>
      <c r="F7174" t="s">
        <v>8591</v>
      </c>
    </row>
    <row r="7175" spans="1:6" x14ac:dyDescent="0.25">
      <c r="A7175" t="s">
        <v>7749</v>
      </c>
      <c r="B7175" t="s">
        <v>3332</v>
      </c>
      <c r="C7175" t="s">
        <v>3333</v>
      </c>
      <c r="D7175" t="str">
        <f>HYPERLINK("http://service.sap.com/sap/support/notes/1722549","1722549")</f>
        <v>1722549</v>
      </c>
      <c r="E7175">
        <v>1</v>
      </c>
      <c r="F7175" t="s">
        <v>8592</v>
      </c>
    </row>
    <row r="7176" spans="1:6" x14ac:dyDescent="0.25">
      <c r="A7176" t="s">
        <v>7749</v>
      </c>
      <c r="B7176" t="s">
        <v>3332</v>
      </c>
      <c r="C7176" t="s">
        <v>3333</v>
      </c>
      <c r="D7176" t="str">
        <f>HYPERLINK("http://service.sap.com/sap/support/notes/1724312","1724312")</f>
        <v>1724312</v>
      </c>
      <c r="E7176">
        <v>1</v>
      </c>
      <c r="F7176" t="s">
        <v>8593</v>
      </c>
    </row>
    <row r="7177" spans="1:6" x14ac:dyDescent="0.25">
      <c r="A7177" t="s">
        <v>7749</v>
      </c>
      <c r="B7177" t="s">
        <v>3339</v>
      </c>
      <c r="C7177" t="s">
        <v>3340</v>
      </c>
      <c r="D7177" t="str">
        <f>HYPERLINK("http://service.sap.com/sap/support/notes/1695684","1695684")</f>
        <v>1695684</v>
      </c>
      <c r="E7177">
        <v>1</v>
      </c>
      <c r="F7177" t="s">
        <v>8594</v>
      </c>
    </row>
    <row r="7178" spans="1:6" x14ac:dyDescent="0.25">
      <c r="A7178" t="s">
        <v>7749</v>
      </c>
      <c r="B7178" t="s">
        <v>3339</v>
      </c>
      <c r="C7178" t="s">
        <v>3340</v>
      </c>
      <c r="D7178" t="str">
        <f>HYPERLINK("http://service.sap.com/sap/support/notes/1722324","1722324")</f>
        <v>1722324</v>
      </c>
      <c r="E7178">
        <v>1</v>
      </c>
      <c r="F7178" t="s">
        <v>8595</v>
      </c>
    </row>
    <row r="7179" spans="1:6" x14ac:dyDescent="0.25">
      <c r="A7179" t="s">
        <v>7749</v>
      </c>
      <c r="B7179" t="s">
        <v>3349</v>
      </c>
      <c r="C7179" t="s">
        <v>3350</v>
      </c>
      <c r="D7179" t="str">
        <f>HYPERLINK("http://service.sap.com/sap/support/notes/1695130","1695130")</f>
        <v>1695130</v>
      </c>
      <c r="E7179">
        <v>1</v>
      </c>
      <c r="F7179" t="s">
        <v>8596</v>
      </c>
    </row>
    <row r="7180" spans="1:6" x14ac:dyDescent="0.25">
      <c r="A7180" t="s">
        <v>7749</v>
      </c>
      <c r="B7180" t="s">
        <v>691</v>
      </c>
      <c r="C7180" t="s">
        <v>692</v>
      </c>
      <c r="D7180" t="str">
        <f>HYPERLINK("http://service.sap.com/sap/support/notes/1697018","1697018")</f>
        <v>1697018</v>
      </c>
      <c r="E7180">
        <v>2</v>
      </c>
      <c r="F7180" t="s">
        <v>8597</v>
      </c>
    </row>
    <row r="7181" spans="1:6" x14ac:dyDescent="0.25">
      <c r="A7181" t="s">
        <v>7749</v>
      </c>
      <c r="B7181" t="s">
        <v>691</v>
      </c>
      <c r="C7181" t="s">
        <v>692</v>
      </c>
      <c r="D7181" t="str">
        <f>HYPERLINK("http://service.sap.com/sap/support/notes/1706530","1706530")</f>
        <v>1706530</v>
      </c>
      <c r="E7181">
        <v>1</v>
      </c>
      <c r="F7181" t="s">
        <v>8598</v>
      </c>
    </row>
    <row r="7182" spans="1:6" x14ac:dyDescent="0.25">
      <c r="A7182" t="s">
        <v>7749</v>
      </c>
      <c r="B7182" t="s">
        <v>691</v>
      </c>
      <c r="C7182" t="s">
        <v>692</v>
      </c>
      <c r="D7182" t="str">
        <f>HYPERLINK("http://service.sap.com/sap/support/notes/1712895","1712895")</f>
        <v>1712895</v>
      </c>
      <c r="E7182">
        <v>1</v>
      </c>
      <c r="F7182" t="s">
        <v>8599</v>
      </c>
    </row>
    <row r="7183" spans="1:6" x14ac:dyDescent="0.25">
      <c r="A7183" t="s">
        <v>7749</v>
      </c>
      <c r="B7183" t="s">
        <v>3356</v>
      </c>
      <c r="C7183" t="s">
        <v>3357</v>
      </c>
      <c r="D7183" t="str">
        <f>HYPERLINK("http://service.sap.com/sap/support/notes/1580168","1580168")</f>
        <v>1580168</v>
      </c>
      <c r="E7183">
        <v>3</v>
      </c>
      <c r="F7183" t="s">
        <v>8600</v>
      </c>
    </row>
    <row r="7184" spans="1:6" x14ac:dyDescent="0.25">
      <c r="A7184" t="s">
        <v>7749</v>
      </c>
      <c r="B7184" t="s">
        <v>694</v>
      </c>
      <c r="C7184" t="s">
        <v>695</v>
      </c>
      <c r="D7184" t="str">
        <f>HYPERLINK("http://service.sap.com/sap/support/notes/1661311","1661311")</f>
        <v>1661311</v>
      </c>
      <c r="E7184">
        <v>5</v>
      </c>
      <c r="F7184" t="s">
        <v>8601</v>
      </c>
    </row>
    <row r="7185" spans="1:6" x14ac:dyDescent="0.25">
      <c r="A7185" t="s">
        <v>7749</v>
      </c>
      <c r="B7185" t="s">
        <v>694</v>
      </c>
      <c r="C7185" t="s">
        <v>695</v>
      </c>
      <c r="D7185" t="str">
        <f>HYPERLINK("http://service.sap.com/sap/support/notes/1704346","1704346")</f>
        <v>1704346</v>
      </c>
      <c r="E7185">
        <v>2</v>
      </c>
      <c r="F7185" t="s">
        <v>8602</v>
      </c>
    </row>
    <row r="7186" spans="1:6" x14ac:dyDescent="0.25">
      <c r="A7186" t="s">
        <v>7749</v>
      </c>
      <c r="B7186" t="s">
        <v>3363</v>
      </c>
      <c r="C7186" t="s">
        <v>3364</v>
      </c>
    </row>
    <row r="7187" spans="1:6" x14ac:dyDescent="0.25">
      <c r="A7187" t="s">
        <v>7749</v>
      </c>
      <c r="B7187" t="s">
        <v>8603</v>
      </c>
      <c r="C7187" t="s">
        <v>8604</v>
      </c>
      <c r="D7187" t="str">
        <f>HYPERLINK("http://service.sap.com/sap/support/notes/1696353","1696353")</f>
        <v>1696353</v>
      </c>
      <c r="E7187">
        <v>1</v>
      </c>
      <c r="F7187" t="s">
        <v>8605</v>
      </c>
    </row>
    <row r="7188" spans="1:6" x14ac:dyDescent="0.25">
      <c r="A7188" t="s">
        <v>7749</v>
      </c>
      <c r="B7188" t="s">
        <v>8606</v>
      </c>
      <c r="C7188" t="s">
        <v>8607</v>
      </c>
      <c r="D7188" t="str">
        <f>HYPERLINK("http://service.sap.com/sap/support/notes/1699367","1699367")</f>
        <v>1699367</v>
      </c>
      <c r="E7188">
        <v>2</v>
      </c>
      <c r="F7188" t="s">
        <v>8608</v>
      </c>
    </row>
    <row r="7189" spans="1:6" x14ac:dyDescent="0.25">
      <c r="A7189" t="s">
        <v>7749</v>
      </c>
      <c r="B7189" t="s">
        <v>696</v>
      </c>
      <c r="C7189" t="s">
        <v>33</v>
      </c>
      <c r="D7189" t="str">
        <f>HYPERLINK("http://service.sap.com/sap/support/notes/1673618","1673618")</f>
        <v>1673618</v>
      </c>
      <c r="E7189">
        <v>3</v>
      </c>
      <c r="F7189" t="s">
        <v>8609</v>
      </c>
    </row>
    <row r="7190" spans="1:6" x14ac:dyDescent="0.25">
      <c r="A7190" t="s">
        <v>7749</v>
      </c>
      <c r="B7190" t="s">
        <v>696</v>
      </c>
      <c r="C7190" t="s">
        <v>33</v>
      </c>
      <c r="D7190" t="str">
        <f>HYPERLINK("http://service.sap.com/sap/support/notes/1701764","1701764")</f>
        <v>1701764</v>
      </c>
      <c r="E7190">
        <v>1</v>
      </c>
      <c r="F7190" t="s">
        <v>8610</v>
      </c>
    </row>
    <row r="7191" spans="1:6" x14ac:dyDescent="0.25">
      <c r="A7191" t="s">
        <v>7749</v>
      </c>
      <c r="B7191" t="s">
        <v>696</v>
      </c>
      <c r="C7191" t="s">
        <v>33</v>
      </c>
      <c r="D7191" t="str">
        <f>HYPERLINK("http://service.sap.com/sap/support/notes/1717088","1717088")</f>
        <v>1717088</v>
      </c>
      <c r="E7191">
        <v>2</v>
      </c>
      <c r="F7191" t="s">
        <v>8611</v>
      </c>
    </row>
    <row r="7192" spans="1:6" x14ac:dyDescent="0.25">
      <c r="A7192" t="s">
        <v>7749</v>
      </c>
      <c r="B7192" t="s">
        <v>3374</v>
      </c>
      <c r="C7192" t="s">
        <v>8612</v>
      </c>
      <c r="D7192" t="str">
        <f>HYPERLINK("http://service.sap.com/sap/support/notes/1676269","1676269")</f>
        <v>1676269</v>
      </c>
      <c r="E7192">
        <v>2</v>
      </c>
      <c r="F7192" t="s">
        <v>8613</v>
      </c>
    </row>
    <row r="7193" spans="1:6" x14ac:dyDescent="0.25">
      <c r="A7193" t="s">
        <v>7749</v>
      </c>
      <c r="B7193" t="s">
        <v>3380</v>
      </c>
      <c r="C7193" t="s">
        <v>3381</v>
      </c>
      <c r="D7193" t="str">
        <f>HYPERLINK("http://service.sap.com/sap/support/notes/1711765","1711765")</f>
        <v>1711765</v>
      </c>
      <c r="E7193">
        <v>4</v>
      </c>
      <c r="F7193" t="s">
        <v>8614</v>
      </c>
    </row>
    <row r="7194" spans="1:6" x14ac:dyDescent="0.25">
      <c r="A7194" t="s">
        <v>7749</v>
      </c>
      <c r="B7194" t="s">
        <v>3383</v>
      </c>
      <c r="C7194" t="s">
        <v>3384</v>
      </c>
      <c r="D7194" t="str">
        <f>HYPERLINK("http://service.sap.com/sap/support/notes/1464270","1464270")</f>
        <v>1464270</v>
      </c>
      <c r="E7194">
        <v>2</v>
      </c>
      <c r="F7194" t="s">
        <v>8615</v>
      </c>
    </row>
    <row r="7195" spans="1:6" x14ac:dyDescent="0.25">
      <c r="A7195" t="s">
        <v>7749</v>
      </c>
      <c r="B7195" t="s">
        <v>3397</v>
      </c>
      <c r="C7195" t="s">
        <v>3398</v>
      </c>
      <c r="D7195" t="str">
        <f>HYPERLINK("http://service.sap.com/sap/support/notes/1448977","1448977")</f>
        <v>1448977</v>
      </c>
      <c r="E7195">
        <v>6</v>
      </c>
      <c r="F7195" t="s">
        <v>8616</v>
      </c>
    </row>
    <row r="7196" spans="1:6" x14ac:dyDescent="0.25">
      <c r="A7196" t="s">
        <v>7749</v>
      </c>
      <c r="B7196" t="s">
        <v>3397</v>
      </c>
      <c r="C7196" t="s">
        <v>3398</v>
      </c>
      <c r="D7196" t="str">
        <f>HYPERLINK("http://service.sap.com/sap/support/notes/1703351","1703351")</f>
        <v>1703351</v>
      </c>
      <c r="E7196">
        <v>2</v>
      </c>
      <c r="F7196" t="s">
        <v>8617</v>
      </c>
    </row>
    <row r="7197" spans="1:6" x14ac:dyDescent="0.25">
      <c r="A7197" t="s">
        <v>7749</v>
      </c>
      <c r="B7197" t="s">
        <v>3397</v>
      </c>
      <c r="C7197" t="s">
        <v>3398</v>
      </c>
      <c r="D7197" t="str">
        <f>HYPERLINK("http://service.sap.com/sap/support/notes/1712748","1712748")</f>
        <v>1712748</v>
      </c>
      <c r="E7197">
        <v>3</v>
      </c>
      <c r="F7197" t="s">
        <v>8618</v>
      </c>
    </row>
    <row r="7198" spans="1:6" x14ac:dyDescent="0.25">
      <c r="A7198" t="s">
        <v>7749</v>
      </c>
      <c r="B7198" t="s">
        <v>698</v>
      </c>
      <c r="C7198" t="s">
        <v>699</v>
      </c>
    </row>
    <row r="7199" spans="1:6" x14ac:dyDescent="0.25">
      <c r="A7199" t="s">
        <v>7749</v>
      </c>
      <c r="B7199" t="s">
        <v>3402</v>
      </c>
      <c r="C7199" t="s">
        <v>3403</v>
      </c>
      <c r="D7199" t="str">
        <f>HYPERLINK("http://service.sap.com/sap/support/notes/1706646","1706646")</f>
        <v>1706646</v>
      </c>
      <c r="E7199">
        <v>1</v>
      </c>
      <c r="F7199" t="s">
        <v>8619</v>
      </c>
    </row>
    <row r="7200" spans="1:6" x14ac:dyDescent="0.25">
      <c r="A7200" t="s">
        <v>7749</v>
      </c>
      <c r="B7200" t="s">
        <v>3408</v>
      </c>
      <c r="C7200" t="s">
        <v>33</v>
      </c>
      <c r="D7200" t="str">
        <f>HYPERLINK("http://service.sap.com/sap/support/notes/1711593","1711593")</f>
        <v>1711593</v>
      </c>
      <c r="E7200">
        <v>1</v>
      </c>
      <c r="F7200" t="s">
        <v>3412</v>
      </c>
    </row>
    <row r="7201" spans="1:6" x14ac:dyDescent="0.25">
      <c r="A7201" t="s">
        <v>7749</v>
      </c>
      <c r="B7201" t="s">
        <v>3416</v>
      </c>
      <c r="C7201" t="s">
        <v>3417</v>
      </c>
      <c r="D7201" t="str">
        <f>HYPERLINK("http://service.sap.com/sap/support/notes/1697806","1697806")</f>
        <v>1697806</v>
      </c>
      <c r="E7201">
        <v>1</v>
      </c>
      <c r="F7201" t="s">
        <v>8620</v>
      </c>
    </row>
    <row r="7202" spans="1:6" x14ac:dyDescent="0.25">
      <c r="A7202" t="s">
        <v>7749</v>
      </c>
      <c r="B7202" t="s">
        <v>3416</v>
      </c>
      <c r="C7202" t="s">
        <v>3417</v>
      </c>
      <c r="D7202" t="str">
        <f>HYPERLINK("http://service.sap.com/sap/support/notes/1725044","1725044")</f>
        <v>1725044</v>
      </c>
      <c r="E7202">
        <v>3</v>
      </c>
      <c r="F7202" t="s">
        <v>8621</v>
      </c>
    </row>
    <row r="7203" spans="1:6" x14ac:dyDescent="0.25">
      <c r="A7203" t="s">
        <v>7749</v>
      </c>
      <c r="B7203" t="s">
        <v>24</v>
      </c>
      <c r="C7203" t="s">
        <v>25</v>
      </c>
    </row>
    <row r="7204" spans="1:6" x14ac:dyDescent="0.25">
      <c r="A7204" t="s">
        <v>7749</v>
      </c>
      <c r="B7204" t="s">
        <v>703</v>
      </c>
      <c r="C7204" t="s">
        <v>704</v>
      </c>
      <c r="D7204" t="str">
        <f>HYPERLINK("http://service.sap.com/sap/support/notes/1665487","1665487")</f>
        <v>1665487</v>
      </c>
      <c r="E7204">
        <v>3</v>
      </c>
      <c r="F7204" t="s">
        <v>8622</v>
      </c>
    </row>
    <row r="7205" spans="1:6" x14ac:dyDescent="0.25">
      <c r="A7205" t="s">
        <v>7749</v>
      </c>
      <c r="B7205" t="s">
        <v>703</v>
      </c>
      <c r="C7205" t="s">
        <v>704</v>
      </c>
      <c r="D7205" t="str">
        <f>HYPERLINK("http://service.sap.com/sap/support/notes/1674952","1674952")</f>
        <v>1674952</v>
      </c>
      <c r="E7205">
        <v>1</v>
      </c>
      <c r="F7205" t="s">
        <v>6815</v>
      </c>
    </row>
    <row r="7206" spans="1:6" x14ac:dyDescent="0.25">
      <c r="A7206" t="s">
        <v>7749</v>
      </c>
      <c r="B7206" t="s">
        <v>703</v>
      </c>
      <c r="C7206" t="s">
        <v>704</v>
      </c>
      <c r="D7206" t="str">
        <f>HYPERLINK("http://service.sap.com/sap/support/notes/1690374","1690374")</f>
        <v>1690374</v>
      </c>
      <c r="E7206">
        <v>1</v>
      </c>
      <c r="F7206" t="s">
        <v>8623</v>
      </c>
    </row>
    <row r="7207" spans="1:6" x14ac:dyDescent="0.25">
      <c r="A7207" t="s">
        <v>7749</v>
      </c>
      <c r="B7207" t="s">
        <v>703</v>
      </c>
      <c r="C7207" t="s">
        <v>704</v>
      </c>
      <c r="D7207" t="str">
        <f>HYPERLINK("http://service.sap.com/sap/support/notes/1694406","1694406")</f>
        <v>1694406</v>
      </c>
      <c r="E7207">
        <v>3</v>
      </c>
      <c r="F7207" t="s">
        <v>8624</v>
      </c>
    </row>
    <row r="7208" spans="1:6" x14ac:dyDescent="0.25">
      <c r="A7208" t="s">
        <v>7749</v>
      </c>
      <c r="B7208" t="s">
        <v>703</v>
      </c>
      <c r="C7208" t="s">
        <v>704</v>
      </c>
      <c r="D7208" t="str">
        <f>HYPERLINK("http://service.sap.com/sap/support/notes/1695466","1695466")</f>
        <v>1695466</v>
      </c>
      <c r="E7208">
        <v>2</v>
      </c>
      <c r="F7208" t="s">
        <v>8625</v>
      </c>
    </row>
    <row r="7209" spans="1:6" x14ac:dyDescent="0.25">
      <c r="A7209" t="s">
        <v>7749</v>
      </c>
      <c r="B7209" t="s">
        <v>703</v>
      </c>
      <c r="C7209" t="s">
        <v>704</v>
      </c>
      <c r="D7209" t="str">
        <f>HYPERLINK("http://service.sap.com/sap/support/notes/1697501","1697501")</f>
        <v>1697501</v>
      </c>
      <c r="E7209">
        <v>1</v>
      </c>
      <c r="F7209" t="s">
        <v>8626</v>
      </c>
    </row>
    <row r="7210" spans="1:6" x14ac:dyDescent="0.25">
      <c r="A7210" t="s">
        <v>7749</v>
      </c>
      <c r="B7210" t="s">
        <v>703</v>
      </c>
      <c r="C7210" t="s">
        <v>704</v>
      </c>
      <c r="D7210" t="str">
        <f>HYPERLINK("http://service.sap.com/sap/support/notes/1697990","1697990")</f>
        <v>1697990</v>
      </c>
      <c r="E7210">
        <v>2</v>
      </c>
      <c r="F7210" t="s">
        <v>8627</v>
      </c>
    </row>
    <row r="7211" spans="1:6" x14ac:dyDescent="0.25">
      <c r="A7211" t="s">
        <v>7749</v>
      </c>
      <c r="B7211" t="s">
        <v>703</v>
      </c>
      <c r="C7211" t="s">
        <v>704</v>
      </c>
      <c r="D7211" t="str">
        <f>HYPERLINK("http://service.sap.com/sap/support/notes/1698190","1698190")</f>
        <v>1698190</v>
      </c>
      <c r="E7211">
        <v>4</v>
      </c>
      <c r="F7211" t="s">
        <v>8628</v>
      </c>
    </row>
    <row r="7212" spans="1:6" x14ac:dyDescent="0.25">
      <c r="A7212" t="s">
        <v>7749</v>
      </c>
      <c r="B7212" t="s">
        <v>703</v>
      </c>
      <c r="C7212" t="s">
        <v>704</v>
      </c>
      <c r="D7212" t="str">
        <f>HYPERLINK("http://service.sap.com/sap/support/notes/1700112","1700112")</f>
        <v>1700112</v>
      </c>
      <c r="E7212">
        <v>1</v>
      </c>
      <c r="F7212" t="s">
        <v>8629</v>
      </c>
    </row>
    <row r="7213" spans="1:6" x14ac:dyDescent="0.25">
      <c r="A7213" t="s">
        <v>7749</v>
      </c>
      <c r="B7213" t="s">
        <v>703</v>
      </c>
      <c r="C7213" t="s">
        <v>704</v>
      </c>
      <c r="D7213" t="str">
        <f>HYPERLINK("http://service.sap.com/sap/support/notes/1701231","1701231")</f>
        <v>1701231</v>
      </c>
      <c r="E7213">
        <v>1</v>
      </c>
      <c r="F7213" t="s">
        <v>8630</v>
      </c>
    </row>
    <row r="7214" spans="1:6" x14ac:dyDescent="0.25">
      <c r="A7214" t="s">
        <v>7749</v>
      </c>
      <c r="B7214" t="s">
        <v>703</v>
      </c>
      <c r="C7214" t="s">
        <v>704</v>
      </c>
      <c r="D7214" t="str">
        <f>HYPERLINK("http://service.sap.com/sap/support/notes/1703954","1703954")</f>
        <v>1703954</v>
      </c>
      <c r="E7214">
        <v>2</v>
      </c>
      <c r="F7214" t="s">
        <v>8631</v>
      </c>
    </row>
    <row r="7215" spans="1:6" x14ac:dyDescent="0.25">
      <c r="A7215" t="s">
        <v>7749</v>
      </c>
      <c r="B7215" t="s">
        <v>703</v>
      </c>
      <c r="C7215" t="s">
        <v>704</v>
      </c>
      <c r="D7215" t="str">
        <f>HYPERLINK("http://service.sap.com/sap/support/notes/1704332","1704332")</f>
        <v>1704332</v>
      </c>
      <c r="E7215">
        <v>3</v>
      </c>
      <c r="F7215" t="s">
        <v>8632</v>
      </c>
    </row>
    <row r="7216" spans="1:6" x14ac:dyDescent="0.25">
      <c r="A7216" t="s">
        <v>7749</v>
      </c>
      <c r="B7216" t="s">
        <v>703</v>
      </c>
      <c r="C7216" t="s">
        <v>704</v>
      </c>
      <c r="D7216" t="str">
        <f>HYPERLINK("http://service.sap.com/sap/support/notes/1707433","1707433")</f>
        <v>1707433</v>
      </c>
      <c r="E7216">
        <v>1</v>
      </c>
      <c r="F7216" t="s">
        <v>8633</v>
      </c>
    </row>
    <row r="7217" spans="1:6" x14ac:dyDescent="0.25">
      <c r="A7217" t="s">
        <v>7749</v>
      </c>
      <c r="B7217" t="s">
        <v>703</v>
      </c>
      <c r="C7217" t="s">
        <v>704</v>
      </c>
      <c r="D7217" t="str">
        <f>HYPERLINK("http://service.sap.com/sap/support/notes/1707681","1707681")</f>
        <v>1707681</v>
      </c>
      <c r="E7217">
        <v>2</v>
      </c>
      <c r="F7217" t="s">
        <v>8634</v>
      </c>
    </row>
    <row r="7218" spans="1:6" x14ac:dyDescent="0.25">
      <c r="A7218" t="s">
        <v>7749</v>
      </c>
      <c r="B7218" t="s">
        <v>703</v>
      </c>
      <c r="C7218" t="s">
        <v>704</v>
      </c>
      <c r="D7218" t="str">
        <f>HYPERLINK("http://service.sap.com/sap/support/notes/1708840","1708840")</f>
        <v>1708840</v>
      </c>
      <c r="E7218">
        <v>2</v>
      </c>
      <c r="F7218" t="s">
        <v>8635</v>
      </c>
    </row>
    <row r="7219" spans="1:6" x14ac:dyDescent="0.25">
      <c r="A7219" t="s">
        <v>7749</v>
      </c>
      <c r="B7219" t="s">
        <v>703</v>
      </c>
      <c r="C7219" t="s">
        <v>704</v>
      </c>
      <c r="D7219" t="str">
        <f>HYPERLINK("http://service.sap.com/sap/support/notes/1709240","1709240")</f>
        <v>1709240</v>
      </c>
      <c r="E7219">
        <v>2</v>
      </c>
      <c r="F7219" t="s">
        <v>8636</v>
      </c>
    </row>
    <row r="7220" spans="1:6" x14ac:dyDescent="0.25">
      <c r="A7220" t="s">
        <v>7749</v>
      </c>
      <c r="B7220" t="s">
        <v>703</v>
      </c>
      <c r="C7220" t="s">
        <v>704</v>
      </c>
      <c r="D7220" t="str">
        <f>HYPERLINK("http://service.sap.com/sap/support/notes/1709419","1709419")</f>
        <v>1709419</v>
      </c>
      <c r="E7220">
        <v>2</v>
      </c>
      <c r="F7220" t="s">
        <v>8637</v>
      </c>
    </row>
    <row r="7221" spans="1:6" x14ac:dyDescent="0.25">
      <c r="A7221" t="s">
        <v>7749</v>
      </c>
      <c r="B7221" t="s">
        <v>703</v>
      </c>
      <c r="C7221" t="s">
        <v>704</v>
      </c>
      <c r="D7221" t="str">
        <f>HYPERLINK("http://service.sap.com/sap/support/notes/1710780","1710780")</f>
        <v>1710780</v>
      </c>
      <c r="E7221">
        <v>4</v>
      </c>
      <c r="F7221" t="s">
        <v>8638</v>
      </c>
    </row>
    <row r="7222" spans="1:6" x14ac:dyDescent="0.25">
      <c r="A7222" t="s">
        <v>7749</v>
      </c>
      <c r="B7222" t="s">
        <v>703</v>
      </c>
      <c r="C7222" t="s">
        <v>704</v>
      </c>
      <c r="D7222" t="str">
        <f>HYPERLINK("http://service.sap.com/sap/support/notes/1711040","1711040")</f>
        <v>1711040</v>
      </c>
      <c r="E7222">
        <v>1</v>
      </c>
      <c r="F7222" t="s">
        <v>8639</v>
      </c>
    </row>
    <row r="7223" spans="1:6" x14ac:dyDescent="0.25">
      <c r="A7223" t="s">
        <v>7749</v>
      </c>
      <c r="B7223" t="s">
        <v>703</v>
      </c>
      <c r="C7223" t="s">
        <v>704</v>
      </c>
      <c r="D7223" t="str">
        <f>HYPERLINK("http://service.sap.com/sap/support/notes/1712681","1712681")</f>
        <v>1712681</v>
      </c>
      <c r="E7223">
        <v>1</v>
      </c>
      <c r="F7223" t="s">
        <v>8640</v>
      </c>
    </row>
    <row r="7224" spans="1:6" x14ac:dyDescent="0.25">
      <c r="A7224" t="s">
        <v>7749</v>
      </c>
      <c r="B7224" t="s">
        <v>703</v>
      </c>
      <c r="C7224" t="s">
        <v>704</v>
      </c>
      <c r="D7224" t="str">
        <f>HYPERLINK("http://service.sap.com/sap/support/notes/1715846","1715846")</f>
        <v>1715846</v>
      </c>
      <c r="E7224">
        <v>2</v>
      </c>
      <c r="F7224" t="s">
        <v>8641</v>
      </c>
    </row>
    <row r="7225" spans="1:6" x14ac:dyDescent="0.25">
      <c r="A7225" t="s">
        <v>7749</v>
      </c>
      <c r="B7225" t="s">
        <v>703</v>
      </c>
      <c r="C7225" t="s">
        <v>704</v>
      </c>
      <c r="D7225" t="str">
        <f>HYPERLINK("http://service.sap.com/sap/support/notes/1715934","1715934")</f>
        <v>1715934</v>
      </c>
      <c r="E7225">
        <v>2</v>
      </c>
      <c r="F7225" t="s">
        <v>8642</v>
      </c>
    </row>
    <row r="7226" spans="1:6" x14ac:dyDescent="0.25">
      <c r="A7226" t="s">
        <v>7749</v>
      </c>
      <c r="B7226" t="s">
        <v>703</v>
      </c>
      <c r="C7226" t="s">
        <v>704</v>
      </c>
      <c r="D7226" t="str">
        <f>HYPERLINK("http://service.sap.com/sap/support/notes/1716359","1716359")</f>
        <v>1716359</v>
      </c>
      <c r="E7226">
        <v>2</v>
      </c>
      <c r="F7226" t="s">
        <v>8643</v>
      </c>
    </row>
    <row r="7227" spans="1:6" x14ac:dyDescent="0.25">
      <c r="A7227" t="s">
        <v>7749</v>
      </c>
      <c r="B7227" t="s">
        <v>703</v>
      </c>
      <c r="C7227" t="s">
        <v>704</v>
      </c>
      <c r="D7227" t="str">
        <f>HYPERLINK("http://service.sap.com/sap/support/notes/1717040","1717040")</f>
        <v>1717040</v>
      </c>
      <c r="E7227">
        <v>2</v>
      </c>
      <c r="F7227" t="s">
        <v>8644</v>
      </c>
    </row>
    <row r="7228" spans="1:6" x14ac:dyDescent="0.25">
      <c r="A7228" t="s">
        <v>7749</v>
      </c>
      <c r="B7228" t="s">
        <v>703</v>
      </c>
      <c r="C7228" t="s">
        <v>704</v>
      </c>
      <c r="D7228" t="str">
        <f>HYPERLINK("http://service.sap.com/sap/support/notes/1717073","1717073")</f>
        <v>1717073</v>
      </c>
      <c r="E7228">
        <v>1</v>
      </c>
      <c r="F7228" t="s">
        <v>8645</v>
      </c>
    </row>
    <row r="7229" spans="1:6" x14ac:dyDescent="0.25">
      <c r="A7229" t="s">
        <v>7749</v>
      </c>
      <c r="B7229" t="s">
        <v>703</v>
      </c>
      <c r="C7229" t="s">
        <v>704</v>
      </c>
      <c r="D7229" t="str">
        <f>HYPERLINK("http://service.sap.com/sap/support/notes/1722864","1722864")</f>
        <v>1722864</v>
      </c>
      <c r="E7229">
        <v>2</v>
      </c>
      <c r="F7229" t="s">
        <v>8646</v>
      </c>
    </row>
    <row r="7230" spans="1:6" x14ac:dyDescent="0.25">
      <c r="A7230" t="s">
        <v>7749</v>
      </c>
      <c r="B7230" t="s">
        <v>703</v>
      </c>
      <c r="C7230" t="s">
        <v>704</v>
      </c>
      <c r="D7230" t="str">
        <f>HYPERLINK("http://service.sap.com/sap/support/notes/1723425","1723425")</f>
        <v>1723425</v>
      </c>
      <c r="E7230">
        <v>2</v>
      </c>
      <c r="F7230" t="s">
        <v>8647</v>
      </c>
    </row>
    <row r="7231" spans="1:6" x14ac:dyDescent="0.25">
      <c r="A7231" t="s">
        <v>7749</v>
      </c>
      <c r="B7231" t="s">
        <v>703</v>
      </c>
      <c r="C7231" t="s">
        <v>704</v>
      </c>
      <c r="D7231" t="str">
        <f>HYPERLINK("http://service.sap.com/sap/support/notes/1727390","1727390")</f>
        <v>1727390</v>
      </c>
      <c r="E7231">
        <v>1</v>
      </c>
      <c r="F7231" t="s">
        <v>8648</v>
      </c>
    </row>
    <row r="7232" spans="1:6" x14ac:dyDescent="0.25">
      <c r="A7232" t="s">
        <v>7749</v>
      </c>
      <c r="B7232" t="s">
        <v>703</v>
      </c>
      <c r="C7232" t="s">
        <v>704</v>
      </c>
      <c r="D7232" t="str">
        <f>HYPERLINK("http://service.sap.com/sap/support/notes/1728364","1728364")</f>
        <v>1728364</v>
      </c>
      <c r="E7232">
        <v>1</v>
      </c>
      <c r="F7232" t="s">
        <v>8649</v>
      </c>
    </row>
    <row r="7233" spans="1:6" x14ac:dyDescent="0.25">
      <c r="A7233" t="s">
        <v>7749</v>
      </c>
      <c r="B7233" t="s">
        <v>3482</v>
      </c>
      <c r="C7233" t="s">
        <v>3483</v>
      </c>
      <c r="D7233" t="str">
        <f>HYPERLINK("http://service.sap.com/sap/support/notes/1727340","1727340")</f>
        <v>1727340</v>
      </c>
      <c r="E7233">
        <v>1</v>
      </c>
      <c r="F7233" t="s">
        <v>8650</v>
      </c>
    </row>
    <row r="7234" spans="1:6" x14ac:dyDescent="0.25">
      <c r="A7234" t="s">
        <v>7749</v>
      </c>
      <c r="B7234" t="s">
        <v>3485</v>
      </c>
      <c r="C7234" t="s">
        <v>3486</v>
      </c>
      <c r="D7234" t="str">
        <f>HYPERLINK("http://service.sap.com/sap/support/notes/1707799","1707799")</f>
        <v>1707799</v>
      </c>
      <c r="E7234">
        <v>2</v>
      </c>
      <c r="F7234" t="s">
        <v>8651</v>
      </c>
    </row>
    <row r="7235" spans="1:6" x14ac:dyDescent="0.25">
      <c r="A7235" t="s">
        <v>7749</v>
      </c>
      <c r="B7235" t="s">
        <v>3485</v>
      </c>
      <c r="C7235" t="s">
        <v>3486</v>
      </c>
      <c r="D7235" t="str">
        <f>HYPERLINK("http://service.sap.com/sap/support/notes/1708119","1708119")</f>
        <v>1708119</v>
      </c>
      <c r="E7235">
        <v>1</v>
      </c>
      <c r="F7235" t="s">
        <v>8652</v>
      </c>
    </row>
    <row r="7236" spans="1:6" x14ac:dyDescent="0.25">
      <c r="A7236" t="s">
        <v>7749</v>
      </c>
      <c r="B7236" t="s">
        <v>3485</v>
      </c>
      <c r="C7236" t="s">
        <v>3486</v>
      </c>
      <c r="D7236" t="str">
        <f>HYPERLINK("http://service.sap.com/sap/support/notes/1713107","1713107")</f>
        <v>1713107</v>
      </c>
      <c r="E7236">
        <v>2</v>
      </c>
      <c r="F7236" t="s">
        <v>8653</v>
      </c>
    </row>
    <row r="7237" spans="1:6" x14ac:dyDescent="0.25">
      <c r="A7237" t="s">
        <v>7749</v>
      </c>
      <c r="B7237" t="s">
        <v>3485</v>
      </c>
      <c r="C7237" t="s">
        <v>3486</v>
      </c>
      <c r="D7237" t="str">
        <f>HYPERLINK("http://service.sap.com/sap/support/notes/1719573","1719573")</f>
        <v>1719573</v>
      </c>
      <c r="E7237">
        <v>1</v>
      </c>
      <c r="F7237" t="s">
        <v>8654</v>
      </c>
    </row>
    <row r="7238" spans="1:6" x14ac:dyDescent="0.25">
      <c r="A7238" t="s">
        <v>7749</v>
      </c>
      <c r="B7238" t="s">
        <v>707</v>
      </c>
      <c r="C7238" t="s">
        <v>708</v>
      </c>
      <c r="D7238" t="str">
        <f>HYPERLINK("http://service.sap.com/sap/support/notes/1611168","1611168")</f>
        <v>1611168</v>
      </c>
      <c r="E7238">
        <v>1</v>
      </c>
      <c r="F7238" t="s">
        <v>709</v>
      </c>
    </row>
    <row r="7239" spans="1:6" x14ac:dyDescent="0.25">
      <c r="A7239" t="s">
        <v>7749</v>
      </c>
      <c r="B7239" t="s">
        <v>707</v>
      </c>
      <c r="C7239" t="s">
        <v>708</v>
      </c>
      <c r="D7239" t="str">
        <f>HYPERLINK("http://service.sap.com/sap/support/notes/1666878","1666878")</f>
        <v>1666878</v>
      </c>
      <c r="E7239">
        <v>1</v>
      </c>
      <c r="F7239" t="s">
        <v>3508</v>
      </c>
    </row>
    <row r="7240" spans="1:6" x14ac:dyDescent="0.25">
      <c r="A7240" t="s">
        <v>7749</v>
      </c>
      <c r="B7240" t="s">
        <v>707</v>
      </c>
      <c r="C7240" t="s">
        <v>708</v>
      </c>
      <c r="D7240" t="str">
        <f>HYPERLINK("http://service.sap.com/sap/support/notes/1695630","1695630")</f>
        <v>1695630</v>
      </c>
      <c r="E7240">
        <v>2</v>
      </c>
      <c r="F7240" t="s">
        <v>8655</v>
      </c>
    </row>
    <row r="7241" spans="1:6" x14ac:dyDescent="0.25">
      <c r="A7241" t="s">
        <v>7749</v>
      </c>
      <c r="B7241" t="s">
        <v>707</v>
      </c>
      <c r="C7241" t="s">
        <v>708</v>
      </c>
      <c r="D7241" t="str">
        <f>HYPERLINK("http://service.sap.com/sap/support/notes/1699994","1699994")</f>
        <v>1699994</v>
      </c>
      <c r="E7241">
        <v>2</v>
      </c>
      <c r="F7241" t="s">
        <v>8656</v>
      </c>
    </row>
    <row r="7242" spans="1:6" x14ac:dyDescent="0.25">
      <c r="A7242" t="s">
        <v>7749</v>
      </c>
      <c r="B7242" t="s">
        <v>707</v>
      </c>
      <c r="C7242" t="s">
        <v>708</v>
      </c>
      <c r="D7242" t="str">
        <f>HYPERLINK("http://service.sap.com/sap/support/notes/1700093","1700093")</f>
        <v>1700093</v>
      </c>
      <c r="E7242">
        <v>2</v>
      </c>
      <c r="F7242" t="s">
        <v>8657</v>
      </c>
    </row>
    <row r="7243" spans="1:6" x14ac:dyDescent="0.25">
      <c r="A7243" t="s">
        <v>7749</v>
      </c>
      <c r="B7243" t="s">
        <v>707</v>
      </c>
      <c r="C7243" t="s">
        <v>708</v>
      </c>
      <c r="D7243" t="str">
        <f>HYPERLINK("http://service.sap.com/sap/support/notes/1705224","1705224")</f>
        <v>1705224</v>
      </c>
      <c r="E7243">
        <v>1</v>
      </c>
      <c r="F7243" t="s">
        <v>8658</v>
      </c>
    </row>
    <row r="7244" spans="1:6" x14ac:dyDescent="0.25">
      <c r="A7244" t="s">
        <v>7749</v>
      </c>
      <c r="B7244" t="s">
        <v>6849</v>
      </c>
      <c r="C7244" t="s">
        <v>6850</v>
      </c>
      <c r="D7244" t="str">
        <f>HYPERLINK("http://service.sap.com/sap/support/notes/1724026","1724026")</f>
        <v>1724026</v>
      </c>
      <c r="E7244">
        <v>1</v>
      </c>
      <c r="F7244" t="s">
        <v>8659</v>
      </c>
    </row>
    <row r="7245" spans="1:6" x14ac:dyDescent="0.25">
      <c r="A7245" t="s">
        <v>7749</v>
      </c>
      <c r="B7245" t="s">
        <v>3511</v>
      </c>
      <c r="C7245" t="s">
        <v>170</v>
      </c>
      <c r="D7245" t="str">
        <f>HYPERLINK("http://service.sap.com/sap/support/notes/1596234","1596234")</f>
        <v>1596234</v>
      </c>
      <c r="E7245">
        <v>3</v>
      </c>
      <c r="F7245" t="s">
        <v>8660</v>
      </c>
    </row>
    <row r="7246" spans="1:6" x14ac:dyDescent="0.25">
      <c r="A7246" t="s">
        <v>7749</v>
      </c>
      <c r="B7246" t="s">
        <v>3511</v>
      </c>
      <c r="C7246" t="s">
        <v>170</v>
      </c>
      <c r="D7246" t="str">
        <f>HYPERLINK("http://service.sap.com/sap/support/notes/1692840","1692840")</f>
        <v>1692840</v>
      </c>
      <c r="E7246">
        <v>2</v>
      </c>
      <c r="F7246" t="s">
        <v>8661</v>
      </c>
    </row>
    <row r="7247" spans="1:6" x14ac:dyDescent="0.25">
      <c r="A7247" t="s">
        <v>7749</v>
      </c>
      <c r="B7247" t="s">
        <v>3511</v>
      </c>
      <c r="C7247" t="s">
        <v>170</v>
      </c>
      <c r="D7247" t="str">
        <f>HYPERLINK("http://service.sap.com/sap/support/notes/1696961","1696961")</f>
        <v>1696961</v>
      </c>
      <c r="E7247">
        <v>2</v>
      </c>
      <c r="F7247" t="s">
        <v>8662</v>
      </c>
    </row>
    <row r="7248" spans="1:6" x14ac:dyDescent="0.25">
      <c r="A7248" t="s">
        <v>7749</v>
      </c>
      <c r="B7248" t="s">
        <v>3511</v>
      </c>
      <c r="C7248" t="s">
        <v>170</v>
      </c>
      <c r="D7248" t="str">
        <f>HYPERLINK("http://service.sap.com/sap/support/notes/1706040","1706040")</f>
        <v>1706040</v>
      </c>
      <c r="E7248">
        <v>2</v>
      </c>
      <c r="F7248" t="s">
        <v>8663</v>
      </c>
    </row>
    <row r="7249" spans="1:6" x14ac:dyDescent="0.25">
      <c r="A7249" t="s">
        <v>7749</v>
      </c>
      <c r="B7249" t="s">
        <v>3511</v>
      </c>
      <c r="C7249" t="s">
        <v>170</v>
      </c>
      <c r="D7249" t="str">
        <f>HYPERLINK("http://service.sap.com/sap/support/notes/1721661","1721661")</f>
        <v>1721661</v>
      </c>
      <c r="E7249">
        <v>1</v>
      </c>
      <c r="F7249" t="s">
        <v>8664</v>
      </c>
    </row>
    <row r="7250" spans="1:6" x14ac:dyDescent="0.25">
      <c r="A7250" t="s">
        <v>7749</v>
      </c>
      <c r="B7250" t="s">
        <v>8665</v>
      </c>
      <c r="C7250" t="s">
        <v>699</v>
      </c>
      <c r="D7250" t="str">
        <f>HYPERLINK("http://service.sap.com/sap/support/notes/1670416","1670416")</f>
        <v>1670416</v>
      </c>
      <c r="E7250">
        <v>1</v>
      </c>
      <c r="F7250" t="s">
        <v>8666</v>
      </c>
    </row>
    <row r="7251" spans="1:6" x14ac:dyDescent="0.25">
      <c r="A7251" t="s">
        <v>7749</v>
      </c>
      <c r="B7251" t="s">
        <v>8665</v>
      </c>
      <c r="C7251" t="s">
        <v>699</v>
      </c>
      <c r="D7251" t="str">
        <f>HYPERLINK("http://service.sap.com/sap/support/notes/1709428","1709428")</f>
        <v>1709428</v>
      </c>
      <c r="E7251">
        <v>2</v>
      </c>
      <c r="F7251" t="s">
        <v>8667</v>
      </c>
    </row>
    <row r="7252" spans="1:6" x14ac:dyDescent="0.25">
      <c r="A7252" t="s">
        <v>7749</v>
      </c>
      <c r="B7252" t="s">
        <v>710</v>
      </c>
      <c r="C7252" t="s">
        <v>711</v>
      </c>
      <c r="D7252" t="str">
        <f>HYPERLINK("http://service.sap.com/sap/support/notes/1698880","1698880")</f>
        <v>1698880</v>
      </c>
      <c r="E7252">
        <v>3</v>
      </c>
      <c r="F7252" t="s">
        <v>8668</v>
      </c>
    </row>
    <row r="7253" spans="1:6" x14ac:dyDescent="0.25">
      <c r="A7253" t="s">
        <v>7749</v>
      </c>
      <c r="B7253" t="s">
        <v>3522</v>
      </c>
      <c r="C7253" t="s">
        <v>3283</v>
      </c>
      <c r="D7253" t="str">
        <f>HYPERLINK("http://service.sap.com/sap/support/notes/1666198","1666198")</f>
        <v>1666198</v>
      </c>
      <c r="E7253">
        <v>3</v>
      </c>
      <c r="F7253" t="s">
        <v>8669</v>
      </c>
    </row>
    <row r="7254" spans="1:6" x14ac:dyDescent="0.25">
      <c r="A7254" t="s">
        <v>7749</v>
      </c>
      <c r="B7254" t="s">
        <v>3522</v>
      </c>
      <c r="C7254" t="s">
        <v>3283</v>
      </c>
      <c r="D7254" t="str">
        <f>HYPERLINK("http://service.sap.com/sap/support/notes/1694189","1694189")</f>
        <v>1694189</v>
      </c>
      <c r="E7254">
        <v>2</v>
      </c>
      <c r="F7254" t="s">
        <v>8670</v>
      </c>
    </row>
    <row r="7255" spans="1:6" x14ac:dyDescent="0.25">
      <c r="A7255" t="s">
        <v>7749</v>
      </c>
      <c r="B7255" t="s">
        <v>3522</v>
      </c>
      <c r="C7255" t="s">
        <v>3283</v>
      </c>
      <c r="D7255" t="str">
        <f>HYPERLINK("http://service.sap.com/sap/support/notes/1721647","1721647")</f>
        <v>1721647</v>
      </c>
      <c r="E7255">
        <v>1</v>
      </c>
      <c r="F7255" t="s">
        <v>8671</v>
      </c>
    </row>
    <row r="7256" spans="1:6" x14ac:dyDescent="0.25">
      <c r="A7256" t="s">
        <v>7749</v>
      </c>
      <c r="B7256" t="s">
        <v>6857</v>
      </c>
      <c r="C7256" t="s">
        <v>6858</v>
      </c>
      <c r="D7256" t="str">
        <f>HYPERLINK("http://service.sap.com/sap/support/notes/1698842","1698842")</f>
        <v>1698842</v>
      </c>
      <c r="E7256">
        <v>2</v>
      </c>
      <c r="F7256" t="s">
        <v>8672</v>
      </c>
    </row>
    <row r="7257" spans="1:6" x14ac:dyDescent="0.25">
      <c r="A7257" t="s">
        <v>7749</v>
      </c>
      <c r="B7257" t="s">
        <v>6857</v>
      </c>
      <c r="C7257" t="s">
        <v>6858</v>
      </c>
      <c r="D7257" t="str">
        <f>HYPERLINK("http://service.sap.com/sap/support/notes/1710452","1710452")</f>
        <v>1710452</v>
      </c>
      <c r="E7257">
        <v>2</v>
      </c>
      <c r="F7257" t="s">
        <v>8673</v>
      </c>
    </row>
    <row r="7258" spans="1:6" x14ac:dyDescent="0.25">
      <c r="A7258" t="s">
        <v>7749</v>
      </c>
      <c r="B7258" t="s">
        <v>712</v>
      </c>
      <c r="C7258" t="s">
        <v>713</v>
      </c>
      <c r="D7258" t="str">
        <f>HYPERLINK("http://service.sap.com/sap/support/notes/1580194","1580194")</f>
        <v>1580194</v>
      </c>
      <c r="E7258">
        <v>11</v>
      </c>
      <c r="F7258" t="s">
        <v>8674</v>
      </c>
    </row>
    <row r="7259" spans="1:6" x14ac:dyDescent="0.25">
      <c r="A7259" t="s">
        <v>7749</v>
      </c>
      <c r="B7259" t="s">
        <v>712</v>
      </c>
      <c r="C7259" t="s">
        <v>713</v>
      </c>
      <c r="D7259" t="str">
        <f>HYPERLINK("http://service.sap.com/sap/support/notes/1658556","1658556")</f>
        <v>1658556</v>
      </c>
      <c r="E7259">
        <v>1</v>
      </c>
      <c r="F7259" t="s">
        <v>8675</v>
      </c>
    </row>
    <row r="7260" spans="1:6" x14ac:dyDescent="0.25">
      <c r="A7260" t="s">
        <v>7749</v>
      </c>
      <c r="B7260" t="s">
        <v>712</v>
      </c>
      <c r="C7260" t="s">
        <v>713</v>
      </c>
      <c r="D7260" t="str">
        <f>HYPERLINK("http://service.sap.com/sap/support/notes/1690200","1690200")</f>
        <v>1690200</v>
      </c>
      <c r="E7260">
        <v>2</v>
      </c>
      <c r="F7260" t="s">
        <v>8676</v>
      </c>
    </row>
    <row r="7261" spans="1:6" x14ac:dyDescent="0.25">
      <c r="A7261" t="s">
        <v>7749</v>
      </c>
      <c r="B7261" t="s">
        <v>712</v>
      </c>
      <c r="C7261" t="s">
        <v>713</v>
      </c>
      <c r="D7261" t="str">
        <f>HYPERLINK("http://service.sap.com/sap/support/notes/1700039","1700039")</f>
        <v>1700039</v>
      </c>
      <c r="E7261">
        <v>2</v>
      </c>
      <c r="F7261" t="s">
        <v>8677</v>
      </c>
    </row>
    <row r="7262" spans="1:6" x14ac:dyDescent="0.25">
      <c r="A7262" t="s">
        <v>7749</v>
      </c>
      <c r="B7262" t="s">
        <v>712</v>
      </c>
      <c r="C7262" t="s">
        <v>713</v>
      </c>
      <c r="D7262" t="str">
        <f>HYPERLINK("http://service.sap.com/sap/support/notes/1713020","1713020")</f>
        <v>1713020</v>
      </c>
      <c r="E7262">
        <v>5</v>
      </c>
      <c r="F7262" t="s">
        <v>8678</v>
      </c>
    </row>
    <row r="7263" spans="1:6" x14ac:dyDescent="0.25">
      <c r="A7263" t="s">
        <v>7749</v>
      </c>
      <c r="B7263" t="s">
        <v>712</v>
      </c>
      <c r="C7263" t="s">
        <v>713</v>
      </c>
      <c r="D7263" t="str">
        <f>HYPERLINK("http://service.sap.com/sap/support/notes/1717282","1717282")</f>
        <v>1717282</v>
      </c>
      <c r="E7263">
        <v>3</v>
      </c>
      <c r="F7263" t="s">
        <v>8679</v>
      </c>
    </row>
    <row r="7264" spans="1:6" x14ac:dyDescent="0.25">
      <c r="A7264" t="s">
        <v>7749</v>
      </c>
      <c r="B7264" t="s">
        <v>712</v>
      </c>
      <c r="C7264" t="s">
        <v>713</v>
      </c>
      <c r="D7264" t="str">
        <f>HYPERLINK("http://service.sap.com/sap/support/notes/1720579","1720579")</f>
        <v>1720579</v>
      </c>
      <c r="E7264">
        <v>2</v>
      </c>
      <c r="F7264" t="s">
        <v>8680</v>
      </c>
    </row>
    <row r="7265" spans="1:6" x14ac:dyDescent="0.25">
      <c r="A7265" t="s">
        <v>7749</v>
      </c>
      <c r="B7265" t="s">
        <v>712</v>
      </c>
      <c r="C7265" t="s">
        <v>713</v>
      </c>
      <c r="D7265" t="str">
        <f>HYPERLINK("http://service.sap.com/sap/support/notes/1723075","1723075")</f>
        <v>1723075</v>
      </c>
      <c r="E7265">
        <v>1</v>
      </c>
      <c r="F7265" t="s">
        <v>8679</v>
      </c>
    </row>
    <row r="7266" spans="1:6" x14ac:dyDescent="0.25">
      <c r="A7266" t="s">
        <v>7749</v>
      </c>
      <c r="B7266" t="s">
        <v>3564</v>
      </c>
      <c r="C7266" t="s">
        <v>3565</v>
      </c>
      <c r="D7266" t="str">
        <f>HYPERLINK("http://service.sap.com/sap/support/notes/1698746","1698746")</f>
        <v>1698746</v>
      </c>
      <c r="E7266">
        <v>1</v>
      </c>
      <c r="F7266" t="s">
        <v>8681</v>
      </c>
    </row>
    <row r="7267" spans="1:6" x14ac:dyDescent="0.25">
      <c r="A7267" t="s">
        <v>7749</v>
      </c>
      <c r="B7267" t="s">
        <v>3564</v>
      </c>
      <c r="C7267" t="s">
        <v>3565</v>
      </c>
      <c r="D7267" t="str">
        <f>HYPERLINK("http://service.sap.com/sap/support/notes/1715720","1715720")</f>
        <v>1715720</v>
      </c>
      <c r="E7267">
        <v>1</v>
      </c>
      <c r="F7267" t="s">
        <v>8682</v>
      </c>
    </row>
    <row r="7268" spans="1:6" x14ac:dyDescent="0.25">
      <c r="A7268" t="s">
        <v>7749</v>
      </c>
      <c r="B7268" t="s">
        <v>3572</v>
      </c>
      <c r="C7268" t="s">
        <v>3573</v>
      </c>
      <c r="D7268" t="str">
        <f>HYPERLINK("http://service.sap.com/sap/support/notes/1688498","1688498")</f>
        <v>1688498</v>
      </c>
      <c r="E7268">
        <v>2</v>
      </c>
      <c r="F7268" t="s">
        <v>8683</v>
      </c>
    </row>
    <row r="7269" spans="1:6" x14ac:dyDescent="0.25">
      <c r="A7269" t="s">
        <v>7749</v>
      </c>
      <c r="B7269" t="s">
        <v>720</v>
      </c>
      <c r="C7269" t="s">
        <v>721</v>
      </c>
      <c r="D7269" t="str">
        <f>HYPERLINK("http://service.sap.com/sap/support/notes/707819","707819")</f>
        <v>707819</v>
      </c>
      <c r="E7269">
        <v>2</v>
      </c>
      <c r="F7269" t="s">
        <v>8684</v>
      </c>
    </row>
    <row r="7270" spans="1:6" x14ac:dyDescent="0.25">
      <c r="A7270" t="s">
        <v>7749</v>
      </c>
      <c r="B7270" t="s">
        <v>720</v>
      </c>
      <c r="C7270" t="s">
        <v>721</v>
      </c>
      <c r="D7270" t="str">
        <f>HYPERLINK("http://service.sap.com/sap/support/notes/1678233","1678233")</f>
        <v>1678233</v>
      </c>
      <c r="E7270">
        <v>2</v>
      </c>
      <c r="F7270" t="s">
        <v>8685</v>
      </c>
    </row>
    <row r="7271" spans="1:6" x14ac:dyDescent="0.25">
      <c r="A7271" t="s">
        <v>7749</v>
      </c>
      <c r="B7271" t="s">
        <v>720</v>
      </c>
      <c r="C7271" t="s">
        <v>721</v>
      </c>
      <c r="D7271" t="str">
        <f>HYPERLINK("http://service.sap.com/sap/support/notes/1697797","1697797")</f>
        <v>1697797</v>
      </c>
      <c r="E7271">
        <v>3</v>
      </c>
      <c r="F7271" t="s">
        <v>8686</v>
      </c>
    </row>
    <row r="7272" spans="1:6" x14ac:dyDescent="0.25">
      <c r="A7272" t="s">
        <v>7749</v>
      </c>
      <c r="B7272" t="s">
        <v>720</v>
      </c>
      <c r="C7272" t="s">
        <v>721</v>
      </c>
      <c r="D7272" t="str">
        <f>HYPERLINK("http://service.sap.com/sap/support/notes/1698279","1698279")</f>
        <v>1698279</v>
      </c>
      <c r="E7272">
        <v>2</v>
      </c>
      <c r="F7272" t="s">
        <v>8687</v>
      </c>
    </row>
    <row r="7273" spans="1:6" x14ac:dyDescent="0.25">
      <c r="A7273" t="s">
        <v>7749</v>
      </c>
      <c r="B7273" t="s">
        <v>720</v>
      </c>
      <c r="C7273" t="s">
        <v>721</v>
      </c>
      <c r="D7273" t="str">
        <f>HYPERLINK("http://service.sap.com/sap/support/notes/1701529","1701529")</f>
        <v>1701529</v>
      </c>
      <c r="E7273">
        <v>2</v>
      </c>
      <c r="F7273" t="s">
        <v>8688</v>
      </c>
    </row>
    <row r="7274" spans="1:6" x14ac:dyDescent="0.25">
      <c r="A7274" t="s">
        <v>7749</v>
      </c>
      <c r="B7274" t="s">
        <v>720</v>
      </c>
      <c r="C7274" t="s">
        <v>721</v>
      </c>
      <c r="D7274" t="str">
        <f>HYPERLINK("http://service.sap.com/sap/support/notes/1701830","1701830")</f>
        <v>1701830</v>
      </c>
      <c r="E7274">
        <v>2</v>
      </c>
      <c r="F7274" t="s">
        <v>8689</v>
      </c>
    </row>
    <row r="7275" spans="1:6" x14ac:dyDescent="0.25">
      <c r="A7275" t="s">
        <v>7749</v>
      </c>
      <c r="B7275" t="s">
        <v>720</v>
      </c>
      <c r="C7275" t="s">
        <v>721</v>
      </c>
      <c r="D7275" t="str">
        <f>HYPERLINK("http://service.sap.com/sap/support/notes/1702118","1702118")</f>
        <v>1702118</v>
      </c>
      <c r="E7275">
        <v>1</v>
      </c>
      <c r="F7275" t="s">
        <v>8690</v>
      </c>
    </row>
    <row r="7276" spans="1:6" x14ac:dyDescent="0.25">
      <c r="A7276" t="s">
        <v>7749</v>
      </c>
      <c r="B7276" t="s">
        <v>720</v>
      </c>
      <c r="C7276" t="s">
        <v>721</v>
      </c>
      <c r="D7276" t="str">
        <f>HYPERLINK("http://service.sap.com/sap/support/notes/1703374","1703374")</f>
        <v>1703374</v>
      </c>
      <c r="E7276">
        <v>1</v>
      </c>
      <c r="F7276" t="s">
        <v>8691</v>
      </c>
    </row>
    <row r="7277" spans="1:6" x14ac:dyDescent="0.25">
      <c r="A7277" t="s">
        <v>7749</v>
      </c>
      <c r="B7277" t="s">
        <v>720</v>
      </c>
      <c r="C7277" t="s">
        <v>721</v>
      </c>
      <c r="D7277" t="str">
        <f>HYPERLINK("http://service.sap.com/sap/support/notes/1706465","1706465")</f>
        <v>1706465</v>
      </c>
      <c r="E7277">
        <v>1</v>
      </c>
      <c r="F7277" t="s">
        <v>8692</v>
      </c>
    </row>
    <row r="7278" spans="1:6" x14ac:dyDescent="0.25">
      <c r="A7278" t="s">
        <v>7749</v>
      </c>
      <c r="B7278" t="s">
        <v>8693</v>
      </c>
      <c r="C7278" t="s">
        <v>8694</v>
      </c>
    </row>
    <row r="7279" spans="1:6" x14ac:dyDescent="0.25">
      <c r="A7279" t="s">
        <v>7749</v>
      </c>
      <c r="B7279" t="s">
        <v>8695</v>
      </c>
      <c r="C7279" t="s">
        <v>1314</v>
      </c>
      <c r="D7279" t="str">
        <f>HYPERLINK("http://service.sap.com/sap/support/notes/1705539","1705539")</f>
        <v>1705539</v>
      </c>
      <c r="E7279">
        <v>1</v>
      </c>
      <c r="F7279" t="s">
        <v>8696</v>
      </c>
    </row>
    <row r="7280" spans="1:6" x14ac:dyDescent="0.25">
      <c r="A7280" t="s">
        <v>7749</v>
      </c>
      <c r="B7280" t="s">
        <v>8695</v>
      </c>
      <c r="C7280" t="s">
        <v>1314</v>
      </c>
      <c r="D7280" t="str">
        <f>HYPERLINK("http://service.sap.com/sap/support/notes/1706378","1706378")</f>
        <v>1706378</v>
      </c>
      <c r="E7280">
        <v>2</v>
      </c>
      <c r="F7280" t="s">
        <v>8697</v>
      </c>
    </row>
    <row r="7281" spans="1:6" x14ac:dyDescent="0.25">
      <c r="A7281" t="s">
        <v>7749</v>
      </c>
      <c r="B7281" t="s">
        <v>8695</v>
      </c>
      <c r="C7281" t="s">
        <v>1314</v>
      </c>
      <c r="D7281" t="str">
        <f>HYPERLINK("http://service.sap.com/sap/support/notes/1708460","1708460")</f>
        <v>1708460</v>
      </c>
      <c r="E7281">
        <v>1</v>
      </c>
      <c r="F7281" t="s">
        <v>8698</v>
      </c>
    </row>
    <row r="7282" spans="1:6" x14ac:dyDescent="0.25">
      <c r="A7282" t="s">
        <v>7749</v>
      </c>
      <c r="B7282" t="s">
        <v>8695</v>
      </c>
      <c r="C7282" t="s">
        <v>1314</v>
      </c>
      <c r="D7282" t="str">
        <f>HYPERLINK("http://service.sap.com/sap/support/notes/1716579","1716579")</f>
        <v>1716579</v>
      </c>
      <c r="E7282">
        <v>1</v>
      </c>
      <c r="F7282" t="s">
        <v>8699</v>
      </c>
    </row>
    <row r="7283" spans="1:6" x14ac:dyDescent="0.25">
      <c r="A7283" t="s">
        <v>7749</v>
      </c>
      <c r="B7283" t="s">
        <v>8695</v>
      </c>
      <c r="C7283" t="s">
        <v>1314</v>
      </c>
      <c r="D7283" t="str">
        <f>HYPERLINK("http://service.sap.com/sap/support/notes/1720045","1720045")</f>
        <v>1720045</v>
      </c>
      <c r="E7283">
        <v>1</v>
      </c>
      <c r="F7283" t="s">
        <v>8700</v>
      </c>
    </row>
    <row r="7284" spans="1:6" x14ac:dyDescent="0.25">
      <c r="A7284" t="s">
        <v>7749</v>
      </c>
      <c r="B7284" t="s">
        <v>6869</v>
      </c>
      <c r="C7284" t="s">
        <v>6870</v>
      </c>
    </row>
    <row r="7285" spans="1:6" x14ac:dyDescent="0.25">
      <c r="A7285" t="s">
        <v>7749</v>
      </c>
      <c r="B7285" t="s">
        <v>8701</v>
      </c>
      <c r="C7285" t="s">
        <v>8702</v>
      </c>
      <c r="D7285" t="str">
        <f>HYPERLINK("http://service.sap.com/sap/support/notes/1704152","1704152")</f>
        <v>1704152</v>
      </c>
      <c r="E7285">
        <v>2</v>
      </c>
      <c r="F7285" t="s">
        <v>8703</v>
      </c>
    </row>
    <row r="7286" spans="1:6" x14ac:dyDescent="0.25">
      <c r="A7286" t="s">
        <v>7749</v>
      </c>
      <c r="B7286" t="s">
        <v>6871</v>
      </c>
      <c r="C7286" t="s">
        <v>6872</v>
      </c>
      <c r="D7286" t="str">
        <f>HYPERLINK("http://service.sap.com/sap/support/notes/1715094","1715094")</f>
        <v>1715094</v>
      </c>
      <c r="E7286">
        <v>2</v>
      </c>
      <c r="F7286" t="s">
        <v>8704</v>
      </c>
    </row>
    <row r="7287" spans="1:6" x14ac:dyDescent="0.25">
      <c r="A7287" t="s">
        <v>7749</v>
      </c>
      <c r="B7287" t="s">
        <v>723</v>
      </c>
      <c r="C7287" t="s">
        <v>724</v>
      </c>
      <c r="D7287" t="str">
        <f>HYPERLINK("http://service.sap.com/sap/support/notes/1652520","1652520")</f>
        <v>1652520</v>
      </c>
      <c r="E7287">
        <v>3</v>
      </c>
      <c r="F7287" t="s">
        <v>8705</v>
      </c>
    </row>
    <row r="7288" spans="1:6" x14ac:dyDescent="0.25">
      <c r="A7288" t="s">
        <v>7749</v>
      </c>
      <c r="B7288" t="s">
        <v>723</v>
      </c>
      <c r="C7288" t="s">
        <v>724</v>
      </c>
      <c r="D7288" t="str">
        <f>HYPERLINK("http://service.sap.com/sap/support/notes/1712550","1712550")</f>
        <v>1712550</v>
      </c>
      <c r="E7288">
        <v>4</v>
      </c>
      <c r="F7288" t="s">
        <v>8706</v>
      </c>
    </row>
    <row r="7289" spans="1:6" x14ac:dyDescent="0.25">
      <c r="A7289" t="s">
        <v>7749</v>
      </c>
      <c r="B7289" t="s">
        <v>723</v>
      </c>
      <c r="C7289" t="s">
        <v>724</v>
      </c>
      <c r="D7289" t="str">
        <f>HYPERLINK("http://service.sap.com/sap/support/notes/1713153","1713153")</f>
        <v>1713153</v>
      </c>
      <c r="E7289">
        <v>1</v>
      </c>
      <c r="F7289" t="s">
        <v>8707</v>
      </c>
    </row>
    <row r="7290" spans="1:6" x14ac:dyDescent="0.25">
      <c r="A7290" t="s">
        <v>7749</v>
      </c>
      <c r="B7290" t="s">
        <v>8708</v>
      </c>
      <c r="C7290" t="s">
        <v>8709</v>
      </c>
      <c r="D7290" t="str">
        <f>HYPERLINK("http://service.sap.com/sap/support/notes/1718494","1718494")</f>
        <v>1718494</v>
      </c>
      <c r="E7290">
        <v>2</v>
      </c>
      <c r="F7290" t="s">
        <v>8710</v>
      </c>
    </row>
    <row r="7291" spans="1:6" x14ac:dyDescent="0.25">
      <c r="A7291" t="s">
        <v>7749</v>
      </c>
      <c r="B7291" t="s">
        <v>3594</v>
      </c>
      <c r="C7291" t="s">
        <v>3595</v>
      </c>
      <c r="D7291" t="str">
        <f>HYPERLINK("http://service.sap.com/sap/support/notes/1704309","1704309")</f>
        <v>1704309</v>
      </c>
      <c r="E7291">
        <v>1</v>
      </c>
      <c r="F7291" t="s">
        <v>8711</v>
      </c>
    </row>
    <row r="7292" spans="1:6" x14ac:dyDescent="0.25">
      <c r="A7292" t="s">
        <v>7749</v>
      </c>
      <c r="B7292" t="s">
        <v>729</v>
      </c>
      <c r="C7292" t="s">
        <v>730</v>
      </c>
      <c r="D7292" t="str">
        <f>HYPERLINK("http://service.sap.com/sap/support/notes/1724132","1724132")</f>
        <v>1724132</v>
      </c>
      <c r="E7292">
        <v>1</v>
      </c>
      <c r="F7292" t="s">
        <v>8712</v>
      </c>
    </row>
    <row r="7293" spans="1:6" x14ac:dyDescent="0.25">
      <c r="A7293" t="s">
        <v>7749</v>
      </c>
      <c r="B7293" t="s">
        <v>732</v>
      </c>
      <c r="C7293" t="s">
        <v>733</v>
      </c>
    </row>
    <row r="7294" spans="1:6" x14ac:dyDescent="0.25">
      <c r="A7294" t="s">
        <v>7749</v>
      </c>
      <c r="B7294" t="s">
        <v>3607</v>
      </c>
      <c r="C7294" t="s">
        <v>3608</v>
      </c>
      <c r="D7294" t="str">
        <f>HYPERLINK("http://service.sap.com/sap/support/notes/1701330","1701330")</f>
        <v>1701330</v>
      </c>
      <c r="E7294">
        <v>1</v>
      </c>
      <c r="F7294" t="s">
        <v>8713</v>
      </c>
    </row>
    <row r="7295" spans="1:6" x14ac:dyDescent="0.25">
      <c r="A7295" t="s">
        <v>7749</v>
      </c>
      <c r="B7295" t="s">
        <v>3607</v>
      </c>
      <c r="C7295" t="s">
        <v>3608</v>
      </c>
      <c r="D7295" t="str">
        <f>HYPERLINK("http://service.sap.com/sap/support/notes/1707305","1707305")</f>
        <v>1707305</v>
      </c>
      <c r="E7295">
        <v>3</v>
      </c>
      <c r="F7295" t="s">
        <v>8714</v>
      </c>
    </row>
    <row r="7296" spans="1:6" x14ac:dyDescent="0.25">
      <c r="A7296" t="s">
        <v>7749</v>
      </c>
      <c r="B7296" t="s">
        <v>3613</v>
      </c>
      <c r="C7296" t="s">
        <v>3614</v>
      </c>
      <c r="D7296" t="str">
        <f>HYPERLINK("http://service.sap.com/sap/support/notes/1623742","1623742")</f>
        <v>1623742</v>
      </c>
      <c r="E7296">
        <v>1</v>
      </c>
      <c r="F7296" t="s">
        <v>3616</v>
      </c>
    </row>
    <row r="7297" spans="1:6" x14ac:dyDescent="0.25">
      <c r="A7297" t="s">
        <v>7749</v>
      </c>
      <c r="B7297" t="s">
        <v>3613</v>
      </c>
      <c r="C7297" t="s">
        <v>3614</v>
      </c>
      <c r="D7297" t="str">
        <f>HYPERLINK("http://service.sap.com/sap/support/notes/1676680","1676680")</f>
        <v>1676680</v>
      </c>
      <c r="E7297">
        <v>3</v>
      </c>
      <c r="F7297" t="s">
        <v>8715</v>
      </c>
    </row>
    <row r="7298" spans="1:6" x14ac:dyDescent="0.25">
      <c r="A7298" t="s">
        <v>7749</v>
      </c>
      <c r="B7298" t="s">
        <v>3621</v>
      </c>
      <c r="C7298" t="s">
        <v>672</v>
      </c>
      <c r="D7298" t="str">
        <f>HYPERLINK("http://service.sap.com/sap/support/notes/1710847","1710847")</f>
        <v>1710847</v>
      </c>
      <c r="E7298">
        <v>1</v>
      </c>
      <c r="F7298" t="s">
        <v>8716</v>
      </c>
    </row>
    <row r="7299" spans="1:6" x14ac:dyDescent="0.25">
      <c r="A7299" t="s">
        <v>7749</v>
      </c>
      <c r="B7299" t="s">
        <v>3625</v>
      </c>
      <c r="C7299" t="s">
        <v>651</v>
      </c>
      <c r="D7299" t="str">
        <f>HYPERLINK("http://service.sap.com/sap/support/notes/1728313","1728313")</f>
        <v>1728313</v>
      </c>
      <c r="E7299">
        <v>3</v>
      </c>
      <c r="F7299" t="s">
        <v>8717</v>
      </c>
    </row>
    <row r="7300" spans="1:6" x14ac:dyDescent="0.25">
      <c r="A7300" t="s">
        <v>7749</v>
      </c>
      <c r="B7300" t="s">
        <v>3631</v>
      </c>
      <c r="C7300" t="s">
        <v>170</v>
      </c>
      <c r="D7300" t="str">
        <f>HYPERLINK("http://service.sap.com/sap/support/notes/1689389","1689389")</f>
        <v>1689389</v>
      </c>
      <c r="E7300">
        <v>4</v>
      </c>
      <c r="F7300" t="s">
        <v>8718</v>
      </c>
    </row>
    <row r="7301" spans="1:6" x14ac:dyDescent="0.25">
      <c r="A7301" t="s">
        <v>7749</v>
      </c>
      <c r="B7301" t="s">
        <v>3631</v>
      </c>
      <c r="C7301" t="s">
        <v>170</v>
      </c>
      <c r="D7301" t="str">
        <f>HYPERLINK("http://service.sap.com/sap/support/notes/1698222","1698222")</f>
        <v>1698222</v>
      </c>
      <c r="E7301">
        <v>2</v>
      </c>
      <c r="F7301" t="s">
        <v>8719</v>
      </c>
    </row>
    <row r="7302" spans="1:6" x14ac:dyDescent="0.25">
      <c r="A7302" t="s">
        <v>7749</v>
      </c>
      <c r="B7302" t="s">
        <v>734</v>
      </c>
      <c r="C7302" t="s">
        <v>735</v>
      </c>
      <c r="D7302" t="str">
        <f>HYPERLINK("http://service.sap.com/sap/support/notes/1707270","1707270")</f>
        <v>1707270</v>
      </c>
      <c r="E7302">
        <v>1</v>
      </c>
      <c r="F7302" t="s">
        <v>8720</v>
      </c>
    </row>
    <row r="7303" spans="1:6" x14ac:dyDescent="0.25">
      <c r="A7303" t="s">
        <v>7749</v>
      </c>
      <c r="B7303" t="s">
        <v>734</v>
      </c>
      <c r="C7303" t="s">
        <v>735</v>
      </c>
      <c r="D7303" t="str">
        <f>HYPERLINK("http://service.sap.com/sap/support/notes/1709395","1709395")</f>
        <v>1709395</v>
      </c>
      <c r="E7303">
        <v>1</v>
      </c>
      <c r="F7303" t="s">
        <v>8721</v>
      </c>
    </row>
    <row r="7304" spans="1:6" x14ac:dyDescent="0.25">
      <c r="A7304" t="s">
        <v>7749</v>
      </c>
      <c r="B7304" t="s">
        <v>734</v>
      </c>
      <c r="C7304" t="s">
        <v>735</v>
      </c>
      <c r="D7304" t="str">
        <f>HYPERLINK("http://service.sap.com/sap/support/notes/1724884","1724884")</f>
        <v>1724884</v>
      </c>
      <c r="E7304">
        <v>1</v>
      </c>
      <c r="F7304" t="s">
        <v>8722</v>
      </c>
    </row>
    <row r="7305" spans="1:6" x14ac:dyDescent="0.25">
      <c r="A7305" t="s">
        <v>7749</v>
      </c>
      <c r="B7305" t="s">
        <v>3635</v>
      </c>
      <c r="C7305" t="s">
        <v>651</v>
      </c>
      <c r="D7305" t="str">
        <f>HYPERLINK("http://service.sap.com/sap/support/notes/1709622","1709622")</f>
        <v>1709622</v>
      </c>
      <c r="E7305">
        <v>1</v>
      </c>
      <c r="F7305" t="s">
        <v>8723</v>
      </c>
    </row>
    <row r="7306" spans="1:6" x14ac:dyDescent="0.25">
      <c r="A7306" t="s">
        <v>7749</v>
      </c>
      <c r="B7306" t="s">
        <v>3637</v>
      </c>
      <c r="C7306" t="s">
        <v>3638</v>
      </c>
      <c r="D7306" t="str">
        <f>HYPERLINK("http://service.sap.com/sap/support/notes/1718431","1718431")</f>
        <v>1718431</v>
      </c>
      <c r="E7306">
        <v>1</v>
      </c>
      <c r="F7306" t="s">
        <v>8724</v>
      </c>
    </row>
    <row r="7307" spans="1:6" x14ac:dyDescent="0.25">
      <c r="A7307" t="s">
        <v>7749</v>
      </c>
      <c r="B7307" t="s">
        <v>3640</v>
      </c>
      <c r="C7307" t="s">
        <v>3641</v>
      </c>
    </row>
    <row r="7308" spans="1:6" x14ac:dyDescent="0.25">
      <c r="A7308" t="s">
        <v>7749</v>
      </c>
      <c r="B7308" t="s">
        <v>3645</v>
      </c>
      <c r="C7308" t="s">
        <v>1845</v>
      </c>
      <c r="D7308" t="str">
        <f>HYPERLINK("http://service.sap.com/sap/support/notes/1706173","1706173")</f>
        <v>1706173</v>
      </c>
      <c r="E7308">
        <v>1</v>
      </c>
      <c r="F7308" t="s">
        <v>8725</v>
      </c>
    </row>
    <row r="7309" spans="1:6" x14ac:dyDescent="0.25">
      <c r="A7309" t="s">
        <v>7749</v>
      </c>
      <c r="B7309" t="s">
        <v>3645</v>
      </c>
      <c r="C7309" t="s">
        <v>1845</v>
      </c>
      <c r="D7309" t="str">
        <f>HYPERLINK("http://service.sap.com/sap/support/notes/1709221","1709221")</f>
        <v>1709221</v>
      </c>
      <c r="E7309">
        <v>3</v>
      </c>
      <c r="F7309" t="s">
        <v>8726</v>
      </c>
    </row>
    <row r="7310" spans="1:6" x14ac:dyDescent="0.25">
      <c r="A7310" t="s">
        <v>7749</v>
      </c>
      <c r="B7310" t="s">
        <v>8727</v>
      </c>
      <c r="C7310" t="s">
        <v>1408</v>
      </c>
      <c r="D7310" t="str">
        <f>HYPERLINK("http://service.sap.com/sap/support/notes/1716532","1716532")</f>
        <v>1716532</v>
      </c>
      <c r="E7310">
        <v>1</v>
      </c>
      <c r="F7310" t="s">
        <v>8728</v>
      </c>
    </row>
    <row r="7311" spans="1:6" x14ac:dyDescent="0.25">
      <c r="A7311" t="s">
        <v>7749</v>
      </c>
      <c r="B7311" t="s">
        <v>737</v>
      </c>
      <c r="C7311" t="s">
        <v>738</v>
      </c>
    </row>
    <row r="7312" spans="1:6" x14ac:dyDescent="0.25">
      <c r="A7312" t="s">
        <v>7749</v>
      </c>
      <c r="B7312" t="s">
        <v>739</v>
      </c>
      <c r="C7312" t="s">
        <v>740</v>
      </c>
      <c r="D7312" t="str">
        <f>HYPERLINK("http://service.sap.com/sap/support/notes/1716279","1716279")</f>
        <v>1716279</v>
      </c>
      <c r="E7312">
        <v>2</v>
      </c>
      <c r="F7312" t="s">
        <v>8729</v>
      </c>
    </row>
    <row r="7313" spans="1:6" x14ac:dyDescent="0.25">
      <c r="A7313" t="s">
        <v>7749</v>
      </c>
      <c r="B7313" t="s">
        <v>3657</v>
      </c>
      <c r="C7313" t="s">
        <v>284</v>
      </c>
      <c r="D7313" t="str">
        <f>HYPERLINK("http://service.sap.com/sap/support/notes/680695","680695")</f>
        <v>680695</v>
      </c>
      <c r="E7313">
        <v>9</v>
      </c>
      <c r="F7313" t="s">
        <v>8730</v>
      </c>
    </row>
    <row r="7314" spans="1:6" x14ac:dyDescent="0.25">
      <c r="A7314" t="s">
        <v>7749</v>
      </c>
      <c r="B7314" t="s">
        <v>3658</v>
      </c>
      <c r="C7314" t="s">
        <v>3659</v>
      </c>
      <c r="D7314" t="str">
        <f>HYPERLINK("http://service.sap.com/sap/support/notes/1680573","1680573")</f>
        <v>1680573</v>
      </c>
      <c r="E7314">
        <v>2</v>
      </c>
      <c r="F7314" t="s">
        <v>2467</v>
      </c>
    </row>
    <row r="7315" spans="1:6" x14ac:dyDescent="0.25">
      <c r="A7315" t="s">
        <v>7749</v>
      </c>
      <c r="B7315" t="s">
        <v>3658</v>
      </c>
      <c r="C7315" t="s">
        <v>3659</v>
      </c>
      <c r="D7315" t="str">
        <f>HYPERLINK("http://service.sap.com/sap/support/notes/1681363","1681363")</f>
        <v>1681363</v>
      </c>
      <c r="E7315">
        <v>1</v>
      </c>
      <c r="F7315" t="s">
        <v>8731</v>
      </c>
    </row>
    <row r="7316" spans="1:6" x14ac:dyDescent="0.25">
      <c r="A7316" t="s">
        <v>7749</v>
      </c>
      <c r="B7316" t="s">
        <v>3658</v>
      </c>
      <c r="C7316" t="s">
        <v>3659</v>
      </c>
      <c r="D7316" t="str">
        <f>HYPERLINK("http://service.sap.com/sap/support/notes/1701920","1701920")</f>
        <v>1701920</v>
      </c>
      <c r="E7316">
        <v>1</v>
      </c>
      <c r="F7316" t="s">
        <v>8732</v>
      </c>
    </row>
    <row r="7317" spans="1:6" x14ac:dyDescent="0.25">
      <c r="A7317" t="s">
        <v>7749</v>
      </c>
      <c r="B7317" t="s">
        <v>3658</v>
      </c>
      <c r="C7317" t="s">
        <v>3659</v>
      </c>
      <c r="D7317" t="str">
        <f>HYPERLINK("http://service.sap.com/sap/support/notes/1707695","1707695")</f>
        <v>1707695</v>
      </c>
      <c r="E7317">
        <v>1</v>
      </c>
      <c r="F7317" t="s">
        <v>8733</v>
      </c>
    </row>
    <row r="7318" spans="1:6" x14ac:dyDescent="0.25">
      <c r="A7318" t="s">
        <v>7749</v>
      </c>
      <c r="B7318" t="s">
        <v>3658</v>
      </c>
      <c r="C7318" t="s">
        <v>3659</v>
      </c>
      <c r="D7318" t="str">
        <f>HYPERLINK("http://service.sap.com/sap/support/notes/1708206","1708206")</f>
        <v>1708206</v>
      </c>
      <c r="E7318">
        <v>3</v>
      </c>
      <c r="F7318" t="s">
        <v>8734</v>
      </c>
    </row>
    <row r="7319" spans="1:6" x14ac:dyDescent="0.25">
      <c r="A7319" t="s">
        <v>7749</v>
      </c>
      <c r="B7319" t="s">
        <v>3658</v>
      </c>
      <c r="C7319" t="s">
        <v>3659</v>
      </c>
      <c r="D7319" t="str">
        <f>HYPERLINK("http://service.sap.com/sap/support/notes/1719731","1719731")</f>
        <v>1719731</v>
      </c>
      <c r="E7319">
        <v>2</v>
      </c>
      <c r="F7319" t="s">
        <v>8735</v>
      </c>
    </row>
    <row r="7320" spans="1:6" x14ac:dyDescent="0.25">
      <c r="A7320" t="s">
        <v>7749</v>
      </c>
      <c r="B7320" t="s">
        <v>3658</v>
      </c>
      <c r="C7320" t="s">
        <v>3659</v>
      </c>
      <c r="D7320" t="str">
        <f>HYPERLINK("http://service.sap.com/sap/support/notes/1722015","1722015")</f>
        <v>1722015</v>
      </c>
      <c r="E7320">
        <v>2</v>
      </c>
      <c r="F7320" t="s">
        <v>8736</v>
      </c>
    </row>
    <row r="7321" spans="1:6" x14ac:dyDescent="0.25">
      <c r="A7321" t="s">
        <v>7749</v>
      </c>
      <c r="B7321" t="s">
        <v>3658</v>
      </c>
      <c r="C7321" t="s">
        <v>3659</v>
      </c>
      <c r="D7321" t="str">
        <f>HYPERLINK("http://service.sap.com/sap/support/notes/1725433","1725433")</f>
        <v>1725433</v>
      </c>
      <c r="E7321">
        <v>1</v>
      </c>
      <c r="F7321" t="s">
        <v>8737</v>
      </c>
    </row>
    <row r="7322" spans="1:6" x14ac:dyDescent="0.25">
      <c r="A7322" t="s">
        <v>7749</v>
      </c>
      <c r="B7322" t="s">
        <v>3674</v>
      </c>
      <c r="C7322" t="s">
        <v>3675</v>
      </c>
      <c r="D7322" t="str">
        <f>HYPERLINK("http://service.sap.com/sap/support/notes/1696028","1696028")</f>
        <v>1696028</v>
      </c>
      <c r="E7322">
        <v>1</v>
      </c>
      <c r="F7322" t="s">
        <v>8738</v>
      </c>
    </row>
    <row r="7323" spans="1:6" x14ac:dyDescent="0.25">
      <c r="A7323" t="s">
        <v>7749</v>
      </c>
      <c r="B7323" t="s">
        <v>3674</v>
      </c>
      <c r="C7323" t="s">
        <v>3675</v>
      </c>
      <c r="D7323" t="str">
        <f>HYPERLINK("http://service.sap.com/sap/support/notes/1700770","1700770")</f>
        <v>1700770</v>
      </c>
      <c r="E7323">
        <v>1</v>
      </c>
      <c r="F7323" t="s">
        <v>8739</v>
      </c>
    </row>
    <row r="7324" spans="1:6" x14ac:dyDescent="0.25">
      <c r="A7324" t="s">
        <v>7749</v>
      </c>
      <c r="B7324" t="s">
        <v>3674</v>
      </c>
      <c r="C7324" t="s">
        <v>3675</v>
      </c>
      <c r="D7324" t="str">
        <f>HYPERLINK("http://service.sap.com/sap/support/notes/1703406","1703406")</f>
        <v>1703406</v>
      </c>
      <c r="E7324">
        <v>2</v>
      </c>
      <c r="F7324" t="s">
        <v>8740</v>
      </c>
    </row>
    <row r="7325" spans="1:6" x14ac:dyDescent="0.25">
      <c r="A7325" t="s">
        <v>7749</v>
      </c>
      <c r="B7325" t="s">
        <v>3674</v>
      </c>
      <c r="C7325" t="s">
        <v>3675</v>
      </c>
      <c r="D7325" t="str">
        <f>HYPERLINK("http://service.sap.com/sap/support/notes/1718108","1718108")</f>
        <v>1718108</v>
      </c>
      <c r="E7325">
        <v>2</v>
      </c>
      <c r="F7325" t="s">
        <v>8741</v>
      </c>
    </row>
    <row r="7326" spans="1:6" x14ac:dyDescent="0.25">
      <c r="A7326" t="s">
        <v>7749</v>
      </c>
      <c r="B7326" t="s">
        <v>3674</v>
      </c>
      <c r="C7326" t="s">
        <v>3675</v>
      </c>
      <c r="D7326" t="str">
        <f>HYPERLINK("http://service.sap.com/sap/support/notes/1722094","1722094")</f>
        <v>1722094</v>
      </c>
      <c r="E7326">
        <v>1</v>
      </c>
      <c r="F7326" t="s">
        <v>8742</v>
      </c>
    </row>
    <row r="7327" spans="1:6" x14ac:dyDescent="0.25">
      <c r="A7327" t="s">
        <v>7749</v>
      </c>
      <c r="B7327" t="s">
        <v>3674</v>
      </c>
      <c r="C7327" t="s">
        <v>3675</v>
      </c>
      <c r="D7327" t="str">
        <f>HYPERLINK("http://service.sap.com/sap/support/notes/1723385","1723385")</f>
        <v>1723385</v>
      </c>
      <c r="E7327">
        <v>1</v>
      </c>
      <c r="F7327" t="s">
        <v>8743</v>
      </c>
    </row>
    <row r="7328" spans="1:6" x14ac:dyDescent="0.25">
      <c r="A7328" t="s">
        <v>7749</v>
      </c>
      <c r="B7328" t="s">
        <v>3687</v>
      </c>
      <c r="C7328" t="s">
        <v>3688</v>
      </c>
      <c r="D7328" t="str">
        <f>HYPERLINK("http://service.sap.com/sap/support/notes/1709370","1709370")</f>
        <v>1709370</v>
      </c>
      <c r="E7328">
        <v>2</v>
      </c>
      <c r="F7328" t="s">
        <v>8744</v>
      </c>
    </row>
    <row r="7329" spans="1:6" x14ac:dyDescent="0.25">
      <c r="A7329" t="s">
        <v>7749</v>
      </c>
      <c r="B7329" t="s">
        <v>743</v>
      </c>
      <c r="C7329" t="s">
        <v>744</v>
      </c>
      <c r="D7329" t="str">
        <f>HYPERLINK("http://service.sap.com/sap/support/notes/1245928","1245928")</f>
        <v>1245928</v>
      </c>
      <c r="E7329">
        <v>6</v>
      </c>
      <c r="F7329" t="s">
        <v>8745</v>
      </c>
    </row>
    <row r="7330" spans="1:6" x14ac:dyDescent="0.25">
      <c r="A7330" t="s">
        <v>7749</v>
      </c>
      <c r="B7330" t="s">
        <v>743</v>
      </c>
      <c r="C7330" t="s">
        <v>744</v>
      </c>
      <c r="D7330" t="str">
        <f>HYPERLINK("http://service.sap.com/sap/support/notes/1699365","1699365")</f>
        <v>1699365</v>
      </c>
      <c r="E7330">
        <v>2</v>
      </c>
      <c r="F7330" t="s">
        <v>8746</v>
      </c>
    </row>
    <row r="7331" spans="1:6" x14ac:dyDescent="0.25">
      <c r="A7331" t="s">
        <v>7749</v>
      </c>
      <c r="B7331" t="s">
        <v>743</v>
      </c>
      <c r="C7331" t="s">
        <v>744</v>
      </c>
      <c r="D7331" t="str">
        <f>HYPERLINK("http://service.sap.com/sap/support/notes/1702328","1702328")</f>
        <v>1702328</v>
      </c>
      <c r="E7331">
        <v>1</v>
      </c>
      <c r="F7331" t="s">
        <v>8747</v>
      </c>
    </row>
    <row r="7332" spans="1:6" x14ac:dyDescent="0.25">
      <c r="A7332" t="s">
        <v>7749</v>
      </c>
      <c r="B7332" t="s">
        <v>743</v>
      </c>
      <c r="C7332" t="s">
        <v>744</v>
      </c>
      <c r="D7332" t="str">
        <f>HYPERLINK("http://service.sap.com/sap/support/notes/1702645","1702645")</f>
        <v>1702645</v>
      </c>
      <c r="E7332">
        <v>2</v>
      </c>
      <c r="F7332" t="s">
        <v>8748</v>
      </c>
    </row>
    <row r="7333" spans="1:6" x14ac:dyDescent="0.25">
      <c r="A7333" t="s">
        <v>7749</v>
      </c>
      <c r="B7333" t="s">
        <v>743</v>
      </c>
      <c r="C7333" t="s">
        <v>744</v>
      </c>
      <c r="D7333" t="str">
        <f>HYPERLINK("http://service.sap.com/sap/support/notes/1704730","1704730")</f>
        <v>1704730</v>
      </c>
      <c r="E7333">
        <v>1</v>
      </c>
      <c r="F7333" t="s">
        <v>8749</v>
      </c>
    </row>
    <row r="7334" spans="1:6" x14ac:dyDescent="0.25">
      <c r="A7334" t="s">
        <v>7749</v>
      </c>
      <c r="B7334" t="s">
        <v>743</v>
      </c>
      <c r="C7334" t="s">
        <v>744</v>
      </c>
      <c r="D7334" t="str">
        <f>HYPERLINK("http://service.sap.com/sap/support/notes/1706077","1706077")</f>
        <v>1706077</v>
      </c>
      <c r="E7334">
        <v>2</v>
      </c>
      <c r="F7334" t="s">
        <v>8750</v>
      </c>
    </row>
    <row r="7335" spans="1:6" x14ac:dyDescent="0.25">
      <c r="A7335" t="s">
        <v>7749</v>
      </c>
      <c r="B7335" t="s">
        <v>743</v>
      </c>
      <c r="C7335" t="s">
        <v>744</v>
      </c>
      <c r="D7335" t="str">
        <f>HYPERLINK("http://service.sap.com/sap/support/notes/1708050","1708050")</f>
        <v>1708050</v>
      </c>
      <c r="E7335">
        <v>2</v>
      </c>
      <c r="F7335" t="s">
        <v>8751</v>
      </c>
    </row>
    <row r="7336" spans="1:6" x14ac:dyDescent="0.25">
      <c r="A7336" t="s">
        <v>7749</v>
      </c>
      <c r="B7336" t="s">
        <v>743</v>
      </c>
      <c r="C7336" t="s">
        <v>744</v>
      </c>
      <c r="D7336" t="str">
        <f>HYPERLINK("http://service.sap.com/sap/support/notes/1709285","1709285")</f>
        <v>1709285</v>
      </c>
      <c r="E7336">
        <v>1</v>
      </c>
      <c r="F7336" t="s">
        <v>8752</v>
      </c>
    </row>
    <row r="7337" spans="1:6" x14ac:dyDescent="0.25">
      <c r="A7337" t="s">
        <v>7749</v>
      </c>
      <c r="B7337" t="s">
        <v>743</v>
      </c>
      <c r="C7337" t="s">
        <v>744</v>
      </c>
      <c r="D7337" t="str">
        <f>HYPERLINK("http://service.sap.com/sap/support/notes/1710949","1710949")</f>
        <v>1710949</v>
      </c>
      <c r="E7337">
        <v>2</v>
      </c>
      <c r="F7337" t="s">
        <v>8753</v>
      </c>
    </row>
    <row r="7338" spans="1:6" x14ac:dyDescent="0.25">
      <c r="A7338" t="s">
        <v>7749</v>
      </c>
      <c r="B7338" t="s">
        <v>743</v>
      </c>
      <c r="C7338" t="s">
        <v>744</v>
      </c>
      <c r="D7338" t="str">
        <f>HYPERLINK("http://service.sap.com/sap/support/notes/1713052","1713052")</f>
        <v>1713052</v>
      </c>
      <c r="E7338">
        <v>1</v>
      </c>
      <c r="F7338" t="s">
        <v>8754</v>
      </c>
    </row>
    <row r="7339" spans="1:6" x14ac:dyDescent="0.25">
      <c r="A7339" t="s">
        <v>7749</v>
      </c>
      <c r="B7339" t="s">
        <v>743</v>
      </c>
      <c r="C7339" t="s">
        <v>744</v>
      </c>
      <c r="D7339" t="str">
        <f>HYPERLINK("http://service.sap.com/sap/support/notes/1713342","1713342")</f>
        <v>1713342</v>
      </c>
      <c r="E7339">
        <v>4</v>
      </c>
      <c r="F7339" t="s">
        <v>8755</v>
      </c>
    </row>
    <row r="7340" spans="1:6" x14ac:dyDescent="0.25">
      <c r="A7340" t="s">
        <v>7749</v>
      </c>
      <c r="B7340" t="s">
        <v>743</v>
      </c>
      <c r="C7340" t="s">
        <v>744</v>
      </c>
      <c r="D7340" t="str">
        <f>HYPERLINK("http://service.sap.com/sap/support/notes/1715187","1715187")</f>
        <v>1715187</v>
      </c>
      <c r="E7340">
        <v>1</v>
      </c>
      <c r="F7340" t="s">
        <v>8756</v>
      </c>
    </row>
    <row r="7341" spans="1:6" x14ac:dyDescent="0.25">
      <c r="A7341" t="s">
        <v>7749</v>
      </c>
      <c r="B7341" t="s">
        <v>743</v>
      </c>
      <c r="C7341" t="s">
        <v>744</v>
      </c>
      <c r="D7341" t="str">
        <f>HYPERLINK("http://service.sap.com/sap/support/notes/1717151","1717151")</f>
        <v>1717151</v>
      </c>
      <c r="E7341">
        <v>1</v>
      </c>
      <c r="F7341" t="s">
        <v>8757</v>
      </c>
    </row>
    <row r="7342" spans="1:6" x14ac:dyDescent="0.25">
      <c r="A7342" t="s">
        <v>7749</v>
      </c>
      <c r="B7342" t="s">
        <v>743</v>
      </c>
      <c r="C7342" t="s">
        <v>744</v>
      </c>
      <c r="D7342" t="str">
        <f>HYPERLINK("http://service.sap.com/sap/support/notes/1720549","1720549")</f>
        <v>1720549</v>
      </c>
      <c r="E7342">
        <v>1</v>
      </c>
      <c r="F7342" t="s">
        <v>8758</v>
      </c>
    </row>
    <row r="7343" spans="1:6" x14ac:dyDescent="0.25">
      <c r="A7343" t="s">
        <v>7749</v>
      </c>
      <c r="B7343" t="s">
        <v>743</v>
      </c>
      <c r="C7343" t="s">
        <v>744</v>
      </c>
      <c r="D7343" t="str">
        <f>HYPERLINK("http://service.sap.com/sap/support/notes/1722190","1722190")</f>
        <v>1722190</v>
      </c>
      <c r="E7343">
        <v>2</v>
      </c>
      <c r="F7343" t="s">
        <v>6907</v>
      </c>
    </row>
    <row r="7344" spans="1:6" x14ac:dyDescent="0.25">
      <c r="A7344" t="s">
        <v>7749</v>
      </c>
      <c r="B7344" t="s">
        <v>743</v>
      </c>
      <c r="C7344" t="s">
        <v>744</v>
      </c>
      <c r="D7344" t="str">
        <f>HYPERLINK("http://service.sap.com/sap/support/notes/1723333","1723333")</f>
        <v>1723333</v>
      </c>
      <c r="E7344">
        <v>1</v>
      </c>
      <c r="F7344" t="s">
        <v>8759</v>
      </c>
    </row>
    <row r="7345" spans="1:6" x14ac:dyDescent="0.25">
      <c r="A7345" t="s">
        <v>7749</v>
      </c>
      <c r="B7345" t="s">
        <v>743</v>
      </c>
      <c r="C7345" t="s">
        <v>744</v>
      </c>
      <c r="D7345" t="str">
        <f>HYPERLINK("http://service.sap.com/sap/support/notes/1724104","1724104")</f>
        <v>1724104</v>
      </c>
      <c r="E7345">
        <v>1</v>
      </c>
      <c r="F7345" t="s">
        <v>8760</v>
      </c>
    </row>
    <row r="7346" spans="1:6" x14ac:dyDescent="0.25">
      <c r="A7346" t="s">
        <v>7749</v>
      </c>
      <c r="B7346" t="s">
        <v>743</v>
      </c>
      <c r="C7346" t="s">
        <v>744</v>
      </c>
      <c r="D7346" t="str">
        <f>HYPERLINK("http://service.sap.com/sap/support/notes/1724464","1724464")</f>
        <v>1724464</v>
      </c>
      <c r="E7346">
        <v>1</v>
      </c>
      <c r="F7346" t="s">
        <v>8761</v>
      </c>
    </row>
    <row r="7347" spans="1:6" x14ac:dyDescent="0.25">
      <c r="A7347" t="s">
        <v>7749</v>
      </c>
      <c r="B7347" t="s">
        <v>8762</v>
      </c>
      <c r="C7347" t="s">
        <v>8763</v>
      </c>
      <c r="D7347" t="str">
        <f>HYPERLINK("http://service.sap.com/sap/support/notes/1707248","1707248")</f>
        <v>1707248</v>
      </c>
      <c r="E7347">
        <v>3</v>
      </c>
      <c r="F7347" t="s">
        <v>8764</v>
      </c>
    </row>
    <row r="7348" spans="1:6" x14ac:dyDescent="0.25">
      <c r="A7348" t="s">
        <v>7749</v>
      </c>
      <c r="B7348" t="s">
        <v>8762</v>
      </c>
      <c r="C7348" t="s">
        <v>8763</v>
      </c>
      <c r="D7348" t="str">
        <f>HYPERLINK("http://service.sap.com/sap/support/notes/1707647","1707647")</f>
        <v>1707647</v>
      </c>
      <c r="E7348">
        <v>3</v>
      </c>
      <c r="F7348" t="s">
        <v>8765</v>
      </c>
    </row>
    <row r="7349" spans="1:6" x14ac:dyDescent="0.25">
      <c r="A7349" t="s">
        <v>7749</v>
      </c>
      <c r="B7349" t="s">
        <v>8762</v>
      </c>
      <c r="C7349" t="s">
        <v>8763</v>
      </c>
      <c r="D7349" t="str">
        <f>HYPERLINK("http://service.sap.com/sap/support/notes/1724217","1724217")</f>
        <v>1724217</v>
      </c>
      <c r="E7349">
        <v>1</v>
      </c>
      <c r="F7349" t="s">
        <v>8766</v>
      </c>
    </row>
    <row r="7350" spans="1:6" x14ac:dyDescent="0.25">
      <c r="A7350" t="s">
        <v>7749</v>
      </c>
      <c r="B7350" t="s">
        <v>752</v>
      </c>
      <c r="C7350" t="s">
        <v>753</v>
      </c>
      <c r="D7350" t="str">
        <f>HYPERLINK("http://service.sap.com/sap/support/notes/1698852","1698852")</f>
        <v>1698852</v>
      </c>
      <c r="E7350">
        <v>3</v>
      </c>
      <c r="F7350" t="s">
        <v>8767</v>
      </c>
    </row>
    <row r="7351" spans="1:6" x14ac:dyDescent="0.25">
      <c r="A7351" t="s">
        <v>7749</v>
      </c>
      <c r="B7351" t="s">
        <v>752</v>
      </c>
      <c r="C7351" t="s">
        <v>753</v>
      </c>
      <c r="D7351" t="str">
        <f>HYPERLINK("http://service.sap.com/sap/support/notes/1701997","1701997")</f>
        <v>1701997</v>
      </c>
      <c r="E7351">
        <v>1</v>
      </c>
      <c r="F7351" t="s">
        <v>8768</v>
      </c>
    </row>
    <row r="7352" spans="1:6" x14ac:dyDescent="0.25">
      <c r="A7352" t="s">
        <v>7749</v>
      </c>
      <c r="B7352" t="s">
        <v>752</v>
      </c>
      <c r="C7352" t="s">
        <v>753</v>
      </c>
      <c r="D7352" t="str">
        <f>HYPERLINK("http://service.sap.com/sap/support/notes/1702926","1702926")</f>
        <v>1702926</v>
      </c>
      <c r="E7352">
        <v>1</v>
      </c>
      <c r="F7352" t="s">
        <v>8769</v>
      </c>
    </row>
    <row r="7353" spans="1:6" x14ac:dyDescent="0.25">
      <c r="A7353" t="s">
        <v>7749</v>
      </c>
      <c r="B7353" t="s">
        <v>752</v>
      </c>
      <c r="C7353" t="s">
        <v>753</v>
      </c>
      <c r="D7353" t="str">
        <f>HYPERLINK("http://service.sap.com/sap/support/notes/1715392","1715392")</f>
        <v>1715392</v>
      </c>
      <c r="E7353">
        <v>2</v>
      </c>
      <c r="F7353" t="s">
        <v>8770</v>
      </c>
    </row>
    <row r="7354" spans="1:6" x14ac:dyDescent="0.25">
      <c r="A7354" t="s">
        <v>7749</v>
      </c>
      <c r="B7354" t="s">
        <v>752</v>
      </c>
      <c r="C7354" t="s">
        <v>753</v>
      </c>
      <c r="D7354" t="str">
        <f>HYPERLINK("http://service.sap.com/sap/support/notes/1715436","1715436")</f>
        <v>1715436</v>
      </c>
      <c r="E7354">
        <v>1</v>
      </c>
      <c r="F7354" t="s">
        <v>8771</v>
      </c>
    </row>
    <row r="7355" spans="1:6" x14ac:dyDescent="0.25">
      <c r="A7355" t="s">
        <v>7749</v>
      </c>
      <c r="B7355" t="s">
        <v>755</v>
      </c>
      <c r="C7355" t="s">
        <v>756</v>
      </c>
      <c r="D7355" t="str">
        <f>HYPERLINK("http://service.sap.com/sap/support/notes/1679067","1679067")</f>
        <v>1679067</v>
      </c>
      <c r="E7355">
        <v>2</v>
      </c>
      <c r="F7355" t="s">
        <v>8772</v>
      </c>
    </row>
    <row r="7356" spans="1:6" x14ac:dyDescent="0.25">
      <c r="A7356" t="s">
        <v>7749</v>
      </c>
      <c r="B7356" t="s">
        <v>764</v>
      </c>
      <c r="C7356" t="s">
        <v>765</v>
      </c>
      <c r="D7356" t="str">
        <f>HYPERLINK("http://service.sap.com/sap/support/notes/1596053","1596053")</f>
        <v>1596053</v>
      </c>
      <c r="E7356">
        <v>2</v>
      </c>
      <c r="F7356" t="s">
        <v>8773</v>
      </c>
    </row>
    <row r="7357" spans="1:6" x14ac:dyDescent="0.25">
      <c r="A7357" t="s">
        <v>7749</v>
      </c>
      <c r="B7357" t="s">
        <v>764</v>
      </c>
      <c r="C7357" t="s">
        <v>765</v>
      </c>
      <c r="D7357" t="str">
        <f>HYPERLINK("http://service.sap.com/sap/support/notes/1602272","1602272")</f>
        <v>1602272</v>
      </c>
      <c r="E7357">
        <v>9</v>
      </c>
      <c r="F7357" t="s">
        <v>8774</v>
      </c>
    </row>
    <row r="7358" spans="1:6" x14ac:dyDescent="0.25">
      <c r="A7358" t="s">
        <v>7749</v>
      </c>
      <c r="B7358" t="s">
        <v>764</v>
      </c>
      <c r="C7358" t="s">
        <v>765</v>
      </c>
      <c r="D7358" t="str">
        <f>HYPERLINK("http://service.sap.com/sap/support/notes/1648732","1648732")</f>
        <v>1648732</v>
      </c>
      <c r="E7358">
        <v>2</v>
      </c>
      <c r="F7358" t="s">
        <v>8775</v>
      </c>
    </row>
    <row r="7359" spans="1:6" x14ac:dyDescent="0.25">
      <c r="A7359" t="s">
        <v>7749</v>
      </c>
      <c r="B7359" t="s">
        <v>764</v>
      </c>
      <c r="C7359" t="s">
        <v>765</v>
      </c>
      <c r="D7359" t="str">
        <f>HYPERLINK("http://service.sap.com/sap/support/notes/1660885","1660885")</f>
        <v>1660885</v>
      </c>
      <c r="E7359">
        <v>2</v>
      </c>
      <c r="F7359" t="s">
        <v>8776</v>
      </c>
    </row>
    <row r="7360" spans="1:6" x14ac:dyDescent="0.25">
      <c r="A7360" t="s">
        <v>7749</v>
      </c>
      <c r="B7360" t="s">
        <v>764</v>
      </c>
      <c r="C7360" t="s">
        <v>765</v>
      </c>
      <c r="D7360" t="str">
        <f>HYPERLINK("http://service.sap.com/sap/support/notes/1679818","1679818")</f>
        <v>1679818</v>
      </c>
      <c r="E7360">
        <v>4</v>
      </c>
      <c r="F7360" t="s">
        <v>8777</v>
      </c>
    </row>
    <row r="7361" spans="1:6" x14ac:dyDescent="0.25">
      <c r="A7361" t="s">
        <v>7749</v>
      </c>
      <c r="B7361" t="s">
        <v>764</v>
      </c>
      <c r="C7361" t="s">
        <v>765</v>
      </c>
      <c r="D7361" t="str">
        <f>HYPERLINK("http://service.sap.com/sap/support/notes/1687834","1687834")</f>
        <v>1687834</v>
      </c>
      <c r="E7361">
        <v>3</v>
      </c>
      <c r="F7361" t="s">
        <v>8778</v>
      </c>
    </row>
    <row r="7362" spans="1:6" x14ac:dyDescent="0.25">
      <c r="A7362" t="s">
        <v>7749</v>
      </c>
      <c r="B7362" t="s">
        <v>764</v>
      </c>
      <c r="C7362" t="s">
        <v>765</v>
      </c>
      <c r="D7362" t="str">
        <f>HYPERLINK("http://service.sap.com/sap/support/notes/1702646","1702646")</f>
        <v>1702646</v>
      </c>
      <c r="E7362">
        <v>1</v>
      </c>
      <c r="F7362" t="s">
        <v>8779</v>
      </c>
    </row>
    <row r="7363" spans="1:6" x14ac:dyDescent="0.25">
      <c r="A7363" t="s">
        <v>7749</v>
      </c>
      <c r="B7363" t="s">
        <v>764</v>
      </c>
      <c r="C7363" t="s">
        <v>765</v>
      </c>
      <c r="D7363" t="str">
        <f>HYPERLINK("http://service.sap.com/sap/support/notes/1713492","1713492")</f>
        <v>1713492</v>
      </c>
      <c r="E7363">
        <v>2</v>
      </c>
      <c r="F7363" t="s">
        <v>8780</v>
      </c>
    </row>
    <row r="7364" spans="1:6" x14ac:dyDescent="0.25">
      <c r="A7364" t="s">
        <v>7749</v>
      </c>
      <c r="B7364" t="s">
        <v>764</v>
      </c>
      <c r="C7364" t="s">
        <v>765</v>
      </c>
      <c r="D7364" t="str">
        <f>HYPERLINK("http://service.sap.com/sap/support/notes/1726680","1726680")</f>
        <v>1726680</v>
      </c>
      <c r="E7364">
        <v>1</v>
      </c>
      <c r="F7364" t="s">
        <v>8781</v>
      </c>
    </row>
    <row r="7365" spans="1:6" x14ac:dyDescent="0.25">
      <c r="A7365" t="s">
        <v>7749</v>
      </c>
      <c r="B7365" t="s">
        <v>3754</v>
      </c>
      <c r="C7365" t="s">
        <v>3755</v>
      </c>
      <c r="D7365" t="str">
        <f>HYPERLINK("http://service.sap.com/sap/support/notes/1711237","1711237")</f>
        <v>1711237</v>
      </c>
      <c r="E7365">
        <v>1</v>
      </c>
      <c r="F7365" t="s">
        <v>8782</v>
      </c>
    </row>
    <row r="7366" spans="1:6" x14ac:dyDescent="0.25">
      <c r="A7366" t="s">
        <v>7749</v>
      </c>
      <c r="B7366" t="s">
        <v>3754</v>
      </c>
      <c r="C7366" t="s">
        <v>3755</v>
      </c>
      <c r="D7366" t="str">
        <f>HYPERLINK("http://service.sap.com/sap/support/notes/1725727","1725727")</f>
        <v>1725727</v>
      </c>
      <c r="E7366">
        <v>1</v>
      </c>
      <c r="F7366" t="s">
        <v>8783</v>
      </c>
    </row>
    <row r="7367" spans="1:6" x14ac:dyDescent="0.25">
      <c r="A7367" t="s">
        <v>7749</v>
      </c>
      <c r="B7367" t="s">
        <v>3759</v>
      </c>
      <c r="C7367" t="s">
        <v>3760</v>
      </c>
      <c r="D7367" t="str">
        <f>HYPERLINK("http://service.sap.com/sap/support/notes/1699330","1699330")</f>
        <v>1699330</v>
      </c>
      <c r="E7367">
        <v>1</v>
      </c>
      <c r="F7367" t="s">
        <v>8784</v>
      </c>
    </row>
    <row r="7368" spans="1:6" x14ac:dyDescent="0.25">
      <c r="A7368" t="s">
        <v>7749</v>
      </c>
      <c r="B7368" t="s">
        <v>3759</v>
      </c>
      <c r="C7368" t="s">
        <v>3760</v>
      </c>
      <c r="D7368" t="str">
        <f>HYPERLINK("http://service.sap.com/sap/support/notes/1714656","1714656")</f>
        <v>1714656</v>
      </c>
      <c r="E7368">
        <v>1</v>
      </c>
      <c r="F7368" t="s">
        <v>8785</v>
      </c>
    </row>
    <row r="7369" spans="1:6" x14ac:dyDescent="0.25">
      <c r="A7369" t="s">
        <v>7749</v>
      </c>
      <c r="B7369" t="s">
        <v>3762</v>
      </c>
      <c r="C7369" t="s">
        <v>3763</v>
      </c>
    </row>
    <row r="7370" spans="1:6" x14ac:dyDescent="0.25">
      <c r="A7370" t="s">
        <v>7749</v>
      </c>
      <c r="B7370" t="s">
        <v>8786</v>
      </c>
      <c r="C7370" t="s">
        <v>8541</v>
      </c>
      <c r="D7370" t="str">
        <f>HYPERLINK("http://service.sap.com/sap/support/notes/1510083","1510083")</f>
        <v>1510083</v>
      </c>
      <c r="E7370">
        <v>2</v>
      </c>
      <c r="F7370" t="s">
        <v>8787</v>
      </c>
    </row>
    <row r="7371" spans="1:6" x14ac:dyDescent="0.25">
      <c r="A7371" t="s">
        <v>7749</v>
      </c>
      <c r="B7371" t="s">
        <v>3764</v>
      </c>
      <c r="C7371" t="s">
        <v>3765</v>
      </c>
      <c r="D7371" t="str">
        <f>HYPERLINK("http://service.sap.com/sap/support/notes/1595434","1595434")</f>
        <v>1595434</v>
      </c>
      <c r="E7371">
        <v>3</v>
      </c>
      <c r="F7371" t="s">
        <v>8788</v>
      </c>
    </row>
    <row r="7372" spans="1:6" x14ac:dyDescent="0.25">
      <c r="A7372" t="s">
        <v>7749</v>
      </c>
      <c r="B7372" t="s">
        <v>3764</v>
      </c>
      <c r="C7372" t="s">
        <v>3765</v>
      </c>
      <c r="D7372" t="str">
        <f>HYPERLINK("http://service.sap.com/sap/support/notes/1698802","1698802")</f>
        <v>1698802</v>
      </c>
      <c r="E7372">
        <v>2</v>
      </c>
      <c r="F7372" t="s">
        <v>8789</v>
      </c>
    </row>
    <row r="7373" spans="1:6" x14ac:dyDescent="0.25">
      <c r="A7373" t="s">
        <v>7749</v>
      </c>
      <c r="B7373" t="s">
        <v>3772</v>
      </c>
      <c r="C7373" t="s">
        <v>8790</v>
      </c>
    </row>
    <row r="7374" spans="1:6" x14ac:dyDescent="0.25">
      <c r="A7374" t="s">
        <v>7749</v>
      </c>
      <c r="B7374" t="s">
        <v>3775</v>
      </c>
      <c r="C7374" t="s">
        <v>3776</v>
      </c>
    </row>
    <row r="7375" spans="1:6" x14ac:dyDescent="0.25">
      <c r="A7375" t="s">
        <v>7749</v>
      </c>
      <c r="B7375" t="s">
        <v>3777</v>
      </c>
      <c r="C7375" t="s">
        <v>3778</v>
      </c>
      <c r="D7375" t="str">
        <f>HYPERLINK("http://service.sap.com/sap/support/notes/1710391","1710391")</f>
        <v>1710391</v>
      </c>
      <c r="E7375">
        <v>2</v>
      </c>
      <c r="F7375" t="s">
        <v>8791</v>
      </c>
    </row>
    <row r="7376" spans="1:6" x14ac:dyDescent="0.25">
      <c r="A7376" t="s">
        <v>7749</v>
      </c>
      <c r="B7376" t="s">
        <v>3777</v>
      </c>
      <c r="C7376" t="s">
        <v>3778</v>
      </c>
      <c r="D7376" t="str">
        <f>HYPERLINK("http://service.sap.com/sap/support/notes/1711226","1711226")</f>
        <v>1711226</v>
      </c>
      <c r="E7376">
        <v>3</v>
      </c>
      <c r="F7376" t="s">
        <v>8792</v>
      </c>
    </row>
    <row r="7377" spans="1:6" x14ac:dyDescent="0.25">
      <c r="A7377" t="s">
        <v>7749</v>
      </c>
      <c r="B7377" t="s">
        <v>3777</v>
      </c>
      <c r="C7377" t="s">
        <v>3778</v>
      </c>
      <c r="D7377" t="str">
        <f>HYPERLINK("http://service.sap.com/sap/support/notes/1714735","1714735")</f>
        <v>1714735</v>
      </c>
      <c r="E7377">
        <v>3</v>
      </c>
      <c r="F7377" t="s">
        <v>8793</v>
      </c>
    </row>
    <row r="7378" spans="1:6" x14ac:dyDescent="0.25">
      <c r="A7378" t="s">
        <v>7749</v>
      </c>
      <c r="B7378" t="s">
        <v>769</v>
      </c>
      <c r="C7378" t="s">
        <v>770</v>
      </c>
    </row>
    <row r="7379" spans="1:6" x14ac:dyDescent="0.25">
      <c r="A7379" t="s">
        <v>7749</v>
      </c>
      <c r="B7379" t="s">
        <v>771</v>
      </c>
      <c r="C7379" t="s">
        <v>772</v>
      </c>
      <c r="D7379" t="str">
        <f>HYPERLINK("http://service.sap.com/sap/support/notes/1712366","1712366")</f>
        <v>1712366</v>
      </c>
      <c r="E7379">
        <v>1</v>
      </c>
      <c r="F7379" t="s">
        <v>8794</v>
      </c>
    </row>
    <row r="7380" spans="1:6" x14ac:dyDescent="0.25">
      <c r="A7380" t="s">
        <v>7749</v>
      </c>
      <c r="B7380" t="s">
        <v>774</v>
      </c>
      <c r="C7380" t="s">
        <v>8795</v>
      </c>
    </row>
    <row r="7381" spans="1:6" x14ac:dyDescent="0.25">
      <c r="A7381" t="s">
        <v>7749</v>
      </c>
      <c r="B7381" t="s">
        <v>777</v>
      </c>
      <c r="C7381" t="s">
        <v>778</v>
      </c>
      <c r="D7381" t="str">
        <f>HYPERLINK("http://service.sap.com/sap/support/notes/1635784","1635784")</f>
        <v>1635784</v>
      </c>
      <c r="E7381">
        <v>2</v>
      </c>
      <c r="F7381" t="s">
        <v>8796</v>
      </c>
    </row>
    <row r="7382" spans="1:6" x14ac:dyDescent="0.25">
      <c r="A7382" t="s">
        <v>7749</v>
      </c>
      <c r="B7382" t="s">
        <v>777</v>
      </c>
      <c r="C7382" t="s">
        <v>778</v>
      </c>
      <c r="D7382" t="str">
        <f>HYPERLINK("http://service.sap.com/sap/support/notes/1640248","1640248")</f>
        <v>1640248</v>
      </c>
      <c r="E7382">
        <v>1</v>
      </c>
      <c r="F7382" t="s">
        <v>8797</v>
      </c>
    </row>
    <row r="7383" spans="1:6" x14ac:dyDescent="0.25">
      <c r="A7383" t="s">
        <v>7749</v>
      </c>
      <c r="B7383" t="s">
        <v>777</v>
      </c>
      <c r="C7383" t="s">
        <v>778</v>
      </c>
      <c r="D7383" t="str">
        <f>HYPERLINK("http://service.sap.com/sap/support/notes/1647724","1647724")</f>
        <v>1647724</v>
      </c>
      <c r="E7383">
        <v>1</v>
      </c>
      <c r="F7383" t="s">
        <v>8798</v>
      </c>
    </row>
    <row r="7384" spans="1:6" x14ac:dyDescent="0.25">
      <c r="A7384" t="s">
        <v>7749</v>
      </c>
      <c r="B7384" t="s">
        <v>777</v>
      </c>
      <c r="C7384" t="s">
        <v>778</v>
      </c>
      <c r="D7384" t="str">
        <f>HYPERLINK("http://service.sap.com/sap/support/notes/1656934","1656934")</f>
        <v>1656934</v>
      </c>
      <c r="E7384">
        <v>1</v>
      </c>
      <c r="F7384" t="s">
        <v>8799</v>
      </c>
    </row>
    <row r="7385" spans="1:6" x14ac:dyDescent="0.25">
      <c r="A7385" t="s">
        <v>7749</v>
      </c>
      <c r="B7385" t="s">
        <v>777</v>
      </c>
      <c r="C7385" t="s">
        <v>778</v>
      </c>
      <c r="D7385" t="str">
        <f>HYPERLINK("http://service.sap.com/sap/support/notes/1662589","1662589")</f>
        <v>1662589</v>
      </c>
      <c r="E7385">
        <v>1</v>
      </c>
      <c r="F7385" t="s">
        <v>8800</v>
      </c>
    </row>
    <row r="7386" spans="1:6" x14ac:dyDescent="0.25">
      <c r="A7386" t="s">
        <v>7749</v>
      </c>
      <c r="B7386" t="s">
        <v>777</v>
      </c>
      <c r="C7386" t="s">
        <v>778</v>
      </c>
      <c r="D7386" t="str">
        <f>HYPERLINK("http://service.sap.com/sap/support/notes/1663281","1663281")</f>
        <v>1663281</v>
      </c>
      <c r="E7386">
        <v>1</v>
      </c>
      <c r="F7386" t="s">
        <v>8801</v>
      </c>
    </row>
    <row r="7387" spans="1:6" x14ac:dyDescent="0.25">
      <c r="A7387" t="s">
        <v>7749</v>
      </c>
      <c r="B7387" t="s">
        <v>777</v>
      </c>
      <c r="C7387" t="s">
        <v>778</v>
      </c>
      <c r="D7387" t="str">
        <f>HYPERLINK("http://service.sap.com/sap/support/notes/1677402","1677402")</f>
        <v>1677402</v>
      </c>
      <c r="E7387">
        <v>2</v>
      </c>
      <c r="F7387" t="s">
        <v>8802</v>
      </c>
    </row>
    <row r="7388" spans="1:6" x14ac:dyDescent="0.25">
      <c r="A7388" t="s">
        <v>7749</v>
      </c>
      <c r="B7388" t="s">
        <v>777</v>
      </c>
      <c r="C7388" t="s">
        <v>778</v>
      </c>
      <c r="D7388" t="str">
        <f>HYPERLINK("http://service.sap.com/sap/support/notes/1682837","1682837")</f>
        <v>1682837</v>
      </c>
      <c r="E7388">
        <v>2</v>
      </c>
      <c r="F7388" t="s">
        <v>8803</v>
      </c>
    </row>
    <row r="7389" spans="1:6" x14ac:dyDescent="0.25">
      <c r="A7389" t="s">
        <v>7749</v>
      </c>
      <c r="B7389" t="s">
        <v>777</v>
      </c>
      <c r="C7389" t="s">
        <v>778</v>
      </c>
      <c r="D7389" t="str">
        <f>HYPERLINK("http://service.sap.com/sap/support/notes/1685854","1685854")</f>
        <v>1685854</v>
      </c>
      <c r="E7389">
        <v>1</v>
      </c>
      <c r="F7389" t="s">
        <v>8804</v>
      </c>
    </row>
    <row r="7390" spans="1:6" x14ac:dyDescent="0.25">
      <c r="A7390" t="s">
        <v>7749</v>
      </c>
      <c r="B7390" t="s">
        <v>777</v>
      </c>
      <c r="C7390" t="s">
        <v>778</v>
      </c>
      <c r="D7390" t="str">
        <f>HYPERLINK("http://service.sap.com/sap/support/notes/1692862","1692862")</f>
        <v>1692862</v>
      </c>
      <c r="E7390">
        <v>1</v>
      </c>
      <c r="F7390" t="s">
        <v>8805</v>
      </c>
    </row>
    <row r="7391" spans="1:6" x14ac:dyDescent="0.25">
      <c r="A7391" t="s">
        <v>7749</v>
      </c>
      <c r="B7391" t="s">
        <v>777</v>
      </c>
      <c r="C7391" t="s">
        <v>778</v>
      </c>
      <c r="D7391" t="str">
        <f>HYPERLINK("http://service.sap.com/sap/support/notes/1694829","1694829")</f>
        <v>1694829</v>
      </c>
      <c r="E7391">
        <v>2</v>
      </c>
      <c r="F7391" t="s">
        <v>8806</v>
      </c>
    </row>
    <row r="7392" spans="1:6" x14ac:dyDescent="0.25">
      <c r="A7392" t="s">
        <v>7749</v>
      </c>
      <c r="B7392" t="s">
        <v>777</v>
      </c>
      <c r="C7392" t="s">
        <v>778</v>
      </c>
      <c r="D7392" t="str">
        <f>HYPERLINK("http://service.sap.com/sap/support/notes/1701809","1701809")</f>
        <v>1701809</v>
      </c>
      <c r="E7392">
        <v>2</v>
      </c>
      <c r="F7392" t="s">
        <v>8807</v>
      </c>
    </row>
    <row r="7393" spans="1:6" x14ac:dyDescent="0.25">
      <c r="A7393" t="s">
        <v>7749</v>
      </c>
      <c r="B7393" t="s">
        <v>777</v>
      </c>
      <c r="C7393" t="s">
        <v>778</v>
      </c>
      <c r="D7393" t="str">
        <f>HYPERLINK("http://service.sap.com/sap/support/notes/1703346","1703346")</f>
        <v>1703346</v>
      </c>
      <c r="E7393">
        <v>1</v>
      </c>
      <c r="F7393" t="s">
        <v>8808</v>
      </c>
    </row>
    <row r="7394" spans="1:6" x14ac:dyDescent="0.25">
      <c r="A7394" t="s">
        <v>7749</v>
      </c>
      <c r="B7394" t="s">
        <v>777</v>
      </c>
      <c r="C7394" t="s">
        <v>778</v>
      </c>
      <c r="D7394" t="str">
        <f>HYPERLINK("http://service.sap.com/sap/support/notes/1707380","1707380")</f>
        <v>1707380</v>
      </c>
      <c r="E7394">
        <v>2</v>
      </c>
      <c r="F7394" t="s">
        <v>8809</v>
      </c>
    </row>
    <row r="7395" spans="1:6" x14ac:dyDescent="0.25">
      <c r="A7395" t="s">
        <v>7749</v>
      </c>
      <c r="B7395" t="s">
        <v>777</v>
      </c>
      <c r="C7395" t="s">
        <v>778</v>
      </c>
      <c r="D7395" t="str">
        <f>HYPERLINK("http://service.sap.com/sap/support/notes/1707997","1707997")</f>
        <v>1707997</v>
      </c>
      <c r="E7395">
        <v>2</v>
      </c>
      <c r="F7395" t="s">
        <v>8810</v>
      </c>
    </row>
    <row r="7396" spans="1:6" x14ac:dyDescent="0.25">
      <c r="A7396" t="s">
        <v>7749</v>
      </c>
      <c r="B7396" t="s">
        <v>777</v>
      </c>
      <c r="C7396" t="s">
        <v>778</v>
      </c>
      <c r="D7396" t="str">
        <f>HYPERLINK("http://service.sap.com/sap/support/notes/1711223","1711223")</f>
        <v>1711223</v>
      </c>
      <c r="E7396">
        <v>1</v>
      </c>
      <c r="F7396" t="s">
        <v>8811</v>
      </c>
    </row>
    <row r="7397" spans="1:6" x14ac:dyDescent="0.25">
      <c r="A7397" t="s">
        <v>7749</v>
      </c>
      <c r="B7397" t="s">
        <v>777</v>
      </c>
      <c r="C7397" t="s">
        <v>778</v>
      </c>
      <c r="D7397" t="str">
        <f>HYPERLINK("http://service.sap.com/sap/support/notes/1711407","1711407")</f>
        <v>1711407</v>
      </c>
      <c r="E7397">
        <v>1</v>
      </c>
      <c r="F7397" t="s">
        <v>8812</v>
      </c>
    </row>
    <row r="7398" spans="1:6" x14ac:dyDescent="0.25">
      <c r="A7398" t="s">
        <v>7749</v>
      </c>
      <c r="B7398" t="s">
        <v>777</v>
      </c>
      <c r="C7398" t="s">
        <v>778</v>
      </c>
      <c r="D7398" t="str">
        <f>HYPERLINK("http://service.sap.com/sap/support/notes/1715761","1715761")</f>
        <v>1715761</v>
      </c>
      <c r="E7398">
        <v>1</v>
      </c>
      <c r="F7398" t="s">
        <v>8813</v>
      </c>
    </row>
    <row r="7399" spans="1:6" x14ac:dyDescent="0.25">
      <c r="A7399" t="s">
        <v>7749</v>
      </c>
      <c r="B7399" t="s">
        <v>3821</v>
      </c>
      <c r="C7399" t="s">
        <v>3822</v>
      </c>
      <c r="D7399" t="str">
        <f>HYPERLINK("http://service.sap.com/sap/support/notes/1664903","1664903")</f>
        <v>1664903</v>
      </c>
      <c r="E7399">
        <v>2</v>
      </c>
      <c r="F7399" t="s">
        <v>8814</v>
      </c>
    </row>
    <row r="7400" spans="1:6" x14ac:dyDescent="0.25">
      <c r="A7400" t="s">
        <v>7749</v>
      </c>
      <c r="B7400" t="s">
        <v>786</v>
      </c>
      <c r="C7400" t="s">
        <v>660</v>
      </c>
      <c r="D7400" t="str">
        <f>HYPERLINK("http://service.sap.com/sap/support/notes/1699862","1699862")</f>
        <v>1699862</v>
      </c>
      <c r="E7400">
        <v>1</v>
      </c>
      <c r="F7400" t="s">
        <v>8815</v>
      </c>
    </row>
    <row r="7401" spans="1:6" x14ac:dyDescent="0.25">
      <c r="A7401" t="s">
        <v>7749</v>
      </c>
      <c r="B7401" t="s">
        <v>786</v>
      </c>
      <c r="C7401" t="s">
        <v>660</v>
      </c>
      <c r="D7401" t="str">
        <f>HYPERLINK("http://service.sap.com/sap/support/notes/1705276","1705276")</f>
        <v>1705276</v>
      </c>
      <c r="E7401">
        <v>1</v>
      </c>
      <c r="F7401" t="s">
        <v>8816</v>
      </c>
    </row>
    <row r="7402" spans="1:6" x14ac:dyDescent="0.25">
      <c r="A7402" t="s">
        <v>7749</v>
      </c>
      <c r="B7402" t="s">
        <v>786</v>
      </c>
      <c r="C7402" t="s">
        <v>660</v>
      </c>
      <c r="D7402" t="str">
        <f>HYPERLINK("http://service.sap.com/sap/support/notes/1723647","1723647")</f>
        <v>1723647</v>
      </c>
      <c r="E7402">
        <v>1</v>
      </c>
      <c r="F7402" t="s">
        <v>8817</v>
      </c>
    </row>
    <row r="7403" spans="1:6" x14ac:dyDescent="0.25">
      <c r="A7403" t="s">
        <v>7749</v>
      </c>
      <c r="B7403" t="s">
        <v>791</v>
      </c>
      <c r="C7403" t="s">
        <v>792</v>
      </c>
      <c r="D7403" t="str">
        <f>HYPERLINK("http://service.sap.com/sap/support/notes/1684524","1684524")</f>
        <v>1684524</v>
      </c>
      <c r="E7403">
        <v>1</v>
      </c>
      <c r="F7403" t="s">
        <v>8818</v>
      </c>
    </row>
    <row r="7404" spans="1:6" x14ac:dyDescent="0.25">
      <c r="A7404" t="s">
        <v>7749</v>
      </c>
      <c r="B7404" t="s">
        <v>791</v>
      </c>
      <c r="C7404" t="s">
        <v>792</v>
      </c>
      <c r="D7404" t="str">
        <f>HYPERLINK("http://service.sap.com/sap/support/notes/1687769","1687769")</f>
        <v>1687769</v>
      </c>
      <c r="E7404">
        <v>2</v>
      </c>
      <c r="F7404" t="s">
        <v>8819</v>
      </c>
    </row>
    <row r="7405" spans="1:6" x14ac:dyDescent="0.25">
      <c r="A7405" t="s">
        <v>7749</v>
      </c>
      <c r="B7405" t="s">
        <v>791</v>
      </c>
      <c r="C7405" t="s">
        <v>792</v>
      </c>
      <c r="D7405" t="str">
        <f>HYPERLINK("http://service.sap.com/sap/support/notes/1703771","1703771")</f>
        <v>1703771</v>
      </c>
      <c r="E7405">
        <v>1</v>
      </c>
      <c r="F7405" t="s">
        <v>8820</v>
      </c>
    </row>
    <row r="7406" spans="1:6" x14ac:dyDescent="0.25">
      <c r="A7406" t="s">
        <v>7749</v>
      </c>
      <c r="B7406" t="s">
        <v>791</v>
      </c>
      <c r="C7406" t="s">
        <v>792</v>
      </c>
      <c r="D7406" t="str">
        <f>HYPERLINK("http://service.sap.com/sap/support/notes/1724626","1724626")</f>
        <v>1724626</v>
      </c>
      <c r="E7406">
        <v>1</v>
      </c>
      <c r="F7406" t="s">
        <v>8821</v>
      </c>
    </row>
    <row r="7407" spans="1:6" x14ac:dyDescent="0.25">
      <c r="A7407" t="s">
        <v>7749</v>
      </c>
      <c r="B7407" t="s">
        <v>26</v>
      </c>
      <c r="C7407" t="s">
        <v>798</v>
      </c>
      <c r="D7407" t="str">
        <f>HYPERLINK("http://service.sap.com/sap/support/notes/1676128","1676128")</f>
        <v>1676128</v>
      </c>
      <c r="E7407">
        <v>3</v>
      </c>
      <c r="F7407" t="s">
        <v>8822</v>
      </c>
    </row>
    <row r="7408" spans="1:6" x14ac:dyDescent="0.25">
      <c r="A7408" t="s">
        <v>7749</v>
      </c>
      <c r="B7408" t="s">
        <v>26</v>
      </c>
      <c r="C7408" t="s">
        <v>798</v>
      </c>
      <c r="D7408" t="str">
        <f>HYPERLINK("http://service.sap.com/sap/support/notes/1688320","1688320")</f>
        <v>1688320</v>
      </c>
      <c r="E7408">
        <v>3</v>
      </c>
      <c r="F7408" t="s">
        <v>8823</v>
      </c>
    </row>
    <row r="7409" spans="1:6" x14ac:dyDescent="0.25">
      <c r="A7409" t="s">
        <v>7749</v>
      </c>
      <c r="B7409" t="s">
        <v>26</v>
      </c>
      <c r="C7409" t="s">
        <v>798</v>
      </c>
      <c r="D7409" t="str">
        <f>HYPERLINK("http://service.sap.com/sap/support/notes/1701284","1701284")</f>
        <v>1701284</v>
      </c>
      <c r="E7409">
        <v>1</v>
      </c>
      <c r="F7409" t="s">
        <v>8824</v>
      </c>
    </row>
    <row r="7410" spans="1:6" x14ac:dyDescent="0.25">
      <c r="A7410" t="s">
        <v>7749</v>
      </c>
      <c r="B7410" t="s">
        <v>26</v>
      </c>
      <c r="C7410" t="s">
        <v>798</v>
      </c>
      <c r="D7410" t="str">
        <f>HYPERLINK("http://service.sap.com/sap/support/notes/1710885","1710885")</f>
        <v>1710885</v>
      </c>
      <c r="E7410">
        <v>2</v>
      </c>
      <c r="F7410" t="s">
        <v>8825</v>
      </c>
    </row>
    <row r="7411" spans="1:6" x14ac:dyDescent="0.25">
      <c r="A7411" t="s">
        <v>7749</v>
      </c>
      <c r="B7411" t="s">
        <v>26</v>
      </c>
      <c r="C7411" t="s">
        <v>798</v>
      </c>
      <c r="D7411" t="str">
        <f>HYPERLINK("http://service.sap.com/sap/support/notes/1710925","1710925")</f>
        <v>1710925</v>
      </c>
      <c r="E7411">
        <v>1</v>
      </c>
      <c r="F7411" t="s">
        <v>8826</v>
      </c>
    </row>
    <row r="7412" spans="1:6" x14ac:dyDescent="0.25">
      <c r="A7412" t="s">
        <v>7749</v>
      </c>
      <c r="B7412" t="s">
        <v>26</v>
      </c>
      <c r="C7412" t="s">
        <v>798</v>
      </c>
      <c r="D7412" t="str">
        <f>HYPERLINK("http://service.sap.com/sap/support/notes/1711759","1711759")</f>
        <v>1711759</v>
      </c>
      <c r="E7412">
        <v>1</v>
      </c>
      <c r="F7412" t="s">
        <v>8827</v>
      </c>
    </row>
    <row r="7413" spans="1:6" x14ac:dyDescent="0.25">
      <c r="A7413" t="s">
        <v>7749</v>
      </c>
      <c r="B7413" t="s">
        <v>26</v>
      </c>
      <c r="C7413" t="s">
        <v>798</v>
      </c>
      <c r="D7413" t="str">
        <f>HYPERLINK("http://service.sap.com/sap/support/notes/1714962","1714962")</f>
        <v>1714962</v>
      </c>
      <c r="E7413">
        <v>1</v>
      </c>
      <c r="F7413" t="s">
        <v>8828</v>
      </c>
    </row>
    <row r="7414" spans="1:6" x14ac:dyDescent="0.25">
      <c r="A7414" t="s">
        <v>7749</v>
      </c>
      <c r="B7414" t="s">
        <v>26</v>
      </c>
      <c r="C7414" t="s">
        <v>798</v>
      </c>
      <c r="D7414" t="str">
        <f>HYPERLINK("http://service.sap.com/sap/support/notes/1716386","1716386")</f>
        <v>1716386</v>
      </c>
      <c r="E7414">
        <v>2</v>
      </c>
      <c r="F7414" t="s">
        <v>8829</v>
      </c>
    </row>
    <row r="7415" spans="1:6" x14ac:dyDescent="0.25">
      <c r="A7415" t="s">
        <v>7749</v>
      </c>
      <c r="B7415" t="s">
        <v>26</v>
      </c>
      <c r="C7415" t="s">
        <v>798</v>
      </c>
      <c r="D7415" t="str">
        <f>HYPERLINK("http://service.sap.com/sap/support/notes/1726092","1726092")</f>
        <v>1726092</v>
      </c>
      <c r="E7415">
        <v>1</v>
      </c>
      <c r="F7415" t="s">
        <v>8830</v>
      </c>
    </row>
    <row r="7416" spans="1:6" x14ac:dyDescent="0.25">
      <c r="A7416" t="s">
        <v>7749</v>
      </c>
      <c r="B7416" t="s">
        <v>804</v>
      </c>
      <c r="C7416" t="s">
        <v>805</v>
      </c>
      <c r="D7416" t="str">
        <f>HYPERLINK("http://service.sap.com/sap/support/notes/1699843","1699843")</f>
        <v>1699843</v>
      </c>
      <c r="E7416">
        <v>3</v>
      </c>
      <c r="F7416" t="s">
        <v>8831</v>
      </c>
    </row>
    <row r="7417" spans="1:6" x14ac:dyDescent="0.25">
      <c r="A7417" t="s">
        <v>7749</v>
      </c>
      <c r="B7417" t="s">
        <v>804</v>
      </c>
      <c r="C7417" t="s">
        <v>805</v>
      </c>
      <c r="D7417" t="str">
        <f>HYPERLINK("http://service.sap.com/sap/support/notes/1703873","1703873")</f>
        <v>1703873</v>
      </c>
      <c r="E7417">
        <v>1</v>
      </c>
      <c r="F7417" t="s">
        <v>8832</v>
      </c>
    </row>
    <row r="7418" spans="1:6" x14ac:dyDescent="0.25">
      <c r="A7418" t="s">
        <v>7749</v>
      </c>
      <c r="B7418" t="s">
        <v>804</v>
      </c>
      <c r="C7418" t="s">
        <v>805</v>
      </c>
      <c r="D7418" t="str">
        <f>HYPERLINK("http://service.sap.com/sap/support/notes/1704125","1704125")</f>
        <v>1704125</v>
      </c>
      <c r="E7418">
        <v>2</v>
      </c>
      <c r="F7418" t="s">
        <v>8833</v>
      </c>
    </row>
    <row r="7419" spans="1:6" x14ac:dyDescent="0.25">
      <c r="A7419" t="s">
        <v>7749</v>
      </c>
      <c r="B7419" t="s">
        <v>804</v>
      </c>
      <c r="C7419" t="s">
        <v>805</v>
      </c>
      <c r="D7419" t="str">
        <f>HYPERLINK("http://service.sap.com/sap/support/notes/1708579","1708579")</f>
        <v>1708579</v>
      </c>
      <c r="E7419">
        <v>2</v>
      </c>
      <c r="F7419" t="s">
        <v>8834</v>
      </c>
    </row>
    <row r="7420" spans="1:6" x14ac:dyDescent="0.25">
      <c r="A7420" t="s">
        <v>7749</v>
      </c>
      <c r="B7420" t="s">
        <v>804</v>
      </c>
      <c r="C7420" t="s">
        <v>805</v>
      </c>
      <c r="D7420" t="str">
        <f>HYPERLINK("http://service.sap.com/sap/support/notes/1711419","1711419")</f>
        <v>1711419</v>
      </c>
      <c r="E7420">
        <v>2</v>
      </c>
      <c r="F7420" t="s">
        <v>8835</v>
      </c>
    </row>
    <row r="7421" spans="1:6" x14ac:dyDescent="0.25">
      <c r="A7421" t="s">
        <v>7749</v>
      </c>
      <c r="B7421" t="s">
        <v>804</v>
      </c>
      <c r="C7421" t="s">
        <v>805</v>
      </c>
      <c r="D7421" t="str">
        <f>HYPERLINK("http://service.sap.com/sap/support/notes/1723226","1723226")</f>
        <v>1723226</v>
      </c>
      <c r="E7421">
        <v>1</v>
      </c>
      <c r="F7421" t="s">
        <v>8836</v>
      </c>
    </row>
    <row r="7422" spans="1:6" x14ac:dyDescent="0.25">
      <c r="A7422" t="s">
        <v>7749</v>
      </c>
      <c r="B7422" t="s">
        <v>804</v>
      </c>
      <c r="C7422" t="s">
        <v>805</v>
      </c>
      <c r="D7422" t="str">
        <f>HYPERLINK("http://service.sap.com/sap/support/notes/1727175","1727175")</f>
        <v>1727175</v>
      </c>
      <c r="E7422">
        <v>2</v>
      </c>
      <c r="F7422" t="s">
        <v>8837</v>
      </c>
    </row>
    <row r="7423" spans="1:6" x14ac:dyDescent="0.25">
      <c r="A7423" t="s">
        <v>7749</v>
      </c>
      <c r="B7423" t="s">
        <v>804</v>
      </c>
      <c r="C7423" t="s">
        <v>805</v>
      </c>
      <c r="D7423" t="str">
        <f>HYPERLINK("http://service.sap.com/sap/support/notes/1727310","1727310")</f>
        <v>1727310</v>
      </c>
      <c r="E7423">
        <v>1</v>
      </c>
      <c r="F7423" t="s">
        <v>8838</v>
      </c>
    </row>
    <row r="7424" spans="1:6" x14ac:dyDescent="0.25">
      <c r="A7424" t="s">
        <v>7749</v>
      </c>
      <c r="B7424" t="s">
        <v>8839</v>
      </c>
      <c r="C7424" t="s">
        <v>8840</v>
      </c>
      <c r="D7424" t="str">
        <f>HYPERLINK("http://service.sap.com/sap/support/notes/1711278","1711278")</f>
        <v>1711278</v>
      </c>
      <c r="E7424">
        <v>1</v>
      </c>
      <c r="F7424" t="s">
        <v>8841</v>
      </c>
    </row>
    <row r="7425" spans="1:6" x14ac:dyDescent="0.25">
      <c r="A7425" t="s">
        <v>7749</v>
      </c>
      <c r="B7425" t="s">
        <v>8842</v>
      </c>
      <c r="C7425" t="s">
        <v>8843</v>
      </c>
      <c r="D7425" t="str">
        <f>HYPERLINK("http://service.sap.com/sap/support/notes/1701550","1701550")</f>
        <v>1701550</v>
      </c>
      <c r="E7425">
        <v>1</v>
      </c>
      <c r="F7425" t="s">
        <v>8844</v>
      </c>
    </row>
    <row r="7426" spans="1:6" x14ac:dyDescent="0.25">
      <c r="A7426" t="s">
        <v>7749</v>
      </c>
      <c r="B7426" t="s">
        <v>8842</v>
      </c>
      <c r="C7426" t="s">
        <v>8843</v>
      </c>
      <c r="D7426" t="str">
        <f>HYPERLINK("http://service.sap.com/sap/support/notes/1717877","1717877")</f>
        <v>1717877</v>
      </c>
      <c r="E7426">
        <v>1</v>
      </c>
      <c r="F7426" t="s">
        <v>8845</v>
      </c>
    </row>
    <row r="7427" spans="1:6" x14ac:dyDescent="0.25">
      <c r="A7427" t="s">
        <v>7749</v>
      </c>
      <c r="B7427" t="s">
        <v>3867</v>
      </c>
      <c r="C7427" t="s">
        <v>3868</v>
      </c>
      <c r="D7427" t="str">
        <f>HYPERLINK("http://service.sap.com/sap/support/notes/1704924","1704924")</f>
        <v>1704924</v>
      </c>
      <c r="E7427">
        <v>2</v>
      </c>
      <c r="F7427" t="s">
        <v>8846</v>
      </c>
    </row>
    <row r="7428" spans="1:6" x14ac:dyDescent="0.25">
      <c r="A7428" t="s">
        <v>7749</v>
      </c>
      <c r="B7428" t="s">
        <v>3870</v>
      </c>
      <c r="C7428" t="s">
        <v>3871</v>
      </c>
      <c r="D7428" t="str">
        <f>HYPERLINK("http://service.sap.com/sap/support/notes/1688313","1688313")</f>
        <v>1688313</v>
      </c>
      <c r="E7428">
        <v>2</v>
      </c>
      <c r="F7428" t="s">
        <v>8847</v>
      </c>
    </row>
    <row r="7429" spans="1:6" x14ac:dyDescent="0.25">
      <c r="A7429" t="s">
        <v>7749</v>
      </c>
      <c r="B7429" t="s">
        <v>3870</v>
      </c>
      <c r="C7429" t="s">
        <v>3871</v>
      </c>
      <c r="D7429" t="str">
        <f>HYPERLINK("http://service.sap.com/sap/support/notes/1688923","1688923")</f>
        <v>1688923</v>
      </c>
      <c r="E7429">
        <v>2</v>
      </c>
      <c r="F7429" t="s">
        <v>8848</v>
      </c>
    </row>
    <row r="7430" spans="1:6" x14ac:dyDescent="0.25">
      <c r="A7430" t="s">
        <v>7749</v>
      </c>
      <c r="B7430" t="s">
        <v>3870</v>
      </c>
      <c r="C7430" t="s">
        <v>3871</v>
      </c>
      <c r="D7430" t="str">
        <f>HYPERLINK("http://service.sap.com/sap/support/notes/1707343","1707343")</f>
        <v>1707343</v>
      </c>
      <c r="E7430">
        <v>1</v>
      </c>
      <c r="F7430" t="s">
        <v>8849</v>
      </c>
    </row>
    <row r="7431" spans="1:6" x14ac:dyDescent="0.25">
      <c r="A7431" t="s">
        <v>7749</v>
      </c>
      <c r="B7431" t="s">
        <v>810</v>
      </c>
      <c r="C7431" t="s">
        <v>811</v>
      </c>
      <c r="D7431" t="str">
        <f>HYPERLINK("http://service.sap.com/sap/support/notes/1718333","1718333")</f>
        <v>1718333</v>
      </c>
      <c r="E7431">
        <v>1</v>
      </c>
      <c r="F7431" t="s">
        <v>8850</v>
      </c>
    </row>
    <row r="7432" spans="1:6" x14ac:dyDescent="0.25">
      <c r="A7432" t="s">
        <v>7749</v>
      </c>
      <c r="B7432" t="s">
        <v>3904</v>
      </c>
      <c r="C7432" t="s">
        <v>3905</v>
      </c>
    </row>
    <row r="7433" spans="1:6" x14ac:dyDescent="0.25">
      <c r="A7433" t="s">
        <v>7749</v>
      </c>
      <c r="B7433" t="s">
        <v>3906</v>
      </c>
      <c r="C7433" t="s">
        <v>3907</v>
      </c>
      <c r="D7433" t="str">
        <f>HYPERLINK("http://service.sap.com/sap/support/notes/1703649","1703649")</f>
        <v>1703649</v>
      </c>
      <c r="E7433">
        <v>1</v>
      </c>
      <c r="F7433" t="s">
        <v>8851</v>
      </c>
    </row>
    <row r="7434" spans="1:6" x14ac:dyDescent="0.25">
      <c r="A7434" t="s">
        <v>7749</v>
      </c>
      <c r="B7434" t="s">
        <v>813</v>
      </c>
      <c r="C7434" t="s">
        <v>141</v>
      </c>
    </row>
    <row r="7435" spans="1:6" x14ac:dyDescent="0.25">
      <c r="A7435" t="s">
        <v>7749</v>
      </c>
      <c r="B7435" t="s">
        <v>3909</v>
      </c>
      <c r="C7435" t="s">
        <v>1296</v>
      </c>
    </row>
    <row r="7436" spans="1:6" x14ac:dyDescent="0.25">
      <c r="A7436" t="s">
        <v>7749</v>
      </c>
      <c r="B7436" t="s">
        <v>3910</v>
      </c>
      <c r="C7436" t="s">
        <v>1301</v>
      </c>
      <c r="D7436" t="str">
        <f>HYPERLINK("http://service.sap.com/sap/support/notes/1696376","1696376")</f>
        <v>1696376</v>
      </c>
      <c r="E7436">
        <v>1</v>
      </c>
      <c r="F7436" t="s">
        <v>8852</v>
      </c>
    </row>
    <row r="7437" spans="1:6" x14ac:dyDescent="0.25">
      <c r="A7437" t="s">
        <v>7749</v>
      </c>
      <c r="B7437" t="s">
        <v>814</v>
      </c>
      <c r="C7437" t="s">
        <v>143</v>
      </c>
    </row>
    <row r="7438" spans="1:6" x14ac:dyDescent="0.25">
      <c r="A7438" t="s">
        <v>7749</v>
      </c>
      <c r="B7438" t="s">
        <v>815</v>
      </c>
      <c r="C7438" t="s">
        <v>337</v>
      </c>
      <c r="D7438" t="str">
        <f>HYPERLINK("http://service.sap.com/sap/support/notes/1668956","1668956")</f>
        <v>1668956</v>
      </c>
      <c r="E7438">
        <v>2</v>
      </c>
      <c r="F7438" t="s">
        <v>8853</v>
      </c>
    </row>
    <row r="7439" spans="1:6" x14ac:dyDescent="0.25">
      <c r="A7439" t="s">
        <v>7749</v>
      </c>
      <c r="B7439" t="s">
        <v>3918</v>
      </c>
      <c r="C7439" t="s">
        <v>3919</v>
      </c>
      <c r="D7439" t="str">
        <f>HYPERLINK("http://service.sap.com/sap/support/notes/1702011","1702011")</f>
        <v>1702011</v>
      </c>
      <c r="E7439">
        <v>3</v>
      </c>
      <c r="F7439" t="s">
        <v>8854</v>
      </c>
    </row>
    <row r="7440" spans="1:6" x14ac:dyDescent="0.25">
      <c r="A7440" t="s">
        <v>7749</v>
      </c>
      <c r="B7440" t="s">
        <v>6960</v>
      </c>
      <c r="C7440" t="s">
        <v>6961</v>
      </c>
      <c r="D7440" t="str">
        <f>HYPERLINK("http://service.sap.com/sap/support/notes/1692350","1692350")</f>
        <v>1692350</v>
      </c>
      <c r="E7440">
        <v>1</v>
      </c>
      <c r="F7440" t="s">
        <v>8855</v>
      </c>
    </row>
    <row r="7441" spans="1:6" x14ac:dyDescent="0.25">
      <c r="A7441" t="s">
        <v>7749</v>
      </c>
      <c r="B7441" t="s">
        <v>3921</v>
      </c>
      <c r="C7441" t="s">
        <v>3922</v>
      </c>
      <c r="D7441" t="str">
        <f>HYPERLINK("http://service.sap.com/sap/support/notes/1699809","1699809")</f>
        <v>1699809</v>
      </c>
      <c r="E7441">
        <v>1</v>
      </c>
      <c r="F7441" t="s">
        <v>8856</v>
      </c>
    </row>
    <row r="7442" spans="1:6" x14ac:dyDescent="0.25">
      <c r="A7442" t="s">
        <v>7749</v>
      </c>
      <c r="B7442" t="s">
        <v>3921</v>
      </c>
      <c r="C7442" t="s">
        <v>3922</v>
      </c>
      <c r="D7442" t="str">
        <f>HYPERLINK("http://service.sap.com/sap/support/notes/1701875","1701875")</f>
        <v>1701875</v>
      </c>
      <c r="E7442">
        <v>1</v>
      </c>
      <c r="F7442" t="s">
        <v>8857</v>
      </c>
    </row>
    <row r="7443" spans="1:6" x14ac:dyDescent="0.25">
      <c r="A7443" t="s">
        <v>7749</v>
      </c>
      <c r="B7443" t="s">
        <v>3921</v>
      </c>
      <c r="C7443" t="s">
        <v>3922</v>
      </c>
      <c r="D7443" t="str">
        <f>HYPERLINK("http://service.sap.com/sap/support/notes/1708129","1708129")</f>
        <v>1708129</v>
      </c>
      <c r="E7443">
        <v>1</v>
      </c>
      <c r="F7443" t="s">
        <v>8858</v>
      </c>
    </row>
    <row r="7444" spans="1:6" x14ac:dyDescent="0.25">
      <c r="A7444" t="s">
        <v>7749</v>
      </c>
      <c r="B7444" t="s">
        <v>816</v>
      </c>
      <c r="C7444" t="s">
        <v>817</v>
      </c>
      <c r="D7444" t="str">
        <f>HYPERLINK("http://service.sap.com/sap/support/notes/1698571","1698571")</f>
        <v>1698571</v>
      </c>
      <c r="E7444">
        <v>1</v>
      </c>
      <c r="F7444" t="s">
        <v>8859</v>
      </c>
    </row>
    <row r="7445" spans="1:6" x14ac:dyDescent="0.25">
      <c r="A7445" t="s">
        <v>7749</v>
      </c>
      <c r="B7445" t="s">
        <v>816</v>
      </c>
      <c r="C7445" t="s">
        <v>817</v>
      </c>
      <c r="D7445" t="str">
        <f>HYPERLINK("http://service.sap.com/sap/support/notes/1707582","1707582")</f>
        <v>1707582</v>
      </c>
      <c r="E7445">
        <v>2</v>
      </c>
      <c r="F7445" t="s">
        <v>8860</v>
      </c>
    </row>
    <row r="7446" spans="1:6" x14ac:dyDescent="0.25">
      <c r="A7446" t="s">
        <v>7749</v>
      </c>
      <c r="B7446" t="s">
        <v>816</v>
      </c>
      <c r="C7446" t="s">
        <v>817</v>
      </c>
      <c r="D7446" t="str">
        <f>HYPERLINK("http://service.sap.com/sap/support/notes/1709120","1709120")</f>
        <v>1709120</v>
      </c>
      <c r="E7446">
        <v>1</v>
      </c>
      <c r="F7446" t="s">
        <v>8861</v>
      </c>
    </row>
    <row r="7447" spans="1:6" x14ac:dyDescent="0.25">
      <c r="A7447" t="s">
        <v>7749</v>
      </c>
      <c r="B7447" t="s">
        <v>816</v>
      </c>
      <c r="C7447" t="s">
        <v>817</v>
      </c>
      <c r="D7447" t="str">
        <f>HYPERLINK("http://service.sap.com/sap/support/notes/1709376","1709376")</f>
        <v>1709376</v>
      </c>
      <c r="E7447">
        <v>2</v>
      </c>
      <c r="F7447" t="s">
        <v>8862</v>
      </c>
    </row>
    <row r="7448" spans="1:6" x14ac:dyDescent="0.25">
      <c r="A7448" t="s">
        <v>7749</v>
      </c>
      <c r="B7448" t="s">
        <v>819</v>
      </c>
      <c r="C7448" t="s">
        <v>820</v>
      </c>
      <c r="D7448" t="str">
        <f>HYPERLINK("http://service.sap.com/sap/support/notes/1721890","1721890")</f>
        <v>1721890</v>
      </c>
      <c r="E7448">
        <v>1</v>
      </c>
      <c r="F7448" t="s">
        <v>8863</v>
      </c>
    </row>
    <row r="7449" spans="1:6" x14ac:dyDescent="0.25">
      <c r="A7449" t="s">
        <v>7749</v>
      </c>
      <c r="B7449" t="s">
        <v>8864</v>
      </c>
      <c r="C7449" t="s">
        <v>8865</v>
      </c>
      <c r="D7449" t="str">
        <f>HYPERLINK("http://service.sap.com/sap/support/notes/1664096","1664096")</f>
        <v>1664096</v>
      </c>
      <c r="E7449">
        <v>3</v>
      </c>
      <c r="F7449" t="s">
        <v>8866</v>
      </c>
    </row>
    <row r="7450" spans="1:6" x14ac:dyDescent="0.25">
      <c r="A7450" t="s">
        <v>7749</v>
      </c>
      <c r="B7450" t="s">
        <v>8864</v>
      </c>
      <c r="C7450" t="s">
        <v>8865</v>
      </c>
      <c r="D7450" t="str">
        <f>HYPERLINK("http://service.sap.com/sap/support/notes/1691682","1691682")</f>
        <v>1691682</v>
      </c>
      <c r="E7450">
        <v>2</v>
      </c>
      <c r="F7450" t="s">
        <v>8867</v>
      </c>
    </row>
    <row r="7451" spans="1:6" x14ac:dyDescent="0.25">
      <c r="A7451" t="s">
        <v>7749</v>
      </c>
      <c r="B7451" t="s">
        <v>8864</v>
      </c>
      <c r="C7451" t="s">
        <v>8865</v>
      </c>
      <c r="D7451" t="str">
        <f>HYPERLINK("http://service.sap.com/sap/support/notes/1706001","1706001")</f>
        <v>1706001</v>
      </c>
      <c r="E7451">
        <v>3</v>
      </c>
      <c r="F7451" t="s">
        <v>8868</v>
      </c>
    </row>
    <row r="7452" spans="1:6" x14ac:dyDescent="0.25">
      <c r="A7452" t="s">
        <v>7749</v>
      </c>
      <c r="B7452" t="s">
        <v>8864</v>
      </c>
      <c r="C7452" t="s">
        <v>8865</v>
      </c>
      <c r="D7452" t="str">
        <f>HYPERLINK("http://service.sap.com/sap/support/notes/1709258","1709258")</f>
        <v>1709258</v>
      </c>
      <c r="E7452">
        <v>3</v>
      </c>
      <c r="F7452" t="s">
        <v>8869</v>
      </c>
    </row>
    <row r="7453" spans="1:6" x14ac:dyDescent="0.25">
      <c r="A7453" t="s">
        <v>7749</v>
      </c>
      <c r="B7453" t="s">
        <v>822</v>
      </c>
      <c r="C7453" t="s">
        <v>823</v>
      </c>
      <c r="D7453" t="str">
        <f>HYPERLINK("http://service.sap.com/sap/support/notes/1654305","1654305")</f>
        <v>1654305</v>
      </c>
      <c r="E7453">
        <v>1</v>
      </c>
      <c r="F7453" t="s">
        <v>8870</v>
      </c>
    </row>
    <row r="7454" spans="1:6" x14ac:dyDescent="0.25">
      <c r="A7454" t="s">
        <v>7749</v>
      </c>
      <c r="B7454" t="s">
        <v>822</v>
      </c>
      <c r="C7454" t="s">
        <v>823</v>
      </c>
      <c r="D7454" t="str">
        <f>HYPERLINK("http://service.sap.com/sap/support/notes/1694295","1694295")</f>
        <v>1694295</v>
      </c>
      <c r="E7454">
        <v>5</v>
      </c>
      <c r="F7454" t="s">
        <v>8871</v>
      </c>
    </row>
    <row r="7455" spans="1:6" x14ac:dyDescent="0.25">
      <c r="A7455" t="s">
        <v>7749</v>
      </c>
      <c r="B7455" t="s">
        <v>822</v>
      </c>
      <c r="C7455" t="s">
        <v>823</v>
      </c>
      <c r="D7455" t="str">
        <f>HYPERLINK("http://service.sap.com/sap/support/notes/1711222","1711222")</f>
        <v>1711222</v>
      </c>
      <c r="E7455">
        <v>2</v>
      </c>
      <c r="F7455" t="s">
        <v>8872</v>
      </c>
    </row>
    <row r="7456" spans="1:6" x14ac:dyDescent="0.25">
      <c r="A7456" t="s">
        <v>7749</v>
      </c>
      <c r="B7456" t="s">
        <v>822</v>
      </c>
      <c r="C7456" t="s">
        <v>823</v>
      </c>
      <c r="D7456" t="str">
        <f>HYPERLINK("http://service.sap.com/sap/support/notes/1713076","1713076")</f>
        <v>1713076</v>
      </c>
      <c r="E7456">
        <v>1</v>
      </c>
      <c r="F7456" t="s">
        <v>8873</v>
      </c>
    </row>
    <row r="7457" spans="1:6" x14ac:dyDescent="0.25">
      <c r="A7457" t="s">
        <v>7749</v>
      </c>
      <c r="B7457" t="s">
        <v>829</v>
      </c>
      <c r="C7457" t="s">
        <v>830</v>
      </c>
      <c r="D7457" t="str">
        <f>HYPERLINK("http://service.sap.com/sap/support/notes/1722124","1722124")</f>
        <v>1722124</v>
      </c>
      <c r="E7457">
        <v>1</v>
      </c>
      <c r="F7457" t="s">
        <v>8874</v>
      </c>
    </row>
    <row r="7458" spans="1:6" x14ac:dyDescent="0.25">
      <c r="A7458" t="s">
        <v>7749</v>
      </c>
      <c r="B7458" t="s">
        <v>8875</v>
      </c>
      <c r="C7458" t="s">
        <v>8876</v>
      </c>
      <c r="D7458" t="str">
        <f>HYPERLINK("http://service.sap.com/sap/support/notes/1699982","1699982")</f>
        <v>1699982</v>
      </c>
      <c r="E7458">
        <v>3</v>
      </c>
      <c r="F7458" t="s">
        <v>8877</v>
      </c>
    </row>
    <row r="7459" spans="1:6" x14ac:dyDescent="0.25">
      <c r="A7459" t="s">
        <v>7749</v>
      </c>
      <c r="B7459" t="s">
        <v>8875</v>
      </c>
      <c r="C7459" t="s">
        <v>8876</v>
      </c>
      <c r="D7459" t="str">
        <f>HYPERLINK("http://service.sap.com/sap/support/notes/1706055","1706055")</f>
        <v>1706055</v>
      </c>
      <c r="E7459">
        <v>1</v>
      </c>
      <c r="F7459" t="s">
        <v>8878</v>
      </c>
    </row>
    <row r="7460" spans="1:6" x14ac:dyDescent="0.25">
      <c r="A7460" t="s">
        <v>7749</v>
      </c>
      <c r="B7460" t="s">
        <v>832</v>
      </c>
      <c r="C7460" t="s">
        <v>833</v>
      </c>
      <c r="D7460" t="str">
        <f>HYPERLINK("http://service.sap.com/sap/support/notes/1707383","1707383")</f>
        <v>1707383</v>
      </c>
      <c r="E7460">
        <v>1</v>
      </c>
      <c r="F7460" t="s">
        <v>8879</v>
      </c>
    </row>
    <row r="7461" spans="1:6" x14ac:dyDescent="0.25">
      <c r="A7461" t="s">
        <v>7749</v>
      </c>
      <c r="B7461" t="s">
        <v>832</v>
      </c>
      <c r="C7461" t="s">
        <v>833</v>
      </c>
      <c r="D7461" t="str">
        <f>HYPERLINK("http://service.sap.com/sap/support/notes/1726443","1726443")</f>
        <v>1726443</v>
      </c>
      <c r="E7461">
        <v>2</v>
      </c>
      <c r="F7461" t="s">
        <v>8880</v>
      </c>
    </row>
    <row r="7462" spans="1:6" x14ac:dyDescent="0.25">
      <c r="A7462" t="s">
        <v>7749</v>
      </c>
      <c r="B7462" t="s">
        <v>3960</v>
      </c>
      <c r="C7462" t="s">
        <v>3961</v>
      </c>
      <c r="D7462" t="str">
        <f>HYPERLINK("http://service.sap.com/sap/support/notes/1685826","1685826")</f>
        <v>1685826</v>
      </c>
      <c r="E7462">
        <v>7</v>
      </c>
      <c r="F7462" t="s">
        <v>8881</v>
      </c>
    </row>
    <row r="7463" spans="1:6" x14ac:dyDescent="0.25">
      <c r="A7463" t="s">
        <v>7749</v>
      </c>
      <c r="B7463" t="s">
        <v>3960</v>
      </c>
      <c r="C7463" t="s">
        <v>3961</v>
      </c>
      <c r="D7463" t="str">
        <f>HYPERLINK("http://service.sap.com/sap/support/notes/1706621","1706621")</f>
        <v>1706621</v>
      </c>
      <c r="E7463">
        <v>3</v>
      </c>
      <c r="F7463" t="s">
        <v>8882</v>
      </c>
    </row>
    <row r="7464" spans="1:6" x14ac:dyDescent="0.25">
      <c r="A7464" t="s">
        <v>7749</v>
      </c>
      <c r="B7464" t="s">
        <v>835</v>
      </c>
      <c r="C7464" t="s">
        <v>836</v>
      </c>
    </row>
    <row r="7465" spans="1:6" x14ac:dyDescent="0.25">
      <c r="A7465" t="s">
        <v>7749</v>
      </c>
      <c r="B7465" t="s">
        <v>8883</v>
      </c>
      <c r="C7465" t="s">
        <v>8884</v>
      </c>
      <c r="D7465" t="str">
        <f>HYPERLINK("http://service.sap.com/sap/support/notes/1691616","1691616")</f>
        <v>1691616</v>
      </c>
      <c r="E7465">
        <v>2</v>
      </c>
      <c r="F7465" t="s">
        <v>8885</v>
      </c>
    </row>
    <row r="7466" spans="1:6" x14ac:dyDescent="0.25">
      <c r="A7466" t="s">
        <v>7749</v>
      </c>
      <c r="B7466" t="s">
        <v>840</v>
      </c>
      <c r="C7466" t="s">
        <v>602</v>
      </c>
    </row>
    <row r="7467" spans="1:6" x14ac:dyDescent="0.25">
      <c r="A7467" t="s">
        <v>7749</v>
      </c>
      <c r="B7467" t="s">
        <v>842</v>
      </c>
      <c r="C7467" t="s">
        <v>843</v>
      </c>
      <c r="D7467" t="str">
        <f>HYPERLINK("http://service.sap.com/sap/support/notes/1715766","1715766")</f>
        <v>1715766</v>
      </c>
      <c r="E7467">
        <v>1</v>
      </c>
      <c r="F7467" t="s">
        <v>8886</v>
      </c>
    </row>
    <row r="7468" spans="1:6" x14ac:dyDescent="0.25">
      <c r="A7468" t="s">
        <v>7749</v>
      </c>
      <c r="B7468" t="s">
        <v>842</v>
      </c>
      <c r="C7468" t="s">
        <v>843</v>
      </c>
      <c r="D7468" t="str">
        <f>HYPERLINK("http://service.sap.com/sap/support/notes/1717926","1717926")</f>
        <v>1717926</v>
      </c>
      <c r="E7468">
        <v>1</v>
      </c>
      <c r="F7468" t="s">
        <v>8887</v>
      </c>
    </row>
    <row r="7469" spans="1:6" x14ac:dyDescent="0.25">
      <c r="A7469" t="s">
        <v>7749</v>
      </c>
      <c r="B7469" t="s">
        <v>6977</v>
      </c>
      <c r="C7469" t="s">
        <v>843</v>
      </c>
      <c r="D7469" t="str">
        <f>HYPERLINK("http://service.sap.com/sap/support/notes/1696331","1696331")</f>
        <v>1696331</v>
      </c>
      <c r="E7469">
        <v>5</v>
      </c>
      <c r="F7469" t="s">
        <v>8888</v>
      </c>
    </row>
    <row r="7470" spans="1:6" x14ac:dyDescent="0.25">
      <c r="A7470" t="s">
        <v>7749</v>
      </c>
      <c r="B7470" t="s">
        <v>849</v>
      </c>
      <c r="C7470" t="s">
        <v>850</v>
      </c>
    </row>
    <row r="7471" spans="1:6" x14ac:dyDescent="0.25">
      <c r="A7471" t="s">
        <v>7749</v>
      </c>
      <c r="B7471" t="s">
        <v>851</v>
      </c>
      <c r="C7471" t="s">
        <v>852</v>
      </c>
      <c r="D7471" t="str">
        <f>HYPERLINK("http://service.sap.com/sap/support/notes/1711305","1711305")</f>
        <v>1711305</v>
      </c>
      <c r="E7471">
        <v>1</v>
      </c>
      <c r="F7471" t="s">
        <v>8889</v>
      </c>
    </row>
    <row r="7472" spans="1:6" x14ac:dyDescent="0.25">
      <c r="A7472" t="s">
        <v>7749</v>
      </c>
      <c r="B7472" t="s">
        <v>854</v>
      </c>
      <c r="C7472" t="s">
        <v>855</v>
      </c>
      <c r="D7472" t="str">
        <f>HYPERLINK("http://service.sap.com/sap/support/notes/1679874","1679874")</f>
        <v>1679874</v>
      </c>
      <c r="E7472">
        <v>2</v>
      </c>
      <c r="F7472" t="s">
        <v>8890</v>
      </c>
    </row>
    <row r="7473" spans="1:6" x14ac:dyDescent="0.25">
      <c r="A7473" t="s">
        <v>7749</v>
      </c>
      <c r="B7473" t="s">
        <v>854</v>
      </c>
      <c r="C7473" t="s">
        <v>855</v>
      </c>
      <c r="D7473" t="str">
        <f>HYPERLINK("http://service.sap.com/sap/support/notes/1679879","1679879")</f>
        <v>1679879</v>
      </c>
      <c r="E7473">
        <v>2</v>
      </c>
      <c r="F7473" t="s">
        <v>8891</v>
      </c>
    </row>
    <row r="7474" spans="1:6" x14ac:dyDescent="0.25">
      <c r="A7474" t="s">
        <v>7749</v>
      </c>
      <c r="B7474" t="s">
        <v>854</v>
      </c>
      <c r="C7474" t="s">
        <v>855</v>
      </c>
      <c r="D7474" t="str">
        <f>HYPERLINK("http://service.sap.com/sap/support/notes/1695727","1695727")</f>
        <v>1695727</v>
      </c>
      <c r="E7474">
        <v>1</v>
      </c>
      <c r="F7474" t="s">
        <v>8892</v>
      </c>
    </row>
    <row r="7475" spans="1:6" x14ac:dyDescent="0.25">
      <c r="A7475" t="s">
        <v>7749</v>
      </c>
      <c r="B7475" t="s">
        <v>858</v>
      </c>
      <c r="C7475" t="s">
        <v>859</v>
      </c>
    </row>
    <row r="7476" spans="1:6" x14ac:dyDescent="0.25">
      <c r="A7476" t="s">
        <v>7749</v>
      </c>
      <c r="B7476" t="s">
        <v>4017</v>
      </c>
      <c r="C7476" t="s">
        <v>4018</v>
      </c>
    </row>
    <row r="7477" spans="1:6" x14ac:dyDescent="0.25">
      <c r="A7477" t="s">
        <v>7749</v>
      </c>
      <c r="B7477" t="s">
        <v>4019</v>
      </c>
      <c r="C7477" t="s">
        <v>4020</v>
      </c>
      <c r="D7477" t="str">
        <f>HYPERLINK("http://service.sap.com/sap/support/notes/1681423","1681423")</f>
        <v>1681423</v>
      </c>
      <c r="E7477">
        <v>2</v>
      </c>
      <c r="F7477" t="s">
        <v>8893</v>
      </c>
    </row>
    <row r="7478" spans="1:6" x14ac:dyDescent="0.25">
      <c r="A7478" t="s">
        <v>7749</v>
      </c>
      <c r="B7478" t="s">
        <v>860</v>
      </c>
      <c r="C7478" t="s">
        <v>861</v>
      </c>
      <c r="D7478" t="str">
        <f>HYPERLINK("http://service.sap.com/sap/support/notes/1669984","1669984")</f>
        <v>1669984</v>
      </c>
      <c r="E7478">
        <v>3</v>
      </c>
      <c r="F7478" t="s">
        <v>8894</v>
      </c>
    </row>
    <row r="7479" spans="1:6" x14ac:dyDescent="0.25">
      <c r="A7479" t="s">
        <v>7749</v>
      </c>
      <c r="B7479" t="s">
        <v>860</v>
      </c>
      <c r="C7479" t="s">
        <v>861</v>
      </c>
      <c r="D7479" t="str">
        <f>HYPERLINK("http://service.sap.com/sap/support/notes/1712644","1712644")</f>
        <v>1712644</v>
      </c>
      <c r="E7479">
        <v>1</v>
      </c>
      <c r="F7479" t="s">
        <v>8895</v>
      </c>
    </row>
    <row r="7480" spans="1:6" x14ac:dyDescent="0.25">
      <c r="A7480" t="s">
        <v>7749</v>
      </c>
      <c r="B7480" t="s">
        <v>860</v>
      </c>
      <c r="C7480" t="s">
        <v>861</v>
      </c>
      <c r="D7480" t="str">
        <f>HYPERLINK("http://service.sap.com/sap/support/notes/1713480","1713480")</f>
        <v>1713480</v>
      </c>
      <c r="E7480">
        <v>1</v>
      </c>
      <c r="F7480" t="s">
        <v>8896</v>
      </c>
    </row>
    <row r="7481" spans="1:6" x14ac:dyDescent="0.25">
      <c r="A7481" t="s">
        <v>7749</v>
      </c>
      <c r="B7481" t="s">
        <v>860</v>
      </c>
      <c r="C7481" t="s">
        <v>861</v>
      </c>
      <c r="D7481" t="str">
        <f>HYPERLINK("http://service.sap.com/sap/support/notes/1717961","1717961")</f>
        <v>1717961</v>
      </c>
      <c r="E7481">
        <v>1</v>
      </c>
      <c r="F7481" t="s">
        <v>8897</v>
      </c>
    </row>
    <row r="7482" spans="1:6" x14ac:dyDescent="0.25">
      <c r="A7482" t="s">
        <v>7749</v>
      </c>
      <c r="B7482" t="s">
        <v>864</v>
      </c>
      <c r="C7482" t="s">
        <v>337</v>
      </c>
    </row>
    <row r="7483" spans="1:6" x14ac:dyDescent="0.25">
      <c r="A7483" t="s">
        <v>7749</v>
      </c>
      <c r="B7483" t="s">
        <v>865</v>
      </c>
      <c r="C7483" t="s">
        <v>866</v>
      </c>
      <c r="D7483" t="str">
        <f>HYPERLINK("http://service.sap.com/sap/support/notes/1090663","1090663")</f>
        <v>1090663</v>
      </c>
      <c r="E7483">
        <v>9</v>
      </c>
      <c r="F7483" t="s">
        <v>7001</v>
      </c>
    </row>
    <row r="7484" spans="1:6" x14ac:dyDescent="0.25">
      <c r="A7484" t="s">
        <v>7749</v>
      </c>
      <c r="B7484" t="s">
        <v>868</v>
      </c>
      <c r="C7484" t="s">
        <v>869</v>
      </c>
      <c r="D7484" t="str">
        <f>HYPERLINK("http://service.sap.com/sap/support/notes/1700650","1700650")</f>
        <v>1700650</v>
      </c>
      <c r="E7484">
        <v>1</v>
      </c>
      <c r="F7484" t="s">
        <v>8898</v>
      </c>
    </row>
    <row r="7485" spans="1:6" x14ac:dyDescent="0.25">
      <c r="A7485" t="s">
        <v>7749</v>
      </c>
      <c r="B7485" t="s">
        <v>8899</v>
      </c>
      <c r="C7485" t="s">
        <v>3936</v>
      </c>
      <c r="D7485" t="str">
        <f>HYPERLINK("http://service.sap.com/sap/support/notes/1707079","1707079")</f>
        <v>1707079</v>
      </c>
      <c r="E7485">
        <v>2</v>
      </c>
      <c r="F7485" t="s">
        <v>8900</v>
      </c>
    </row>
    <row r="7486" spans="1:6" x14ac:dyDescent="0.25">
      <c r="A7486" t="s">
        <v>7749</v>
      </c>
      <c r="B7486" t="s">
        <v>4040</v>
      </c>
      <c r="C7486" t="s">
        <v>33</v>
      </c>
    </row>
    <row r="7487" spans="1:6" x14ac:dyDescent="0.25">
      <c r="A7487" t="s">
        <v>7749</v>
      </c>
      <c r="B7487" t="s">
        <v>8901</v>
      </c>
      <c r="C7487" t="s">
        <v>93</v>
      </c>
      <c r="D7487" t="str">
        <f>HYPERLINK("http://service.sap.com/sap/support/notes/1714849","1714849")</f>
        <v>1714849</v>
      </c>
      <c r="E7487">
        <v>2</v>
      </c>
      <c r="F7487" t="s">
        <v>8902</v>
      </c>
    </row>
    <row r="7488" spans="1:6" x14ac:dyDescent="0.25">
      <c r="A7488" t="s">
        <v>7749</v>
      </c>
      <c r="B7488" t="s">
        <v>8903</v>
      </c>
      <c r="C7488" t="s">
        <v>126</v>
      </c>
      <c r="D7488" t="str">
        <f>HYPERLINK("http://service.sap.com/sap/support/notes/1709322","1709322")</f>
        <v>1709322</v>
      </c>
      <c r="E7488">
        <v>1</v>
      </c>
      <c r="F7488" t="s">
        <v>8904</v>
      </c>
    </row>
    <row r="7489" spans="1:6" x14ac:dyDescent="0.25">
      <c r="A7489" t="s">
        <v>7749</v>
      </c>
      <c r="B7489" t="s">
        <v>4041</v>
      </c>
      <c r="C7489" t="s">
        <v>4042</v>
      </c>
      <c r="D7489" t="str">
        <f>HYPERLINK("http://service.sap.com/sap/support/notes/1686850","1686850")</f>
        <v>1686850</v>
      </c>
      <c r="E7489">
        <v>3</v>
      </c>
      <c r="F7489" t="s">
        <v>8905</v>
      </c>
    </row>
    <row r="7490" spans="1:6" x14ac:dyDescent="0.25">
      <c r="A7490" t="s">
        <v>7749</v>
      </c>
      <c r="B7490" t="s">
        <v>4041</v>
      </c>
      <c r="C7490" t="s">
        <v>4042</v>
      </c>
      <c r="D7490" t="str">
        <f>HYPERLINK("http://service.sap.com/sap/support/notes/1709849","1709849")</f>
        <v>1709849</v>
      </c>
      <c r="E7490">
        <v>1</v>
      </c>
      <c r="F7490" t="s">
        <v>8906</v>
      </c>
    </row>
    <row r="7491" spans="1:6" x14ac:dyDescent="0.25">
      <c r="A7491" t="s">
        <v>7749</v>
      </c>
      <c r="B7491" t="s">
        <v>872</v>
      </c>
      <c r="C7491" t="s">
        <v>873</v>
      </c>
      <c r="D7491" t="str">
        <f>HYPERLINK("http://service.sap.com/sap/support/notes/1708661","1708661")</f>
        <v>1708661</v>
      </c>
      <c r="E7491">
        <v>3</v>
      </c>
      <c r="F7491" t="s">
        <v>8907</v>
      </c>
    </row>
    <row r="7492" spans="1:6" x14ac:dyDescent="0.25">
      <c r="A7492" t="s">
        <v>7749</v>
      </c>
      <c r="B7492" t="s">
        <v>872</v>
      </c>
      <c r="C7492" t="s">
        <v>873</v>
      </c>
      <c r="D7492" t="str">
        <f>HYPERLINK("http://service.sap.com/sap/support/notes/1719854","1719854")</f>
        <v>1719854</v>
      </c>
      <c r="E7492">
        <v>1</v>
      </c>
      <c r="F7492" t="s">
        <v>8908</v>
      </c>
    </row>
    <row r="7493" spans="1:6" x14ac:dyDescent="0.25">
      <c r="A7493" t="s">
        <v>7749</v>
      </c>
      <c r="B7493" t="s">
        <v>875</v>
      </c>
      <c r="C7493" t="s">
        <v>876</v>
      </c>
      <c r="D7493" t="str">
        <f>HYPERLINK("http://service.sap.com/sap/support/notes/1701176","1701176")</f>
        <v>1701176</v>
      </c>
      <c r="E7493">
        <v>2</v>
      </c>
      <c r="F7493" t="s">
        <v>8909</v>
      </c>
    </row>
    <row r="7494" spans="1:6" x14ac:dyDescent="0.25">
      <c r="A7494" t="s">
        <v>7749</v>
      </c>
      <c r="B7494" t="s">
        <v>875</v>
      </c>
      <c r="C7494" t="s">
        <v>876</v>
      </c>
      <c r="D7494" t="str">
        <f>HYPERLINK("http://service.sap.com/sap/support/notes/1711094","1711094")</f>
        <v>1711094</v>
      </c>
      <c r="E7494">
        <v>1</v>
      </c>
      <c r="F7494" t="s">
        <v>8910</v>
      </c>
    </row>
    <row r="7495" spans="1:6" x14ac:dyDescent="0.25">
      <c r="A7495" t="s">
        <v>7749</v>
      </c>
      <c r="B7495" t="s">
        <v>879</v>
      </c>
      <c r="C7495" t="s">
        <v>880</v>
      </c>
      <c r="D7495" t="str">
        <f>HYPERLINK("http://service.sap.com/sap/support/notes/1697524","1697524")</f>
        <v>1697524</v>
      </c>
      <c r="E7495">
        <v>1</v>
      </c>
      <c r="F7495" t="s">
        <v>8911</v>
      </c>
    </row>
    <row r="7496" spans="1:6" x14ac:dyDescent="0.25">
      <c r="A7496" t="s">
        <v>7749</v>
      </c>
      <c r="B7496" t="s">
        <v>879</v>
      </c>
      <c r="C7496" t="s">
        <v>880</v>
      </c>
      <c r="D7496" t="str">
        <f>HYPERLINK("http://service.sap.com/sap/support/notes/1697652","1697652")</f>
        <v>1697652</v>
      </c>
      <c r="E7496">
        <v>1</v>
      </c>
      <c r="F7496" t="s">
        <v>8912</v>
      </c>
    </row>
    <row r="7497" spans="1:6" x14ac:dyDescent="0.25">
      <c r="A7497" t="s">
        <v>7749</v>
      </c>
      <c r="B7497" t="s">
        <v>879</v>
      </c>
      <c r="C7497" t="s">
        <v>880</v>
      </c>
      <c r="D7497" t="str">
        <f>HYPERLINK("http://service.sap.com/sap/support/notes/1699703","1699703")</f>
        <v>1699703</v>
      </c>
      <c r="E7497">
        <v>1</v>
      </c>
      <c r="F7497" t="s">
        <v>8913</v>
      </c>
    </row>
    <row r="7498" spans="1:6" x14ac:dyDescent="0.25">
      <c r="A7498" t="s">
        <v>7749</v>
      </c>
      <c r="B7498" t="s">
        <v>879</v>
      </c>
      <c r="C7498" t="s">
        <v>880</v>
      </c>
      <c r="D7498" t="str">
        <f>HYPERLINK("http://service.sap.com/sap/support/notes/1700073","1700073")</f>
        <v>1700073</v>
      </c>
      <c r="E7498">
        <v>1</v>
      </c>
      <c r="F7498" t="s">
        <v>8914</v>
      </c>
    </row>
    <row r="7499" spans="1:6" x14ac:dyDescent="0.25">
      <c r="A7499" t="s">
        <v>7749</v>
      </c>
      <c r="B7499" t="s">
        <v>879</v>
      </c>
      <c r="C7499" t="s">
        <v>880</v>
      </c>
      <c r="D7499" t="str">
        <f>HYPERLINK("http://service.sap.com/sap/support/notes/1700574","1700574")</f>
        <v>1700574</v>
      </c>
      <c r="E7499">
        <v>1</v>
      </c>
      <c r="F7499" t="s">
        <v>8915</v>
      </c>
    </row>
    <row r="7500" spans="1:6" x14ac:dyDescent="0.25">
      <c r="A7500" t="s">
        <v>7749</v>
      </c>
      <c r="B7500" t="s">
        <v>879</v>
      </c>
      <c r="C7500" t="s">
        <v>880</v>
      </c>
      <c r="D7500" t="str">
        <f>HYPERLINK("http://service.sap.com/sap/support/notes/1702213","1702213")</f>
        <v>1702213</v>
      </c>
      <c r="E7500">
        <v>1</v>
      </c>
      <c r="F7500" t="s">
        <v>8916</v>
      </c>
    </row>
    <row r="7501" spans="1:6" x14ac:dyDescent="0.25">
      <c r="A7501" t="s">
        <v>7749</v>
      </c>
      <c r="B7501" t="s">
        <v>879</v>
      </c>
      <c r="C7501" t="s">
        <v>880</v>
      </c>
      <c r="D7501" t="str">
        <f>HYPERLINK("http://service.sap.com/sap/support/notes/1708608","1708608")</f>
        <v>1708608</v>
      </c>
      <c r="E7501">
        <v>1</v>
      </c>
      <c r="F7501" t="s">
        <v>8917</v>
      </c>
    </row>
    <row r="7502" spans="1:6" x14ac:dyDescent="0.25">
      <c r="A7502" t="s">
        <v>7749</v>
      </c>
      <c r="B7502" t="s">
        <v>879</v>
      </c>
      <c r="C7502" t="s">
        <v>880</v>
      </c>
      <c r="D7502" t="str">
        <f>HYPERLINK("http://service.sap.com/sap/support/notes/1709768","1709768")</f>
        <v>1709768</v>
      </c>
      <c r="E7502">
        <v>1</v>
      </c>
      <c r="F7502" t="s">
        <v>8918</v>
      </c>
    </row>
    <row r="7503" spans="1:6" x14ac:dyDescent="0.25">
      <c r="A7503" t="s">
        <v>7749</v>
      </c>
      <c r="B7503" t="s">
        <v>879</v>
      </c>
      <c r="C7503" t="s">
        <v>880</v>
      </c>
      <c r="D7503" t="str">
        <f>HYPERLINK("http://service.sap.com/sap/support/notes/1709853","1709853")</f>
        <v>1709853</v>
      </c>
      <c r="E7503">
        <v>2</v>
      </c>
      <c r="F7503" t="s">
        <v>8919</v>
      </c>
    </row>
    <row r="7504" spans="1:6" x14ac:dyDescent="0.25">
      <c r="A7504" t="s">
        <v>7749</v>
      </c>
      <c r="B7504" t="s">
        <v>879</v>
      </c>
      <c r="C7504" t="s">
        <v>880</v>
      </c>
      <c r="D7504" t="str">
        <f>HYPERLINK("http://service.sap.com/sap/support/notes/1710727","1710727")</f>
        <v>1710727</v>
      </c>
      <c r="E7504">
        <v>1</v>
      </c>
      <c r="F7504" t="s">
        <v>8920</v>
      </c>
    </row>
    <row r="7505" spans="1:6" x14ac:dyDescent="0.25">
      <c r="A7505" t="s">
        <v>7749</v>
      </c>
      <c r="B7505" t="s">
        <v>879</v>
      </c>
      <c r="C7505" t="s">
        <v>880</v>
      </c>
      <c r="D7505" t="str">
        <f>HYPERLINK("http://service.sap.com/sap/support/notes/1713095","1713095")</f>
        <v>1713095</v>
      </c>
      <c r="E7505">
        <v>1</v>
      </c>
      <c r="F7505" t="s">
        <v>8921</v>
      </c>
    </row>
    <row r="7506" spans="1:6" x14ac:dyDescent="0.25">
      <c r="A7506" t="s">
        <v>7749</v>
      </c>
      <c r="B7506" t="s">
        <v>879</v>
      </c>
      <c r="C7506" t="s">
        <v>880</v>
      </c>
      <c r="D7506" t="str">
        <f>HYPERLINK("http://service.sap.com/sap/support/notes/1721729","1721729")</f>
        <v>1721729</v>
      </c>
      <c r="E7506">
        <v>1</v>
      </c>
      <c r="F7506" t="s">
        <v>8922</v>
      </c>
    </row>
    <row r="7507" spans="1:6" x14ac:dyDescent="0.25">
      <c r="A7507" t="s">
        <v>7749</v>
      </c>
      <c r="B7507" t="s">
        <v>879</v>
      </c>
      <c r="C7507" t="s">
        <v>880</v>
      </c>
      <c r="D7507" t="str">
        <f>HYPERLINK("http://service.sap.com/sap/support/notes/1723232","1723232")</f>
        <v>1723232</v>
      </c>
      <c r="E7507">
        <v>1</v>
      </c>
      <c r="F7507" t="s">
        <v>8923</v>
      </c>
    </row>
    <row r="7508" spans="1:6" x14ac:dyDescent="0.25">
      <c r="A7508" t="s">
        <v>7749</v>
      </c>
      <c r="B7508" t="s">
        <v>886</v>
      </c>
      <c r="C7508" t="s">
        <v>887</v>
      </c>
      <c r="D7508" t="str">
        <f>HYPERLINK("http://service.sap.com/sap/support/notes/1655760","1655760")</f>
        <v>1655760</v>
      </c>
      <c r="E7508">
        <v>3</v>
      </c>
      <c r="F7508" t="s">
        <v>8924</v>
      </c>
    </row>
    <row r="7509" spans="1:6" x14ac:dyDescent="0.25">
      <c r="A7509" t="s">
        <v>7749</v>
      </c>
      <c r="B7509" t="s">
        <v>886</v>
      </c>
      <c r="C7509" t="s">
        <v>887</v>
      </c>
      <c r="D7509" t="str">
        <f>HYPERLINK("http://service.sap.com/sap/support/notes/1722233","1722233")</f>
        <v>1722233</v>
      </c>
      <c r="E7509">
        <v>2</v>
      </c>
      <c r="F7509" t="s">
        <v>8925</v>
      </c>
    </row>
    <row r="7510" spans="1:6" x14ac:dyDescent="0.25">
      <c r="A7510" t="s">
        <v>7749</v>
      </c>
      <c r="B7510" t="s">
        <v>891</v>
      </c>
      <c r="C7510" t="s">
        <v>651</v>
      </c>
    </row>
    <row r="7511" spans="1:6" x14ac:dyDescent="0.25">
      <c r="A7511" t="s">
        <v>7749</v>
      </c>
      <c r="B7511" t="s">
        <v>7036</v>
      </c>
      <c r="C7511" t="s">
        <v>7037</v>
      </c>
    </row>
    <row r="7512" spans="1:6" x14ac:dyDescent="0.25">
      <c r="A7512" t="s">
        <v>7749</v>
      </c>
      <c r="B7512" t="s">
        <v>7038</v>
      </c>
      <c r="C7512" t="s">
        <v>7039</v>
      </c>
      <c r="D7512" t="str">
        <f>HYPERLINK("http://service.sap.com/sap/support/notes/1704255","1704255")</f>
        <v>1704255</v>
      </c>
      <c r="E7512">
        <v>1</v>
      </c>
      <c r="F7512" t="s">
        <v>8926</v>
      </c>
    </row>
    <row r="7513" spans="1:6" x14ac:dyDescent="0.25">
      <c r="A7513" t="s">
        <v>7749</v>
      </c>
      <c r="B7513" t="s">
        <v>7038</v>
      </c>
      <c r="C7513" t="s">
        <v>7039</v>
      </c>
      <c r="D7513" t="str">
        <f>HYPERLINK("http://service.sap.com/sap/support/notes/1704638","1704638")</f>
        <v>1704638</v>
      </c>
      <c r="E7513">
        <v>1</v>
      </c>
      <c r="F7513" t="s">
        <v>8927</v>
      </c>
    </row>
    <row r="7514" spans="1:6" x14ac:dyDescent="0.25">
      <c r="A7514" t="s">
        <v>7749</v>
      </c>
      <c r="B7514" t="s">
        <v>7038</v>
      </c>
      <c r="C7514" t="s">
        <v>7039</v>
      </c>
      <c r="D7514" t="str">
        <f>HYPERLINK("http://service.sap.com/sap/support/notes/1706795","1706795")</f>
        <v>1706795</v>
      </c>
      <c r="E7514">
        <v>1</v>
      </c>
      <c r="F7514" t="s">
        <v>8928</v>
      </c>
    </row>
    <row r="7515" spans="1:6" x14ac:dyDescent="0.25">
      <c r="A7515" t="s">
        <v>7749</v>
      </c>
      <c r="B7515" t="s">
        <v>4102</v>
      </c>
      <c r="C7515" t="s">
        <v>4103</v>
      </c>
      <c r="D7515" t="str">
        <f>HYPERLINK("http://service.sap.com/sap/support/notes/1631053","1631053")</f>
        <v>1631053</v>
      </c>
      <c r="E7515">
        <v>2</v>
      </c>
      <c r="F7515" t="s">
        <v>8929</v>
      </c>
    </row>
    <row r="7516" spans="1:6" x14ac:dyDescent="0.25">
      <c r="A7516" t="s">
        <v>7749</v>
      </c>
      <c r="B7516" t="s">
        <v>4102</v>
      </c>
      <c r="C7516" t="s">
        <v>4103</v>
      </c>
      <c r="D7516" t="str">
        <f>HYPERLINK("http://service.sap.com/sap/support/notes/1678812","1678812")</f>
        <v>1678812</v>
      </c>
      <c r="E7516">
        <v>1</v>
      </c>
      <c r="F7516" t="s">
        <v>8930</v>
      </c>
    </row>
    <row r="7517" spans="1:6" x14ac:dyDescent="0.25">
      <c r="A7517" t="s">
        <v>7749</v>
      </c>
      <c r="B7517" t="s">
        <v>4102</v>
      </c>
      <c r="C7517" t="s">
        <v>4103</v>
      </c>
      <c r="D7517" t="str">
        <f>HYPERLINK("http://service.sap.com/sap/support/notes/1693911","1693911")</f>
        <v>1693911</v>
      </c>
      <c r="E7517">
        <v>2</v>
      </c>
      <c r="F7517" t="s">
        <v>8931</v>
      </c>
    </row>
    <row r="7518" spans="1:6" x14ac:dyDescent="0.25">
      <c r="A7518" t="s">
        <v>7749</v>
      </c>
      <c r="B7518" t="s">
        <v>4102</v>
      </c>
      <c r="C7518" t="s">
        <v>4103</v>
      </c>
      <c r="D7518" t="str">
        <f>HYPERLINK("http://service.sap.com/sap/support/notes/1701934","1701934")</f>
        <v>1701934</v>
      </c>
      <c r="E7518">
        <v>4</v>
      </c>
      <c r="F7518" t="s">
        <v>8932</v>
      </c>
    </row>
    <row r="7519" spans="1:6" x14ac:dyDescent="0.25">
      <c r="A7519" t="s">
        <v>7749</v>
      </c>
      <c r="B7519" t="s">
        <v>4102</v>
      </c>
      <c r="C7519" t="s">
        <v>4103</v>
      </c>
      <c r="D7519" t="str">
        <f>HYPERLINK("http://service.sap.com/sap/support/notes/1702175","1702175")</f>
        <v>1702175</v>
      </c>
      <c r="E7519">
        <v>2</v>
      </c>
      <c r="F7519" t="s">
        <v>8933</v>
      </c>
    </row>
    <row r="7520" spans="1:6" x14ac:dyDescent="0.25">
      <c r="A7520" t="s">
        <v>7749</v>
      </c>
      <c r="B7520" t="s">
        <v>4102</v>
      </c>
      <c r="C7520" t="s">
        <v>4103</v>
      </c>
      <c r="D7520" t="str">
        <f>HYPERLINK("http://service.sap.com/sap/support/notes/1723268","1723268")</f>
        <v>1723268</v>
      </c>
      <c r="E7520">
        <v>1</v>
      </c>
      <c r="F7520" t="s">
        <v>8934</v>
      </c>
    </row>
    <row r="7521" spans="1:6" x14ac:dyDescent="0.25">
      <c r="A7521" t="s">
        <v>7749</v>
      </c>
      <c r="B7521" t="s">
        <v>892</v>
      </c>
      <c r="C7521" t="s">
        <v>337</v>
      </c>
    </row>
    <row r="7522" spans="1:6" x14ac:dyDescent="0.25">
      <c r="A7522" t="s">
        <v>7749</v>
      </c>
      <c r="B7522" t="s">
        <v>893</v>
      </c>
      <c r="C7522" t="s">
        <v>894</v>
      </c>
      <c r="D7522" t="str">
        <f>HYPERLINK("http://service.sap.com/sap/support/notes/1688163","1688163")</f>
        <v>1688163</v>
      </c>
      <c r="E7522">
        <v>2</v>
      </c>
      <c r="F7522" t="s">
        <v>8935</v>
      </c>
    </row>
    <row r="7523" spans="1:6" x14ac:dyDescent="0.25">
      <c r="A7523" t="s">
        <v>7749</v>
      </c>
      <c r="B7523" t="s">
        <v>893</v>
      </c>
      <c r="C7523" t="s">
        <v>894</v>
      </c>
      <c r="D7523" t="str">
        <f>HYPERLINK("http://service.sap.com/sap/support/notes/1702146","1702146")</f>
        <v>1702146</v>
      </c>
      <c r="E7523">
        <v>4</v>
      </c>
      <c r="F7523" t="s">
        <v>8936</v>
      </c>
    </row>
    <row r="7524" spans="1:6" x14ac:dyDescent="0.25">
      <c r="A7524" t="s">
        <v>7749</v>
      </c>
      <c r="B7524" t="s">
        <v>4114</v>
      </c>
      <c r="C7524" t="s">
        <v>4115</v>
      </c>
      <c r="D7524" t="str">
        <f>HYPERLINK("http://service.sap.com/sap/support/notes/1653977","1653977")</f>
        <v>1653977</v>
      </c>
      <c r="E7524">
        <v>3</v>
      </c>
      <c r="F7524" t="s">
        <v>8937</v>
      </c>
    </row>
    <row r="7525" spans="1:6" x14ac:dyDescent="0.25">
      <c r="A7525" t="s">
        <v>7749</v>
      </c>
      <c r="B7525" t="s">
        <v>4117</v>
      </c>
      <c r="C7525" t="s">
        <v>4118</v>
      </c>
      <c r="D7525" t="str">
        <f>HYPERLINK("http://service.sap.com/sap/support/notes/1548150","1548150")</f>
        <v>1548150</v>
      </c>
      <c r="E7525">
        <v>5</v>
      </c>
      <c r="F7525" t="s">
        <v>8938</v>
      </c>
    </row>
    <row r="7526" spans="1:6" x14ac:dyDescent="0.25">
      <c r="A7526" t="s">
        <v>7749</v>
      </c>
      <c r="B7526" t="s">
        <v>4117</v>
      </c>
      <c r="C7526" t="s">
        <v>4118</v>
      </c>
      <c r="D7526" t="str">
        <f>HYPERLINK("http://service.sap.com/sap/support/notes/1679572","1679572")</f>
        <v>1679572</v>
      </c>
      <c r="E7526">
        <v>3</v>
      </c>
      <c r="F7526" t="s">
        <v>8939</v>
      </c>
    </row>
    <row r="7527" spans="1:6" x14ac:dyDescent="0.25">
      <c r="A7527" t="s">
        <v>7749</v>
      </c>
      <c r="B7527" t="s">
        <v>4120</v>
      </c>
      <c r="C7527" t="s">
        <v>2440</v>
      </c>
      <c r="D7527" t="str">
        <f>HYPERLINK("http://service.sap.com/sap/support/notes/1586988","1586988")</f>
        <v>1586988</v>
      </c>
      <c r="E7527">
        <v>5</v>
      </c>
      <c r="F7527" t="s">
        <v>8940</v>
      </c>
    </row>
    <row r="7528" spans="1:6" x14ac:dyDescent="0.25">
      <c r="A7528" t="s">
        <v>7749</v>
      </c>
      <c r="B7528" t="s">
        <v>4120</v>
      </c>
      <c r="C7528" t="s">
        <v>2440</v>
      </c>
      <c r="D7528" t="str">
        <f>HYPERLINK("http://service.sap.com/sap/support/notes/1688165","1688165")</f>
        <v>1688165</v>
      </c>
      <c r="E7528">
        <v>3</v>
      </c>
      <c r="F7528" t="s">
        <v>8941</v>
      </c>
    </row>
    <row r="7529" spans="1:6" x14ac:dyDescent="0.25">
      <c r="A7529" t="s">
        <v>7749</v>
      </c>
      <c r="B7529" t="s">
        <v>4120</v>
      </c>
      <c r="C7529" t="s">
        <v>2440</v>
      </c>
      <c r="D7529" t="str">
        <f>HYPERLINK("http://service.sap.com/sap/support/notes/1695919","1695919")</f>
        <v>1695919</v>
      </c>
      <c r="E7529">
        <v>1</v>
      </c>
      <c r="F7529" t="s">
        <v>8942</v>
      </c>
    </row>
    <row r="7530" spans="1:6" x14ac:dyDescent="0.25">
      <c r="A7530" t="s">
        <v>7749</v>
      </c>
      <c r="B7530" t="s">
        <v>4132</v>
      </c>
      <c r="C7530" t="s">
        <v>4133</v>
      </c>
      <c r="D7530" t="str">
        <f>HYPERLINK("http://service.sap.com/sap/support/notes/1712694","1712694")</f>
        <v>1712694</v>
      </c>
      <c r="E7530">
        <v>1</v>
      </c>
      <c r="F7530" t="s">
        <v>8943</v>
      </c>
    </row>
    <row r="7531" spans="1:6" x14ac:dyDescent="0.25">
      <c r="A7531" t="s">
        <v>7749</v>
      </c>
      <c r="B7531" t="s">
        <v>4139</v>
      </c>
      <c r="C7531" t="s">
        <v>4140</v>
      </c>
      <c r="D7531" t="str">
        <f>HYPERLINK("http://service.sap.com/sap/support/notes/1713481","1713481")</f>
        <v>1713481</v>
      </c>
      <c r="E7531">
        <v>10</v>
      </c>
      <c r="F7531" t="s">
        <v>8944</v>
      </c>
    </row>
    <row r="7532" spans="1:6" x14ac:dyDescent="0.25">
      <c r="A7532" t="s">
        <v>7749</v>
      </c>
      <c r="B7532" t="s">
        <v>4139</v>
      </c>
      <c r="C7532" t="s">
        <v>4140</v>
      </c>
      <c r="D7532" t="str">
        <f>HYPERLINK("http://service.sap.com/sap/support/notes/1715605","1715605")</f>
        <v>1715605</v>
      </c>
      <c r="E7532">
        <v>3</v>
      </c>
      <c r="F7532" t="s">
        <v>8945</v>
      </c>
    </row>
    <row r="7533" spans="1:6" x14ac:dyDescent="0.25">
      <c r="A7533" t="s">
        <v>7749</v>
      </c>
      <c r="B7533" t="s">
        <v>4139</v>
      </c>
      <c r="C7533" t="s">
        <v>4140</v>
      </c>
      <c r="D7533" t="str">
        <f>HYPERLINK("http://service.sap.com/sap/support/notes/1727113","1727113")</f>
        <v>1727113</v>
      </c>
      <c r="E7533">
        <v>1</v>
      </c>
      <c r="F7533" t="s">
        <v>8946</v>
      </c>
    </row>
    <row r="7534" spans="1:6" x14ac:dyDescent="0.25">
      <c r="A7534" t="s">
        <v>7749</v>
      </c>
      <c r="B7534" t="s">
        <v>4145</v>
      </c>
      <c r="C7534" t="s">
        <v>4146</v>
      </c>
      <c r="D7534" t="str">
        <f>HYPERLINK("http://service.sap.com/sap/support/notes/1627736","1627736")</f>
        <v>1627736</v>
      </c>
      <c r="E7534">
        <v>2</v>
      </c>
      <c r="F7534" t="s">
        <v>8947</v>
      </c>
    </row>
    <row r="7535" spans="1:6" x14ac:dyDescent="0.25">
      <c r="A7535" t="s">
        <v>7749</v>
      </c>
      <c r="B7535" t="s">
        <v>4152</v>
      </c>
      <c r="C7535" t="s">
        <v>4153</v>
      </c>
      <c r="D7535" t="str">
        <f>HYPERLINK("http://service.sap.com/sap/support/notes/1699087","1699087")</f>
        <v>1699087</v>
      </c>
      <c r="E7535">
        <v>2</v>
      </c>
      <c r="F7535" t="s">
        <v>8948</v>
      </c>
    </row>
    <row r="7536" spans="1:6" x14ac:dyDescent="0.25">
      <c r="A7536" t="s">
        <v>7749</v>
      </c>
      <c r="B7536" t="s">
        <v>4152</v>
      </c>
      <c r="C7536" t="s">
        <v>4153</v>
      </c>
      <c r="D7536" t="str">
        <f>HYPERLINK("http://service.sap.com/sap/support/notes/1714238","1714238")</f>
        <v>1714238</v>
      </c>
      <c r="E7536">
        <v>2</v>
      </c>
      <c r="F7536" t="s">
        <v>8949</v>
      </c>
    </row>
    <row r="7537" spans="1:6" x14ac:dyDescent="0.25">
      <c r="A7537" t="s">
        <v>7749</v>
      </c>
      <c r="B7537" t="s">
        <v>899</v>
      </c>
      <c r="C7537" t="s">
        <v>900</v>
      </c>
      <c r="D7537" t="str">
        <f>HYPERLINK("http://service.sap.com/sap/support/notes/1697491","1697491")</f>
        <v>1697491</v>
      </c>
      <c r="E7537">
        <v>1</v>
      </c>
      <c r="F7537" t="s">
        <v>8950</v>
      </c>
    </row>
    <row r="7538" spans="1:6" x14ac:dyDescent="0.25">
      <c r="A7538" t="s">
        <v>7749</v>
      </c>
      <c r="B7538" t="s">
        <v>899</v>
      </c>
      <c r="C7538" t="s">
        <v>900</v>
      </c>
      <c r="D7538" t="str">
        <f>HYPERLINK("http://service.sap.com/sap/support/notes/1701092","1701092")</f>
        <v>1701092</v>
      </c>
      <c r="E7538">
        <v>1</v>
      </c>
      <c r="F7538" t="s">
        <v>8951</v>
      </c>
    </row>
    <row r="7539" spans="1:6" x14ac:dyDescent="0.25">
      <c r="A7539" t="s">
        <v>7749</v>
      </c>
      <c r="B7539" t="s">
        <v>899</v>
      </c>
      <c r="C7539" t="s">
        <v>900</v>
      </c>
      <c r="D7539" t="str">
        <f>HYPERLINK("http://service.sap.com/sap/support/notes/1701407","1701407")</f>
        <v>1701407</v>
      </c>
      <c r="E7539">
        <v>2</v>
      </c>
      <c r="F7539" t="s">
        <v>8952</v>
      </c>
    </row>
    <row r="7540" spans="1:6" x14ac:dyDescent="0.25">
      <c r="A7540" t="s">
        <v>7749</v>
      </c>
      <c r="B7540" t="s">
        <v>899</v>
      </c>
      <c r="C7540" t="s">
        <v>900</v>
      </c>
      <c r="D7540" t="str">
        <f>HYPERLINK("http://service.sap.com/sap/support/notes/1702182","1702182")</f>
        <v>1702182</v>
      </c>
      <c r="E7540">
        <v>2</v>
      </c>
      <c r="F7540" t="s">
        <v>8953</v>
      </c>
    </row>
    <row r="7541" spans="1:6" x14ac:dyDescent="0.25">
      <c r="A7541" t="s">
        <v>7749</v>
      </c>
      <c r="B7541" t="s">
        <v>899</v>
      </c>
      <c r="C7541" t="s">
        <v>900</v>
      </c>
      <c r="D7541" t="str">
        <f>HYPERLINK("http://service.sap.com/sap/support/notes/1709728","1709728")</f>
        <v>1709728</v>
      </c>
      <c r="E7541">
        <v>1</v>
      </c>
      <c r="F7541" t="s">
        <v>8954</v>
      </c>
    </row>
    <row r="7542" spans="1:6" x14ac:dyDescent="0.25">
      <c r="A7542" t="s">
        <v>7749</v>
      </c>
      <c r="B7542" t="s">
        <v>899</v>
      </c>
      <c r="C7542" t="s">
        <v>900</v>
      </c>
      <c r="D7542" t="str">
        <f>HYPERLINK("http://service.sap.com/sap/support/notes/1720460","1720460")</f>
        <v>1720460</v>
      </c>
      <c r="E7542">
        <v>1</v>
      </c>
      <c r="F7542" t="s">
        <v>8955</v>
      </c>
    </row>
    <row r="7543" spans="1:6" x14ac:dyDescent="0.25">
      <c r="A7543" t="s">
        <v>7749</v>
      </c>
      <c r="B7543" t="s">
        <v>899</v>
      </c>
      <c r="C7543" t="s">
        <v>900</v>
      </c>
      <c r="D7543" t="str">
        <f>HYPERLINK("http://service.sap.com/sap/support/notes/1720974","1720974")</f>
        <v>1720974</v>
      </c>
      <c r="E7543">
        <v>2</v>
      </c>
      <c r="F7543" t="s">
        <v>8956</v>
      </c>
    </row>
    <row r="7544" spans="1:6" x14ac:dyDescent="0.25">
      <c r="A7544" t="s">
        <v>7749</v>
      </c>
      <c r="B7544" t="s">
        <v>906</v>
      </c>
      <c r="C7544" t="s">
        <v>907</v>
      </c>
      <c r="D7544" t="str">
        <f>HYPERLINK("http://service.sap.com/sap/support/notes/1707077","1707077")</f>
        <v>1707077</v>
      </c>
      <c r="E7544">
        <v>3</v>
      </c>
      <c r="F7544" t="s">
        <v>8957</v>
      </c>
    </row>
    <row r="7545" spans="1:6" x14ac:dyDescent="0.25">
      <c r="A7545" t="s">
        <v>7749</v>
      </c>
      <c r="B7545" t="s">
        <v>906</v>
      </c>
      <c r="C7545" t="s">
        <v>907</v>
      </c>
      <c r="D7545" t="str">
        <f>HYPERLINK("http://service.sap.com/sap/support/notes/1713560","1713560")</f>
        <v>1713560</v>
      </c>
      <c r="E7545">
        <v>2</v>
      </c>
      <c r="F7545" t="s">
        <v>8958</v>
      </c>
    </row>
    <row r="7546" spans="1:6" x14ac:dyDescent="0.25">
      <c r="A7546" t="s">
        <v>7749</v>
      </c>
      <c r="B7546" t="s">
        <v>4171</v>
      </c>
      <c r="C7546" t="s">
        <v>4172</v>
      </c>
      <c r="D7546" t="str">
        <f>HYPERLINK("http://service.sap.com/sap/support/notes/1702626","1702626")</f>
        <v>1702626</v>
      </c>
      <c r="E7546">
        <v>2</v>
      </c>
      <c r="F7546" t="s">
        <v>7065</v>
      </c>
    </row>
    <row r="7547" spans="1:6" x14ac:dyDescent="0.25">
      <c r="A7547" t="s">
        <v>7749</v>
      </c>
      <c r="B7547" t="s">
        <v>909</v>
      </c>
      <c r="C7547" t="s">
        <v>869</v>
      </c>
      <c r="D7547" t="str">
        <f>HYPERLINK("http://service.sap.com/sap/support/notes/1612583","1612583")</f>
        <v>1612583</v>
      </c>
      <c r="E7547">
        <v>2</v>
      </c>
      <c r="F7547" t="s">
        <v>8959</v>
      </c>
    </row>
    <row r="7548" spans="1:6" x14ac:dyDescent="0.25">
      <c r="A7548" t="s">
        <v>7749</v>
      </c>
      <c r="B7548" t="s">
        <v>909</v>
      </c>
      <c r="C7548" t="s">
        <v>869</v>
      </c>
      <c r="D7548" t="str">
        <f>HYPERLINK("http://service.sap.com/sap/support/notes/1678753","1678753")</f>
        <v>1678753</v>
      </c>
      <c r="E7548">
        <v>3</v>
      </c>
      <c r="F7548" t="s">
        <v>8960</v>
      </c>
    </row>
    <row r="7549" spans="1:6" x14ac:dyDescent="0.25">
      <c r="A7549" t="s">
        <v>7749</v>
      </c>
      <c r="B7549" t="s">
        <v>909</v>
      </c>
      <c r="C7549" t="s">
        <v>869</v>
      </c>
      <c r="D7549" t="str">
        <f>HYPERLINK("http://service.sap.com/sap/support/notes/1681524","1681524")</f>
        <v>1681524</v>
      </c>
      <c r="E7549">
        <v>1</v>
      </c>
      <c r="F7549" t="s">
        <v>8961</v>
      </c>
    </row>
    <row r="7550" spans="1:6" x14ac:dyDescent="0.25">
      <c r="A7550" t="s">
        <v>7749</v>
      </c>
      <c r="B7550" t="s">
        <v>909</v>
      </c>
      <c r="C7550" t="s">
        <v>869</v>
      </c>
      <c r="D7550" t="str">
        <f>HYPERLINK("http://service.sap.com/sap/support/notes/1689764","1689764")</f>
        <v>1689764</v>
      </c>
      <c r="E7550">
        <v>1</v>
      </c>
      <c r="F7550" t="s">
        <v>8962</v>
      </c>
    </row>
    <row r="7551" spans="1:6" x14ac:dyDescent="0.25">
      <c r="A7551" t="s">
        <v>7749</v>
      </c>
      <c r="B7551" t="s">
        <v>909</v>
      </c>
      <c r="C7551" t="s">
        <v>869</v>
      </c>
      <c r="D7551" t="str">
        <f>HYPERLINK("http://service.sap.com/sap/support/notes/1697436","1697436")</f>
        <v>1697436</v>
      </c>
      <c r="E7551">
        <v>4</v>
      </c>
      <c r="F7551" t="s">
        <v>8963</v>
      </c>
    </row>
    <row r="7552" spans="1:6" x14ac:dyDescent="0.25">
      <c r="A7552" t="s">
        <v>7749</v>
      </c>
      <c r="B7552" t="s">
        <v>909</v>
      </c>
      <c r="C7552" t="s">
        <v>869</v>
      </c>
      <c r="D7552" t="str">
        <f>HYPERLINK("http://service.sap.com/sap/support/notes/1700982","1700982")</f>
        <v>1700982</v>
      </c>
      <c r="E7552">
        <v>1</v>
      </c>
      <c r="F7552" t="s">
        <v>8964</v>
      </c>
    </row>
    <row r="7553" spans="1:6" x14ac:dyDescent="0.25">
      <c r="A7553" t="s">
        <v>7749</v>
      </c>
      <c r="B7553" t="s">
        <v>909</v>
      </c>
      <c r="C7553" t="s">
        <v>869</v>
      </c>
      <c r="D7553" t="str">
        <f>HYPERLINK("http://service.sap.com/sap/support/notes/1706775","1706775")</f>
        <v>1706775</v>
      </c>
      <c r="E7553">
        <v>2</v>
      </c>
      <c r="F7553" t="s">
        <v>8965</v>
      </c>
    </row>
    <row r="7554" spans="1:6" x14ac:dyDescent="0.25">
      <c r="A7554" t="s">
        <v>7749</v>
      </c>
      <c r="B7554" t="s">
        <v>909</v>
      </c>
      <c r="C7554" t="s">
        <v>869</v>
      </c>
      <c r="D7554" t="str">
        <f>HYPERLINK("http://service.sap.com/sap/support/notes/1709004","1709004")</f>
        <v>1709004</v>
      </c>
      <c r="E7554">
        <v>1</v>
      </c>
      <c r="F7554" t="s">
        <v>8966</v>
      </c>
    </row>
    <row r="7555" spans="1:6" x14ac:dyDescent="0.25">
      <c r="A7555" t="s">
        <v>7749</v>
      </c>
      <c r="B7555" t="s">
        <v>909</v>
      </c>
      <c r="C7555" t="s">
        <v>869</v>
      </c>
      <c r="D7555" t="str">
        <f>HYPERLINK("http://service.sap.com/sap/support/notes/1715342","1715342")</f>
        <v>1715342</v>
      </c>
      <c r="E7555">
        <v>2</v>
      </c>
      <c r="F7555" t="s">
        <v>8967</v>
      </c>
    </row>
    <row r="7556" spans="1:6" x14ac:dyDescent="0.25">
      <c r="A7556" t="s">
        <v>7749</v>
      </c>
      <c r="B7556" t="s">
        <v>909</v>
      </c>
      <c r="C7556" t="s">
        <v>869</v>
      </c>
      <c r="D7556" t="str">
        <f>HYPERLINK("http://service.sap.com/sap/support/notes/1722767","1722767")</f>
        <v>1722767</v>
      </c>
      <c r="E7556">
        <v>1</v>
      </c>
      <c r="F7556" t="s">
        <v>8968</v>
      </c>
    </row>
    <row r="7557" spans="1:6" x14ac:dyDescent="0.25">
      <c r="A7557" t="s">
        <v>7749</v>
      </c>
      <c r="B7557" t="s">
        <v>909</v>
      </c>
      <c r="C7557" t="s">
        <v>869</v>
      </c>
      <c r="D7557" t="str">
        <f>HYPERLINK("http://service.sap.com/sap/support/notes/1723354","1723354")</f>
        <v>1723354</v>
      </c>
      <c r="E7557">
        <v>3</v>
      </c>
      <c r="F7557" t="s">
        <v>8969</v>
      </c>
    </row>
    <row r="7558" spans="1:6" x14ac:dyDescent="0.25">
      <c r="A7558" t="s">
        <v>7749</v>
      </c>
      <c r="B7558" t="s">
        <v>909</v>
      </c>
      <c r="C7558" t="s">
        <v>869</v>
      </c>
      <c r="D7558" t="str">
        <f>HYPERLINK("http://service.sap.com/sap/support/notes/1724603","1724603")</f>
        <v>1724603</v>
      </c>
      <c r="E7558">
        <v>2</v>
      </c>
      <c r="F7558" t="s">
        <v>8970</v>
      </c>
    </row>
    <row r="7559" spans="1:6" x14ac:dyDescent="0.25">
      <c r="A7559" t="s">
        <v>7749</v>
      </c>
      <c r="B7559" t="s">
        <v>909</v>
      </c>
      <c r="C7559" t="s">
        <v>869</v>
      </c>
      <c r="D7559" t="str">
        <f>HYPERLINK("http://service.sap.com/sap/support/notes/1725138","1725138")</f>
        <v>1725138</v>
      </c>
      <c r="E7559">
        <v>2</v>
      </c>
      <c r="F7559" t="s">
        <v>8971</v>
      </c>
    </row>
    <row r="7560" spans="1:6" x14ac:dyDescent="0.25">
      <c r="A7560" t="s">
        <v>7749</v>
      </c>
      <c r="B7560" t="s">
        <v>909</v>
      </c>
      <c r="C7560" t="s">
        <v>869</v>
      </c>
      <c r="D7560" t="str">
        <f>HYPERLINK("http://service.sap.com/sap/support/notes/1727942","1727942")</f>
        <v>1727942</v>
      </c>
      <c r="E7560">
        <v>2</v>
      </c>
      <c r="F7560" t="s">
        <v>8972</v>
      </c>
    </row>
    <row r="7561" spans="1:6" x14ac:dyDescent="0.25">
      <c r="A7561" t="s">
        <v>7749</v>
      </c>
      <c r="B7561" t="s">
        <v>4194</v>
      </c>
      <c r="C7561" t="s">
        <v>4195</v>
      </c>
      <c r="D7561" t="str">
        <f>HYPERLINK("http://service.sap.com/sap/support/notes/1682307","1682307")</f>
        <v>1682307</v>
      </c>
      <c r="E7561">
        <v>1</v>
      </c>
      <c r="F7561" t="s">
        <v>8973</v>
      </c>
    </row>
    <row r="7562" spans="1:6" x14ac:dyDescent="0.25">
      <c r="A7562" t="s">
        <v>7749</v>
      </c>
      <c r="B7562" t="s">
        <v>4194</v>
      </c>
      <c r="C7562" t="s">
        <v>4195</v>
      </c>
      <c r="D7562" t="str">
        <f>HYPERLINK("http://service.sap.com/sap/support/notes/1723965","1723965")</f>
        <v>1723965</v>
      </c>
      <c r="E7562">
        <v>1</v>
      </c>
      <c r="F7562" t="s">
        <v>8974</v>
      </c>
    </row>
    <row r="7563" spans="1:6" x14ac:dyDescent="0.25">
      <c r="A7563" t="s">
        <v>7749</v>
      </c>
      <c r="B7563" t="s">
        <v>920</v>
      </c>
      <c r="C7563" t="s">
        <v>921</v>
      </c>
      <c r="D7563" t="str">
        <f>HYPERLINK("http://service.sap.com/sap/support/notes/1702963","1702963")</f>
        <v>1702963</v>
      </c>
      <c r="E7563">
        <v>2</v>
      </c>
      <c r="F7563" t="s">
        <v>8975</v>
      </c>
    </row>
    <row r="7564" spans="1:6" x14ac:dyDescent="0.25">
      <c r="A7564" t="s">
        <v>7749</v>
      </c>
      <c r="B7564" t="s">
        <v>4203</v>
      </c>
      <c r="C7564" t="s">
        <v>4204</v>
      </c>
      <c r="D7564" t="str">
        <f>HYPERLINK("http://service.sap.com/sap/support/notes/1703228","1703228")</f>
        <v>1703228</v>
      </c>
      <c r="E7564">
        <v>2</v>
      </c>
      <c r="F7564" t="s">
        <v>8976</v>
      </c>
    </row>
    <row r="7565" spans="1:6" x14ac:dyDescent="0.25">
      <c r="A7565" t="s">
        <v>7749</v>
      </c>
      <c r="B7565" t="s">
        <v>4203</v>
      </c>
      <c r="C7565" t="s">
        <v>4204</v>
      </c>
      <c r="D7565" t="str">
        <f>HYPERLINK("http://service.sap.com/sap/support/notes/1708270","1708270")</f>
        <v>1708270</v>
      </c>
      <c r="E7565">
        <v>1</v>
      </c>
      <c r="F7565" t="s">
        <v>8977</v>
      </c>
    </row>
    <row r="7566" spans="1:6" x14ac:dyDescent="0.25">
      <c r="A7566" t="s">
        <v>7749</v>
      </c>
      <c r="B7566" t="s">
        <v>4203</v>
      </c>
      <c r="C7566" t="s">
        <v>4204</v>
      </c>
      <c r="D7566" t="str">
        <f>HYPERLINK("http://service.sap.com/sap/support/notes/1712980","1712980")</f>
        <v>1712980</v>
      </c>
      <c r="E7566">
        <v>1</v>
      </c>
      <c r="F7566" t="s">
        <v>8978</v>
      </c>
    </row>
    <row r="7567" spans="1:6" x14ac:dyDescent="0.25">
      <c r="A7567" t="s">
        <v>7749</v>
      </c>
      <c r="B7567" t="s">
        <v>4207</v>
      </c>
      <c r="C7567" t="s">
        <v>4208</v>
      </c>
      <c r="D7567" t="str">
        <f>HYPERLINK("http://service.sap.com/sap/support/notes/1659713","1659713")</f>
        <v>1659713</v>
      </c>
      <c r="E7567">
        <v>4</v>
      </c>
      <c r="F7567" t="s">
        <v>8979</v>
      </c>
    </row>
    <row r="7568" spans="1:6" x14ac:dyDescent="0.25">
      <c r="A7568" t="s">
        <v>7749</v>
      </c>
      <c r="B7568" t="s">
        <v>4207</v>
      </c>
      <c r="C7568" t="s">
        <v>4208</v>
      </c>
      <c r="D7568" t="str">
        <f>HYPERLINK("http://service.sap.com/sap/support/notes/1685938","1685938")</f>
        <v>1685938</v>
      </c>
      <c r="E7568">
        <v>3</v>
      </c>
      <c r="F7568" t="s">
        <v>8980</v>
      </c>
    </row>
    <row r="7569" spans="1:6" x14ac:dyDescent="0.25">
      <c r="A7569" t="s">
        <v>7749</v>
      </c>
      <c r="B7569" t="s">
        <v>4214</v>
      </c>
      <c r="C7569" t="s">
        <v>4215</v>
      </c>
      <c r="D7569" t="str">
        <f>HYPERLINK("http://service.sap.com/sap/support/notes/1710716","1710716")</f>
        <v>1710716</v>
      </c>
      <c r="E7569">
        <v>4</v>
      </c>
      <c r="F7569" t="s">
        <v>8981</v>
      </c>
    </row>
    <row r="7570" spans="1:6" x14ac:dyDescent="0.25">
      <c r="A7570" t="s">
        <v>7749</v>
      </c>
      <c r="B7570" t="s">
        <v>923</v>
      </c>
      <c r="C7570" t="s">
        <v>924</v>
      </c>
      <c r="D7570" t="str">
        <f>HYPERLINK("http://service.sap.com/sap/support/notes/1693810","1693810")</f>
        <v>1693810</v>
      </c>
      <c r="E7570">
        <v>2</v>
      </c>
      <c r="F7570" t="s">
        <v>8982</v>
      </c>
    </row>
    <row r="7571" spans="1:6" x14ac:dyDescent="0.25">
      <c r="A7571" t="s">
        <v>7749</v>
      </c>
      <c r="B7571" t="s">
        <v>923</v>
      </c>
      <c r="C7571" t="s">
        <v>924</v>
      </c>
      <c r="D7571" t="str">
        <f>HYPERLINK("http://service.sap.com/sap/support/notes/1706389","1706389")</f>
        <v>1706389</v>
      </c>
      <c r="E7571">
        <v>1</v>
      </c>
      <c r="F7571" t="s">
        <v>8983</v>
      </c>
    </row>
    <row r="7572" spans="1:6" x14ac:dyDescent="0.25">
      <c r="A7572" t="s">
        <v>7749</v>
      </c>
      <c r="B7572" t="s">
        <v>4227</v>
      </c>
      <c r="C7572" t="s">
        <v>1408</v>
      </c>
      <c r="D7572" t="str">
        <f>HYPERLINK("http://service.sap.com/sap/support/notes/1674650","1674650")</f>
        <v>1674650</v>
      </c>
      <c r="E7572">
        <v>1</v>
      </c>
      <c r="F7572" t="s">
        <v>8984</v>
      </c>
    </row>
    <row r="7573" spans="1:6" x14ac:dyDescent="0.25">
      <c r="A7573" t="s">
        <v>7749</v>
      </c>
      <c r="B7573" t="s">
        <v>4227</v>
      </c>
      <c r="C7573" t="s">
        <v>1408</v>
      </c>
      <c r="D7573" t="str">
        <f>HYPERLINK("http://service.sap.com/sap/support/notes/1697280","1697280")</f>
        <v>1697280</v>
      </c>
      <c r="E7573">
        <v>2</v>
      </c>
      <c r="F7573" t="s">
        <v>8985</v>
      </c>
    </row>
    <row r="7574" spans="1:6" x14ac:dyDescent="0.25">
      <c r="A7574" t="s">
        <v>7749</v>
      </c>
      <c r="B7574" t="s">
        <v>4232</v>
      </c>
      <c r="C7574" t="s">
        <v>4233</v>
      </c>
      <c r="D7574" t="str">
        <f>HYPERLINK("http://service.sap.com/sap/support/notes/1689219","1689219")</f>
        <v>1689219</v>
      </c>
      <c r="E7574">
        <v>3</v>
      </c>
      <c r="F7574" t="s">
        <v>8986</v>
      </c>
    </row>
    <row r="7575" spans="1:6" x14ac:dyDescent="0.25">
      <c r="A7575" t="s">
        <v>7749</v>
      </c>
      <c r="B7575" t="s">
        <v>4240</v>
      </c>
      <c r="C7575" t="s">
        <v>614</v>
      </c>
      <c r="D7575" t="str">
        <f>HYPERLINK("http://service.sap.com/sap/support/notes/1640905","1640905")</f>
        <v>1640905</v>
      </c>
      <c r="E7575">
        <v>12</v>
      </c>
      <c r="F7575" t="s">
        <v>8987</v>
      </c>
    </row>
    <row r="7576" spans="1:6" x14ac:dyDescent="0.25">
      <c r="A7576" t="s">
        <v>7749</v>
      </c>
      <c r="B7576" t="s">
        <v>4240</v>
      </c>
      <c r="C7576" t="s">
        <v>614</v>
      </c>
      <c r="D7576" t="str">
        <f>HYPERLINK("http://service.sap.com/sap/support/notes/1694279","1694279")</f>
        <v>1694279</v>
      </c>
      <c r="E7576">
        <v>3</v>
      </c>
      <c r="F7576" t="s">
        <v>8988</v>
      </c>
    </row>
    <row r="7577" spans="1:6" x14ac:dyDescent="0.25">
      <c r="A7577" t="s">
        <v>7749</v>
      </c>
      <c r="B7577" t="s">
        <v>4240</v>
      </c>
      <c r="C7577" t="s">
        <v>614</v>
      </c>
      <c r="D7577" t="str">
        <f>HYPERLINK("http://service.sap.com/sap/support/notes/1700422","1700422")</f>
        <v>1700422</v>
      </c>
      <c r="E7577">
        <v>1</v>
      </c>
      <c r="F7577" t="s">
        <v>8989</v>
      </c>
    </row>
    <row r="7578" spans="1:6" x14ac:dyDescent="0.25">
      <c r="A7578" t="s">
        <v>7749</v>
      </c>
      <c r="B7578" t="s">
        <v>4240</v>
      </c>
      <c r="C7578" t="s">
        <v>614</v>
      </c>
      <c r="D7578" t="str">
        <f>HYPERLINK("http://service.sap.com/sap/support/notes/1713300","1713300")</f>
        <v>1713300</v>
      </c>
      <c r="E7578">
        <v>2</v>
      </c>
      <c r="F7578" t="s">
        <v>8990</v>
      </c>
    </row>
    <row r="7579" spans="1:6" x14ac:dyDescent="0.25">
      <c r="A7579" t="s">
        <v>7749</v>
      </c>
      <c r="B7579" t="s">
        <v>933</v>
      </c>
      <c r="C7579" t="s">
        <v>4260</v>
      </c>
      <c r="D7579" t="str">
        <f>HYPERLINK("http://service.sap.com/sap/support/notes/1684860","1684860")</f>
        <v>1684860</v>
      </c>
      <c r="E7579">
        <v>1</v>
      </c>
      <c r="F7579" t="s">
        <v>8991</v>
      </c>
    </row>
    <row r="7580" spans="1:6" x14ac:dyDescent="0.25">
      <c r="A7580" t="s">
        <v>7749</v>
      </c>
      <c r="B7580" t="s">
        <v>933</v>
      </c>
      <c r="C7580" t="s">
        <v>4260</v>
      </c>
      <c r="D7580" t="str">
        <f>HYPERLINK("http://service.sap.com/sap/support/notes/1709553","1709553")</f>
        <v>1709553</v>
      </c>
      <c r="E7580">
        <v>1</v>
      </c>
      <c r="F7580" t="s">
        <v>8992</v>
      </c>
    </row>
    <row r="7581" spans="1:6" x14ac:dyDescent="0.25">
      <c r="A7581" t="s">
        <v>7749</v>
      </c>
      <c r="B7581" t="s">
        <v>935</v>
      </c>
      <c r="C7581" t="s">
        <v>936</v>
      </c>
      <c r="D7581" t="str">
        <f>HYPERLINK("http://service.sap.com/sap/support/notes/1716991","1716991")</f>
        <v>1716991</v>
      </c>
      <c r="E7581">
        <v>4</v>
      </c>
      <c r="F7581" t="s">
        <v>8993</v>
      </c>
    </row>
    <row r="7582" spans="1:6" x14ac:dyDescent="0.25">
      <c r="A7582" t="s">
        <v>7749</v>
      </c>
      <c r="B7582" t="s">
        <v>935</v>
      </c>
      <c r="C7582" t="s">
        <v>936</v>
      </c>
      <c r="D7582" t="str">
        <f>HYPERLINK("http://service.sap.com/sap/support/notes/1719540","1719540")</f>
        <v>1719540</v>
      </c>
      <c r="E7582">
        <v>1</v>
      </c>
      <c r="F7582" t="s">
        <v>8994</v>
      </c>
    </row>
    <row r="7583" spans="1:6" x14ac:dyDescent="0.25">
      <c r="A7583" t="s">
        <v>7749</v>
      </c>
      <c r="B7583" t="s">
        <v>935</v>
      </c>
      <c r="C7583" t="s">
        <v>936</v>
      </c>
      <c r="D7583" t="str">
        <f>HYPERLINK("http://service.sap.com/sap/support/notes/1723791","1723791")</f>
        <v>1723791</v>
      </c>
      <c r="E7583">
        <v>2</v>
      </c>
      <c r="F7583" t="s">
        <v>8995</v>
      </c>
    </row>
    <row r="7584" spans="1:6" x14ac:dyDescent="0.25">
      <c r="A7584" t="s">
        <v>7749</v>
      </c>
      <c r="B7584" t="s">
        <v>4279</v>
      </c>
      <c r="C7584" t="s">
        <v>4280</v>
      </c>
      <c r="D7584" t="str">
        <f>HYPERLINK("http://service.sap.com/sap/support/notes/1667751","1667751")</f>
        <v>1667751</v>
      </c>
      <c r="E7584">
        <v>14</v>
      </c>
      <c r="F7584" t="s">
        <v>8996</v>
      </c>
    </row>
    <row r="7585" spans="1:6" x14ac:dyDescent="0.25">
      <c r="A7585" t="s">
        <v>7749</v>
      </c>
      <c r="B7585" t="s">
        <v>938</v>
      </c>
      <c r="C7585" t="s">
        <v>939</v>
      </c>
      <c r="D7585" t="str">
        <f>HYPERLINK("http://service.sap.com/sap/support/notes/1710280","1710280")</f>
        <v>1710280</v>
      </c>
      <c r="E7585">
        <v>3</v>
      </c>
      <c r="F7585" t="s">
        <v>8997</v>
      </c>
    </row>
    <row r="7586" spans="1:6" x14ac:dyDescent="0.25">
      <c r="A7586" t="s">
        <v>7749</v>
      </c>
      <c r="B7586" t="s">
        <v>4294</v>
      </c>
      <c r="C7586" t="s">
        <v>4295</v>
      </c>
    </row>
    <row r="7587" spans="1:6" x14ac:dyDescent="0.25">
      <c r="A7587" t="s">
        <v>7749</v>
      </c>
      <c r="B7587" t="s">
        <v>4296</v>
      </c>
      <c r="C7587" t="s">
        <v>4297</v>
      </c>
      <c r="D7587" t="str">
        <f>HYPERLINK("http://service.sap.com/sap/support/notes/1696981","1696981")</f>
        <v>1696981</v>
      </c>
      <c r="E7587">
        <v>4</v>
      </c>
      <c r="F7587" t="s">
        <v>8998</v>
      </c>
    </row>
    <row r="7588" spans="1:6" x14ac:dyDescent="0.25">
      <c r="A7588" t="s">
        <v>7749</v>
      </c>
      <c r="B7588" t="s">
        <v>942</v>
      </c>
      <c r="C7588" t="s">
        <v>943</v>
      </c>
      <c r="D7588" t="str">
        <f>HYPERLINK("http://service.sap.com/sap/support/notes/1688817","1688817")</f>
        <v>1688817</v>
      </c>
      <c r="E7588">
        <v>1</v>
      </c>
      <c r="F7588" t="s">
        <v>8999</v>
      </c>
    </row>
    <row r="7589" spans="1:6" x14ac:dyDescent="0.25">
      <c r="A7589" t="s">
        <v>7749</v>
      </c>
      <c r="B7589" t="s">
        <v>942</v>
      </c>
      <c r="C7589" t="s">
        <v>943</v>
      </c>
      <c r="D7589" t="str">
        <f>HYPERLINK("http://service.sap.com/sap/support/notes/1689333","1689333")</f>
        <v>1689333</v>
      </c>
      <c r="E7589">
        <v>3</v>
      </c>
      <c r="F7589" t="s">
        <v>9000</v>
      </c>
    </row>
    <row r="7590" spans="1:6" x14ac:dyDescent="0.25">
      <c r="A7590" t="s">
        <v>7749</v>
      </c>
      <c r="B7590" t="s">
        <v>942</v>
      </c>
      <c r="C7590" t="s">
        <v>943</v>
      </c>
      <c r="D7590" t="str">
        <f>HYPERLINK("http://service.sap.com/sap/support/notes/1703448","1703448")</f>
        <v>1703448</v>
      </c>
      <c r="E7590">
        <v>2</v>
      </c>
      <c r="F7590" t="s">
        <v>9001</v>
      </c>
    </row>
    <row r="7591" spans="1:6" x14ac:dyDescent="0.25">
      <c r="A7591" t="s">
        <v>7749</v>
      </c>
      <c r="B7591" t="s">
        <v>942</v>
      </c>
      <c r="C7591" t="s">
        <v>943</v>
      </c>
      <c r="D7591" t="str">
        <f>HYPERLINK("http://service.sap.com/sap/support/notes/1706850","1706850")</f>
        <v>1706850</v>
      </c>
      <c r="E7591">
        <v>3</v>
      </c>
      <c r="F7591" t="s">
        <v>9002</v>
      </c>
    </row>
    <row r="7592" spans="1:6" x14ac:dyDescent="0.25">
      <c r="A7592" t="s">
        <v>7749</v>
      </c>
      <c r="B7592" t="s">
        <v>946</v>
      </c>
      <c r="C7592" t="s">
        <v>947</v>
      </c>
      <c r="D7592" t="str">
        <f>HYPERLINK("http://service.sap.com/sap/support/notes/1691120","1691120")</f>
        <v>1691120</v>
      </c>
      <c r="E7592">
        <v>2</v>
      </c>
      <c r="F7592" t="s">
        <v>9003</v>
      </c>
    </row>
    <row r="7593" spans="1:6" x14ac:dyDescent="0.25">
      <c r="A7593" t="s">
        <v>7749</v>
      </c>
      <c r="B7593" t="s">
        <v>946</v>
      </c>
      <c r="C7593" t="s">
        <v>947</v>
      </c>
      <c r="D7593" t="str">
        <f>HYPERLINK("http://service.sap.com/sap/support/notes/1701549","1701549")</f>
        <v>1701549</v>
      </c>
      <c r="E7593">
        <v>2</v>
      </c>
      <c r="F7593" t="s">
        <v>9004</v>
      </c>
    </row>
    <row r="7594" spans="1:6" x14ac:dyDescent="0.25">
      <c r="A7594" t="s">
        <v>7749</v>
      </c>
      <c r="B7594" t="s">
        <v>946</v>
      </c>
      <c r="C7594" t="s">
        <v>947</v>
      </c>
      <c r="D7594" t="str">
        <f>HYPERLINK("http://service.sap.com/sap/support/notes/1702931","1702931")</f>
        <v>1702931</v>
      </c>
      <c r="E7594">
        <v>4</v>
      </c>
      <c r="F7594" t="s">
        <v>9005</v>
      </c>
    </row>
    <row r="7595" spans="1:6" x14ac:dyDescent="0.25">
      <c r="A7595" t="s">
        <v>7749</v>
      </c>
      <c r="B7595" t="s">
        <v>946</v>
      </c>
      <c r="C7595" t="s">
        <v>947</v>
      </c>
      <c r="D7595" t="str">
        <f>HYPERLINK("http://service.sap.com/sap/support/notes/1713897","1713897")</f>
        <v>1713897</v>
      </c>
      <c r="E7595">
        <v>1</v>
      </c>
      <c r="F7595" t="s">
        <v>9006</v>
      </c>
    </row>
    <row r="7596" spans="1:6" x14ac:dyDescent="0.25">
      <c r="A7596" t="s">
        <v>7749</v>
      </c>
      <c r="B7596" t="s">
        <v>946</v>
      </c>
      <c r="C7596" t="s">
        <v>947</v>
      </c>
      <c r="D7596" t="str">
        <f>HYPERLINK("http://service.sap.com/sap/support/notes/1720337","1720337")</f>
        <v>1720337</v>
      </c>
      <c r="E7596">
        <v>1</v>
      </c>
      <c r="F7596" t="s">
        <v>9007</v>
      </c>
    </row>
    <row r="7597" spans="1:6" x14ac:dyDescent="0.25">
      <c r="A7597" t="s">
        <v>7749</v>
      </c>
      <c r="B7597" t="s">
        <v>946</v>
      </c>
      <c r="C7597" t="s">
        <v>947</v>
      </c>
      <c r="D7597" t="str">
        <f>HYPERLINK("http://service.sap.com/sap/support/notes/1725216","1725216")</f>
        <v>1725216</v>
      </c>
      <c r="E7597">
        <v>1</v>
      </c>
      <c r="F7597" t="s">
        <v>9008</v>
      </c>
    </row>
    <row r="7598" spans="1:6" x14ac:dyDescent="0.25">
      <c r="A7598" t="s">
        <v>7749</v>
      </c>
      <c r="B7598" t="s">
        <v>950</v>
      </c>
      <c r="C7598" t="s">
        <v>951</v>
      </c>
      <c r="D7598" t="str">
        <f>HYPERLINK("http://service.sap.com/sap/support/notes/1680567","1680567")</f>
        <v>1680567</v>
      </c>
      <c r="E7598">
        <v>3</v>
      </c>
      <c r="F7598" t="s">
        <v>9009</v>
      </c>
    </row>
    <row r="7599" spans="1:6" x14ac:dyDescent="0.25">
      <c r="A7599" t="s">
        <v>7749</v>
      </c>
      <c r="B7599" t="s">
        <v>950</v>
      </c>
      <c r="C7599" t="s">
        <v>951</v>
      </c>
      <c r="D7599" t="str">
        <f>HYPERLINK("http://service.sap.com/sap/support/notes/1680977","1680977")</f>
        <v>1680977</v>
      </c>
      <c r="E7599">
        <v>1</v>
      </c>
      <c r="F7599" t="s">
        <v>9010</v>
      </c>
    </row>
    <row r="7600" spans="1:6" x14ac:dyDescent="0.25">
      <c r="A7600" t="s">
        <v>7749</v>
      </c>
      <c r="B7600" t="s">
        <v>950</v>
      </c>
      <c r="C7600" t="s">
        <v>951</v>
      </c>
      <c r="D7600" t="str">
        <f>HYPERLINK("http://service.sap.com/sap/support/notes/1693837","1693837")</f>
        <v>1693837</v>
      </c>
      <c r="E7600">
        <v>2</v>
      </c>
      <c r="F7600" t="s">
        <v>9011</v>
      </c>
    </row>
    <row r="7601" spans="1:6" x14ac:dyDescent="0.25">
      <c r="A7601" t="s">
        <v>7749</v>
      </c>
      <c r="B7601" t="s">
        <v>950</v>
      </c>
      <c r="C7601" t="s">
        <v>951</v>
      </c>
      <c r="D7601" t="str">
        <f>HYPERLINK("http://service.sap.com/sap/support/notes/1709468","1709468")</f>
        <v>1709468</v>
      </c>
      <c r="E7601">
        <v>3</v>
      </c>
      <c r="F7601" t="s">
        <v>9012</v>
      </c>
    </row>
    <row r="7602" spans="1:6" x14ac:dyDescent="0.25">
      <c r="A7602" t="s">
        <v>7749</v>
      </c>
      <c r="B7602" t="s">
        <v>950</v>
      </c>
      <c r="C7602" t="s">
        <v>951</v>
      </c>
      <c r="D7602" t="str">
        <f>HYPERLINK("http://service.sap.com/sap/support/notes/1709560","1709560")</f>
        <v>1709560</v>
      </c>
      <c r="E7602">
        <v>4</v>
      </c>
      <c r="F7602" t="s">
        <v>9013</v>
      </c>
    </row>
    <row r="7603" spans="1:6" x14ac:dyDescent="0.25">
      <c r="A7603" t="s">
        <v>7749</v>
      </c>
      <c r="B7603" t="s">
        <v>950</v>
      </c>
      <c r="C7603" t="s">
        <v>951</v>
      </c>
      <c r="D7603" t="str">
        <f>HYPERLINK("http://service.sap.com/sap/support/notes/1713699","1713699")</f>
        <v>1713699</v>
      </c>
      <c r="E7603">
        <v>2</v>
      </c>
      <c r="F7603" t="s">
        <v>9014</v>
      </c>
    </row>
    <row r="7604" spans="1:6" x14ac:dyDescent="0.25">
      <c r="A7604" t="s">
        <v>7749</v>
      </c>
      <c r="B7604" t="s">
        <v>950</v>
      </c>
      <c r="C7604" t="s">
        <v>951</v>
      </c>
      <c r="D7604" t="str">
        <f>HYPERLINK("http://service.sap.com/sap/support/notes/1720592","1720592")</f>
        <v>1720592</v>
      </c>
      <c r="E7604">
        <v>2</v>
      </c>
      <c r="F7604" t="s">
        <v>9015</v>
      </c>
    </row>
    <row r="7605" spans="1:6" x14ac:dyDescent="0.25">
      <c r="A7605" t="s">
        <v>7749</v>
      </c>
      <c r="B7605" t="s">
        <v>955</v>
      </c>
      <c r="C7605" t="s">
        <v>4331</v>
      </c>
      <c r="D7605" t="str">
        <f>HYPERLINK("http://service.sap.com/sap/support/notes/1709524","1709524")</f>
        <v>1709524</v>
      </c>
      <c r="E7605">
        <v>1</v>
      </c>
      <c r="F7605" t="s">
        <v>9016</v>
      </c>
    </row>
    <row r="7606" spans="1:6" x14ac:dyDescent="0.25">
      <c r="A7606" t="s">
        <v>7749</v>
      </c>
      <c r="B7606" t="s">
        <v>955</v>
      </c>
      <c r="C7606" t="s">
        <v>4331</v>
      </c>
      <c r="D7606" t="str">
        <f>HYPERLINK("http://service.sap.com/sap/support/notes/1711994","1711994")</f>
        <v>1711994</v>
      </c>
      <c r="E7606">
        <v>1</v>
      </c>
      <c r="F7606" t="s">
        <v>9017</v>
      </c>
    </row>
    <row r="7607" spans="1:6" x14ac:dyDescent="0.25">
      <c r="A7607" t="s">
        <v>7749</v>
      </c>
      <c r="B7607" t="s">
        <v>955</v>
      </c>
      <c r="C7607" t="s">
        <v>4331</v>
      </c>
      <c r="D7607" t="str">
        <f>HYPERLINK("http://service.sap.com/sap/support/notes/1723790","1723790")</f>
        <v>1723790</v>
      </c>
      <c r="E7607">
        <v>1</v>
      </c>
      <c r="F7607" t="s">
        <v>9018</v>
      </c>
    </row>
    <row r="7608" spans="1:6" x14ac:dyDescent="0.25">
      <c r="A7608" t="s">
        <v>7749</v>
      </c>
      <c r="B7608" t="s">
        <v>957</v>
      </c>
      <c r="C7608" t="s">
        <v>958</v>
      </c>
      <c r="D7608" t="str">
        <f>HYPERLINK("http://service.sap.com/sap/support/notes/1694368","1694368")</f>
        <v>1694368</v>
      </c>
      <c r="E7608">
        <v>2</v>
      </c>
      <c r="F7608" t="s">
        <v>9019</v>
      </c>
    </row>
    <row r="7609" spans="1:6" x14ac:dyDescent="0.25">
      <c r="A7609" t="s">
        <v>7749</v>
      </c>
      <c r="B7609" t="s">
        <v>957</v>
      </c>
      <c r="C7609" t="s">
        <v>958</v>
      </c>
      <c r="D7609" t="str">
        <f>HYPERLINK("http://service.sap.com/sap/support/notes/1705810","1705810")</f>
        <v>1705810</v>
      </c>
      <c r="E7609">
        <v>1</v>
      </c>
      <c r="F7609" t="s">
        <v>9020</v>
      </c>
    </row>
    <row r="7610" spans="1:6" x14ac:dyDescent="0.25">
      <c r="A7610" t="s">
        <v>7749</v>
      </c>
      <c r="B7610" t="s">
        <v>957</v>
      </c>
      <c r="C7610" t="s">
        <v>958</v>
      </c>
      <c r="D7610" t="str">
        <f>HYPERLINK("http://service.sap.com/sap/support/notes/1708947","1708947")</f>
        <v>1708947</v>
      </c>
      <c r="E7610">
        <v>6</v>
      </c>
      <c r="F7610" t="s">
        <v>9021</v>
      </c>
    </row>
    <row r="7611" spans="1:6" x14ac:dyDescent="0.25">
      <c r="A7611" t="s">
        <v>7749</v>
      </c>
      <c r="B7611" t="s">
        <v>957</v>
      </c>
      <c r="C7611" t="s">
        <v>958</v>
      </c>
      <c r="D7611" t="str">
        <f>HYPERLINK("http://service.sap.com/sap/support/notes/1727034","1727034")</f>
        <v>1727034</v>
      </c>
      <c r="E7611">
        <v>1</v>
      </c>
      <c r="F7611" t="s">
        <v>9022</v>
      </c>
    </row>
    <row r="7612" spans="1:6" x14ac:dyDescent="0.25">
      <c r="A7612" t="s">
        <v>7749</v>
      </c>
      <c r="B7612" t="s">
        <v>4340</v>
      </c>
      <c r="C7612" t="s">
        <v>4341</v>
      </c>
      <c r="D7612" t="str">
        <f>HYPERLINK("http://service.sap.com/sap/support/notes/1692838","1692838")</f>
        <v>1692838</v>
      </c>
      <c r="E7612">
        <v>2</v>
      </c>
      <c r="F7612" t="s">
        <v>9023</v>
      </c>
    </row>
    <row r="7613" spans="1:6" x14ac:dyDescent="0.25">
      <c r="A7613" t="s">
        <v>7749</v>
      </c>
      <c r="B7613" t="s">
        <v>960</v>
      </c>
      <c r="C7613" t="s">
        <v>961</v>
      </c>
    </row>
    <row r="7614" spans="1:6" x14ac:dyDescent="0.25">
      <c r="A7614" t="s">
        <v>7749</v>
      </c>
      <c r="B7614" t="s">
        <v>9024</v>
      </c>
      <c r="C7614" t="s">
        <v>9025</v>
      </c>
      <c r="D7614" t="str">
        <f>HYPERLINK("http://service.sap.com/sap/support/notes/1689221","1689221")</f>
        <v>1689221</v>
      </c>
      <c r="E7614">
        <v>1</v>
      </c>
      <c r="F7614" t="s">
        <v>9026</v>
      </c>
    </row>
    <row r="7615" spans="1:6" x14ac:dyDescent="0.25">
      <c r="A7615" t="s">
        <v>7749</v>
      </c>
      <c r="B7615" t="s">
        <v>965</v>
      </c>
      <c r="C7615" t="s">
        <v>966</v>
      </c>
      <c r="D7615" t="str">
        <f>HYPERLINK("http://service.sap.com/sap/support/notes/1681272","1681272")</f>
        <v>1681272</v>
      </c>
      <c r="E7615">
        <v>1</v>
      </c>
      <c r="F7615" t="s">
        <v>9027</v>
      </c>
    </row>
    <row r="7616" spans="1:6" x14ac:dyDescent="0.25">
      <c r="A7616" t="s">
        <v>7749</v>
      </c>
      <c r="B7616" t="s">
        <v>965</v>
      </c>
      <c r="C7616" t="s">
        <v>966</v>
      </c>
      <c r="D7616" t="str">
        <f>HYPERLINK("http://service.sap.com/sap/support/notes/1694603","1694603")</f>
        <v>1694603</v>
      </c>
      <c r="E7616">
        <v>2</v>
      </c>
      <c r="F7616" t="s">
        <v>7149</v>
      </c>
    </row>
    <row r="7617" spans="1:6" x14ac:dyDescent="0.25">
      <c r="A7617" t="s">
        <v>7749</v>
      </c>
      <c r="B7617" t="s">
        <v>965</v>
      </c>
      <c r="C7617" t="s">
        <v>966</v>
      </c>
      <c r="D7617" t="str">
        <f>HYPERLINK("http://service.sap.com/sap/support/notes/1711465","1711465")</f>
        <v>1711465</v>
      </c>
      <c r="E7617">
        <v>1</v>
      </c>
      <c r="F7617" t="s">
        <v>9028</v>
      </c>
    </row>
    <row r="7618" spans="1:6" x14ac:dyDescent="0.25">
      <c r="A7618" t="s">
        <v>7749</v>
      </c>
      <c r="B7618" t="s">
        <v>965</v>
      </c>
      <c r="C7618" t="s">
        <v>966</v>
      </c>
      <c r="D7618" t="str">
        <f>HYPERLINK("http://service.sap.com/sap/support/notes/1711602","1711602")</f>
        <v>1711602</v>
      </c>
      <c r="E7618">
        <v>1</v>
      </c>
      <c r="F7618" t="s">
        <v>9029</v>
      </c>
    </row>
    <row r="7619" spans="1:6" x14ac:dyDescent="0.25">
      <c r="A7619" t="s">
        <v>7749</v>
      </c>
      <c r="B7619" t="s">
        <v>965</v>
      </c>
      <c r="C7619" t="s">
        <v>966</v>
      </c>
      <c r="D7619" t="str">
        <f>HYPERLINK("http://service.sap.com/sap/support/notes/1717405","1717405")</f>
        <v>1717405</v>
      </c>
      <c r="E7619">
        <v>1</v>
      </c>
      <c r="F7619" t="s">
        <v>9030</v>
      </c>
    </row>
    <row r="7620" spans="1:6" x14ac:dyDescent="0.25">
      <c r="A7620" t="s">
        <v>7749</v>
      </c>
      <c r="B7620" t="s">
        <v>965</v>
      </c>
      <c r="C7620" t="s">
        <v>966</v>
      </c>
      <c r="D7620" t="str">
        <f>HYPERLINK("http://service.sap.com/sap/support/notes/1720807","1720807")</f>
        <v>1720807</v>
      </c>
      <c r="E7620">
        <v>1</v>
      </c>
      <c r="F7620" t="s">
        <v>9031</v>
      </c>
    </row>
    <row r="7621" spans="1:6" x14ac:dyDescent="0.25">
      <c r="A7621" t="s">
        <v>7749</v>
      </c>
      <c r="B7621" t="s">
        <v>4381</v>
      </c>
      <c r="C7621" t="s">
        <v>7152</v>
      </c>
    </row>
    <row r="7622" spans="1:6" x14ac:dyDescent="0.25">
      <c r="A7622" t="s">
        <v>7749</v>
      </c>
      <c r="B7622" t="s">
        <v>4384</v>
      </c>
      <c r="C7622" t="s">
        <v>4385</v>
      </c>
      <c r="D7622" t="str">
        <f>HYPERLINK("http://service.sap.com/sap/support/notes/1713434","1713434")</f>
        <v>1713434</v>
      </c>
      <c r="E7622">
        <v>2</v>
      </c>
      <c r="F7622" t="s">
        <v>9032</v>
      </c>
    </row>
    <row r="7623" spans="1:6" x14ac:dyDescent="0.25">
      <c r="A7623" t="s">
        <v>7749</v>
      </c>
      <c r="B7623" t="s">
        <v>7155</v>
      </c>
      <c r="C7623" t="s">
        <v>7156</v>
      </c>
      <c r="D7623" t="str">
        <f>HYPERLINK("http://service.sap.com/sap/support/notes/1697361","1697361")</f>
        <v>1697361</v>
      </c>
      <c r="E7623">
        <v>2</v>
      </c>
      <c r="F7623" t="s">
        <v>9033</v>
      </c>
    </row>
    <row r="7624" spans="1:6" x14ac:dyDescent="0.25">
      <c r="A7624" t="s">
        <v>7749</v>
      </c>
      <c r="B7624" t="s">
        <v>968</v>
      </c>
      <c r="C7624" t="s">
        <v>969</v>
      </c>
      <c r="D7624" t="str">
        <f>HYPERLINK("http://service.sap.com/sap/support/notes/1681674","1681674")</f>
        <v>1681674</v>
      </c>
      <c r="E7624">
        <v>2</v>
      </c>
      <c r="F7624" t="s">
        <v>9034</v>
      </c>
    </row>
    <row r="7625" spans="1:6" x14ac:dyDescent="0.25">
      <c r="A7625" t="s">
        <v>7749</v>
      </c>
      <c r="B7625" t="s">
        <v>968</v>
      </c>
      <c r="C7625" t="s">
        <v>969</v>
      </c>
      <c r="D7625" t="str">
        <f>HYPERLINK("http://service.sap.com/sap/support/notes/1704833","1704833")</f>
        <v>1704833</v>
      </c>
      <c r="E7625">
        <v>1</v>
      </c>
      <c r="F7625" t="s">
        <v>9035</v>
      </c>
    </row>
    <row r="7626" spans="1:6" x14ac:dyDescent="0.25">
      <c r="A7626" t="s">
        <v>7749</v>
      </c>
      <c r="B7626" t="s">
        <v>968</v>
      </c>
      <c r="C7626" t="s">
        <v>969</v>
      </c>
      <c r="D7626" t="str">
        <f>HYPERLINK("http://service.sap.com/sap/support/notes/1707226","1707226")</f>
        <v>1707226</v>
      </c>
      <c r="E7626">
        <v>2</v>
      </c>
      <c r="F7626" t="s">
        <v>9036</v>
      </c>
    </row>
    <row r="7627" spans="1:6" x14ac:dyDescent="0.25">
      <c r="A7627" t="s">
        <v>7749</v>
      </c>
      <c r="B7627" t="s">
        <v>968</v>
      </c>
      <c r="C7627" t="s">
        <v>969</v>
      </c>
      <c r="D7627" t="str">
        <f>HYPERLINK("http://service.sap.com/sap/support/notes/1718327","1718327")</f>
        <v>1718327</v>
      </c>
      <c r="E7627">
        <v>2</v>
      </c>
      <c r="F7627" t="s">
        <v>9037</v>
      </c>
    </row>
    <row r="7628" spans="1:6" x14ac:dyDescent="0.25">
      <c r="A7628" t="s">
        <v>7749</v>
      </c>
      <c r="B7628" t="s">
        <v>968</v>
      </c>
      <c r="C7628" t="s">
        <v>969</v>
      </c>
      <c r="D7628" t="str">
        <f>HYPERLINK("http://service.sap.com/sap/support/notes/1727065","1727065")</f>
        <v>1727065</v>
      </c>
      <c r="E7628">
        <v>1</v>
      </c>
      <c r="F7628" t="s">
        <v>9038</v>
      </c>
    </row>
    <row r="7629" spans="1:6" x14ac:dyDescent="0.25">
      <c r="A7629" t="s">
        <v>7749</v>
      </c>
      <c r="B7629" t="s">
        <v>4403</v>
      </c>
      <c r="C7629" t="s">
        <v>4404</v>
      </c>
      <c r="D7629" t="str">
        <f>HYPERLINK("http://service.sap.com/sap/support/notes/1711030","1711030")</f>
        <v>1711030</v>
      </c>
      <c r="E7629">
        <v>1</v>
      </c>
      <c r="F7629" t="s">
        <v>9039</v>
      </c>
    </row>
    <row r="7630" spans="1:6" x14ac:dyDescent="0.25">
      <c r="A7630" t="s">
        <v>7749</v>
      </c>
      <c r="B7630" t="s">
        <v>972</v>
      </c>
      <c r="C7630" t="s">
        <v>869</v>
      </c>
      <c r="D7630" t="str">
        <f>HYPERLINK("http://service.sap.com/sap/support/notes/1505444","1505444")</f>
        <v>1505444</v>
      </c>
      <c r="E7630">
        <v>2</v>
      </c>
      <c r="F7630" t="s">
        <v>9040</v>
      </c>
    </row>
    <row r="7631" spans="1:6" x14ac:dyDescent="0.25">
      <c r="A7631" t="s">
        <v>7749</v>
      </c>
      <c r="B7631" t="s">
        <v>972</v>
      </c>
      <c r="C7631" t="s">
        <v>869</v>
      </c>
      <c r="D7631" t="str">
        <f>HYPERLINK("http://service.sap.com/sap/support/notes/1601272","1601272")</f>
        <v>1601272</v>
      </c>
      <c r="E7631">
        <v>1</v>
      </c>
      <c r="F7631" t="s">
        <v>9041</v>
      </c>
    </row>
    <row r="7632" spans="1:6" x14ac:dyDescent="0.25">
      <c r="A7632" t="s">
        <v>7749</v>
      </c>
      <c r="B7632" t="s">
        <v>972</v>
      </c>
      <c r="C7632" t="s">
        <v>869</v>
      </c>
      <c r="D7632" t="str">
        <f>HYPERLINK("http://service.sap.com/sap/support/notes/1696161","1696161")</f>
        <v>1696161</v>
      </c>
      <c r="E7632">
        <v>2</v>
      </c>
      <c r="F7632" t="s">
        <v>9042</v>
      </c>
    </row>
    <row r="7633" spans="1:6" x14ac:dyDescent="0.25">
      <c r="A7633" t="s">
        <v>7749</v>
      </c>
      <c r="B7633" t="s">
        <v>972</v>
      </c>
      <c r="C7633" t="s">
        <v>869</v>
      </c>
      <c r="D7633" t="str">
        <f>HYPERLINK("http://service.sap.com/sap/support/notes/1727046","1727046")</f>
        <v>1727046</v>
      </c>
      <c r="E7633">
        <v>1</v>
      </c>
      <c r="F7633" t="s">
        <v>9043</v>
      </c>
    </row>
    <row r="7634" spans="1:6" x14ac:dyDescent="0.25">
      <c r="A7634" t="s">
        <v>7749</v>
      </c>
      <c r="B7634" t="s">
        <v>4426</v>
      </c>
      <c r="C7634" t="s">
        <v>4427</v>
      </c>
      <c r="D7634" t="str">
        <f>HYPERLINK("http://service.sap.com/sap/support/notes/754732","754732")</f>
        <v>754732</v>
      </c>
      <c r="E7634">
        <v>3</v>
      </c>
      <c r="F7634" t="s">
        <v>9044</v>
      </c>
    </row>
    <row r="7635" spans="1:6" x14ac:dyDescent="0.25">
      <c r="A7635" t="s">
        <v>7749</v>
      </c>
      <c r="B7635" t="s">
        <v>4426</v>
      </c>
      <c r="C7635" t="s">
        <v>4427</v>
      </c>
      <c r="D7635" t="str">
        <f>HYPERLINK("http://service.sap.com/sap/support/notes/1650346","1650346")</f>
        <v>1650346</v>
      </c>
      <c r="E7635">
        <v>7</v>
      </c>
      <c r="F7635" t="s">
        <v>9045</v>
      </c>
    </row>
    <row r="7636" spans="1:6" x14ac:dyDescent="0.25">
      <c r="A7636" t="s">
        <v>7749</v>
      </c>
      <c r="B7636" t="s">
        <v>978</v>
      </c>
      <c r="C7636" t="s">
        <v>979</v>
      </c>
    </row>
    <row r="7637" spans="1:6" x14ac:dyDescent="0.25">
      <c r="A7637" t="s">
        <v>7749</v>
      </c>
      <c r="B7637" t="s">
        <v>980</v>
      </c>
      <c r="C7637" t="s">
        <v>981</v>
      </c>
    </row>
    <row r="7638" spans="1:6" x14ac:dyDescent="0.25">
      <c r="A7638" t="s">
        <v>7749</v>
      </c>
      <c r="B7638" t="s">
        <v>9046</v>
      </c>
      <c r="C7638" t="s">
        <v>9047</v>
      </c>
    </row>
    <row r="7639" spans="1:6" x14ac:dyDescent="0.25">
      <c r="A7639" t="s">
        <v>7749</v>
      </c>
      <c r="B7639" t="s">
        <v>9048</v>
      </c>
      <c r="C7639" t="s">
        <v>9049</v>
      </c>
      <c r="D7639" t="str">
        <f>HYPERLINK("http://service.sap.com/sap/support/notes/1708931","1708931")</f>
        <v>1708931</v>
      </c>
      <c r="E7639">
        <v>2</v>
      </c>
      <c r="F7639" t="s">
        <v>9050</v>
      </c>
    </row>
    <row r="7640" spans="1:6" x14ac:dyDescent="0.25">
      <c r="A7640" t="s">
        <v>7749</v>
      </c>
      <c r="B7640" t="s">
        <v>989</v>
      </c>
      <c r="C7640" t="s">
        <v>990</v>
      </c>
      <c r="D7640" t="str">
        <f>HYPERLINK("http://service.sap.com/sap/support/notes/1700900","1700900")</f>
        <v>1700900</v>
      </c>
      <c r="E7640">
        <v>1</v>
      </c>
      <c r="F7640" t="s">
        <v>9051</v>
      </c>
    </row>
    <row r="7641" spans="1:6" x14ac:dyDescent="0.25">
      <c r="A7641" t="s">
        <v>7749</v>
      </c>
      <c r="B7641" t="s">
        <v>989</v>
      </c>
      <c r="C7641" t="s">
        <v>990</v>
      </c>
      <c r="D7641" t="str">
        <f>HYPERLINK("http://service.sap.com/sap/support/notes/1702698","1702698")</f>
        <v>1702698</v>
      </c>
      <c r="E7641">
        <v>1</v>
      </c>
      <c r="F7641" t="s">
        <v>9052</v>
      </c>
    </row>
    <row r="7642" spans="1:6" x14ac:dyDescent="0.25">
      <c r="A7642" t="s">
        <v>7749</v>
      </c>
      <c r="B7642" t="s">
        <v>989</v>
      </c>
      <c r="C7642" t="s">
        <v>990</v>
      </c>
      <c r="D7642" t="str">
        <f>HYPERLINK("http://service.sap.com/sap/support/notes/1703021","1703021")</f>
        <v>1703021</v>
      </c>
      <c r="E7642">
        <v>1</v>
      </c>
      <c r="F7642" t="s">
        <v>9053</v>
      </c>
    </row>
    <row r="7643" spans="1:6" x14ac:dyDescent="0.25">
      <c r="A7643" t="s">
        <v>7749</v>
      </c>
      <c r="B7643" t="s">
        <v>989</v>
      </c>
      <c r="C7643" t="s">
        <v>990</v>
      </c>
      <c r="D7643" t="str">
        <f>HYPERLINK("http://service.sap.com/sap/support/notes/1712874","1712874")</f>
        <v>1712874</v>
      </c>
      <c r="E7643">
        <v>1</v>
      </c>
      <c r="F7643" t="s">
        <v>9054</v>
      </c>
    </row>
    <row r="7644" spans="1:6" x14ac:dyDescent="0.25">
      <c r="A7644" t="s">
        <v>7749</v>
      </c>
      <c r="B7644" t="s">
        <v>989</v>
      </c>
      <c r="C7644" t="s">
        <v>990</v>
      </c>
      <c r="D7644" t="str">
        <f>HYPERLINK("http://service.sap.com/sap/support/notes/1713012","1713012")</f>
        <v>1713012</v>
      </c>
      <c r="E7644">
        <v>1</v>
      </c>
      <c r="F7644" t="s">
        <v>9055</v>
      </c>
    </row>
    <row r="7645" spans="1:6" x14ac:dyDescent="0.25">
      <c r="A7645" t="s">
        <v>7749</v>
      </c>
      <c r="B7645" t="s">
        <v>989</v>
      </c>
      <c r="C7645" t="s">
        <v>990</v>
      </c>
      <c r="D7645" t="str">
        <f>HYPERLINK("http://service.sap.com/sap/support/notes/1717628","1717628")</f>
        <v>1717628</v>
      </c>
      <c r="E7645">
        <v>1</v>
      </c>
      <c r="F7645" t="s">
        <v>9056</v>
      </c>
    </row>
    <row r="7646" spans="1:6" x14ac:dyDescent="0.25">
      <c r="A7646" t="s">
        <v>7749</v>
      </c>
      <c r="B7646" t="s">
        <v>989</v>
      </c>
      <c r="C7646" t="s">
        <v>990</v>
      </c>
      <c r="D7646" t="str">
        <f>HYPERLINK("http://service.sap.com/sap/support/notes/1722024","1722024")</f>
        <v>1722024</v>
      </c>
      <c r="E7646">
        <v>2</v>
      </c>
      <c r="F7646" t="s">
        <v>9057</v>
      </c>
    </row>
    <row r="7647" spans="1:6" x14ac:dyDescent="0.25">
      <c r="A7647" t="s">
        <v>7749</v>
      </c>
      <c r="B7647" t="s">
        <v>989</v>
      </c>
      <c r="C7647" t="s">
        <v>990</v>
      </c>
      <c r="D7647" t="str">
        <f>HYPERLINK("http://service.sap.com/sap/support/notes/1724281","1724281")</f>
        <v>1724281</v>
      </c>
      <c r="E7647">
        <v>1</v>
      </c>
      <c r="F7647" t="s">
        <v>9058</v>
      </c>
    </row>
    <row r="7648" spans="1:6" x14ac:dyDescent="0.25">
      <c r="A7648" t="s">
        <v>7749</v>
      </c>
      <c r="B7648" t="s">
        <v>989</v>
      </c>
      <c r="C7648" t="s">
        <v>990</v>
      </c>
      <c r="D7648" t="str">
        <f>HYPERLINK("http://service.sap.com/sap/support/notes/1724957","1724957")</f>
        <v>1724957</v>
      </c>
      <c r="E7648">
        <v>1</v>
      </c>
      <c r="F7648" t="s">
        <v>9059</v>
      </c>
    </row>
    <row r="7649" spans="1:6" x14ac:dyDescent="0.25">
      <c r="A7649" t="s">
        <v>7749</v>
      </c>
      <c r="B7649" t="s">
        <v>992</v>
      </c>
      <c r="C7649" t="s">
        <v>9060</v>
      </c>
    </row>
    <row r="7650" spans="1:6" x14ac:dyDescent="0.25">
      <c r="A7650" t="s">
        <v>7749</v>
      </c>
      <c r="B7650" t="s">
        <v>4451</v>
      </c>
      <c r="C7650" t="s">
        <v>4452</v>
      </c>
      <c r="D7650" t="str">
        <f>HYPERLINK("http://service.sap.com/sap/support/notes/1707558","1707558")</f>
        <v>1707558</v>
      </c>
      <c r="E7650">
        <v>2</v>
      </c>
      <c r="F7650" t="s">
        <v>9061</v>
      </c>
    </row>
    <row r="7651" spans="1:6" x14ac:dyDescent="0.25">
      <c r="A7651" t="s">
        <v>7749</v>
      </c>
      <c r="B7651" t="s">
        <v>997</v>
      </c>
      <c r="C7651" t="s">
        <v>998</v>
      </c>
      <c r="D7651" t="str">
        <f>HYPERLINK("http://service.sap.com/sap/support/notes/1683075","1683075")</f>
        <v>1683075</v>
      </c>
      <c r="E7651">
        <v>4</v>
      </c>
      <c r="F7651" t="s">
        <v>9062</v>
      </c>
    </row>
    <row r="7652" spans="1:6" x14ac:dyDescent="0.25">
      <c r="A7652" t="s">
        <v>7749</v>
      </c>
      <c r="B7652" t="s">
        <v>997</v>
      </c>
      <c r="C7652" t="s">
        <v>998</v>
      </c>
      <c r="D7652" t="str">
        <f>HYPERLINK("http://service.sap.com/sap/support/notes/1707026","1707026")</f>
        <v>1707026</v>
      </c>
      <c r="E7652">
        <v>1</v>
      </c>
      <c r="F7652" t="s">
        <v>9063</v>
      </c>
    </row>
    <row r="7653" spans="1:6" x14ac:dyDescent="0.25">
      <c r="A7653" t="s">
        <v>7749</v>
      </c>
      <c r="B7653" t="s">
        <v>4464</v>
      </c>
      <c r="C7653" t="s">
        <v>4465</v>
      </c>
      <c r="D7653" t="str">
        <f>HYPERLINK("http://service.sap.com/sap/support/notes/1706257","1706257")</f>
        <v>1706257</v>
      </c>
      <c r="E7653">
        <v>2</v>
      </c>
      <c r="F7653" t="s">
        <v>9064</v>
      </c>
    </row>
    <row r="7654" spans="1:6" x14ac:dyDescent="0.25">
      <c r="A7654" t="s">
        <v>7749</v>
      </c>
      <c r="B7654" t="s">
        <v>9065</v>
      </c>
      <c r="C7654" t="s">
        <v>350</v>
      </c>
      <c r="D7654" t="str">
        <f>HYPERLINK("http://service.sap.com/sap/support/notes/1684131","1684131")</f>
        <v>1684131</v>
      </c>
      <c r="E7654">
        <v>2</v>
      </c>
      <c r="F7654" t="s">
        <v>9066</v>
      </c>
    </row>
    <row r="7655" spans="1:6" x14ac:dyDescent="0.25">
      <c r="A7655" t="s">
        <v>7749</v>
      </c>
      <c r="B7655" t="s">
        <v>4479</v>
      </c>
      <c r="C7655" t="s">
        <v>3146</v>
      </c>
    </row>
    <row r="7656" spans="1:6" x14ac:dyDescent="0.25">
      <c r="A7656" t="s">
        <v>7749</v>
      </c>
      <c r="B7656" t="s">
        <v>4480</v>
      </c>
      <c r="C7656" t="s">
        <v>4481</v>
      </c>
      <c r="D7656" t="str">
        <f>HYPERLINK("http://service.sap.com/sap/support/notes/1700920","1700920")</f>
        <v>1700920</v>
      </c>
      <c r="E7656">
        <v>1</v>
      </c>
      <c r="F7656" t="s">
        <v>9067</v>
      </c>
    </row>
    <row r="7657" spans="1:6" x14ac:dyDescent="0.25">
      <c r="A7657" t="s">
        <v>7749</v>
      </c>
      <c r="B7657" t="s">
        <v>4480</v>
      </c>
      <c r="C7657" t="s">
        <v>4481</v>
      </c>
      <c r="D7657" t="str">
        <f>HYPERLINK("http://service.sap.com/sap/support/notes/1705842","1705842")</f>
        <v>1705842</v>
      </c>
      <c r="E7657">
        <v>2</v>
      </c>
      <c r="F7657" t="s">
        <v>9068</v>
      </c>
    </row>
    <row r="7658" spans="1:6" x14ac:dyDescent="0.25">
      <c r="A7658" t="s">
        <v>7749</v>
      </c>
      <c r="B7658" t="s">
        <v>4484</v>
      </c>
      <c r="C7658" t="s">
        <v>4485</v>
      </c>
      <c r="D7658" t="str">
        <f>HYPERLINK("http://service.sap.com/sap/support/notes/1492717","1492717")</f>
        <v>1492717</v>
      </c>
      <c r="E7658">
        <v>2</v>
      </c>
      <c r="F7658" t="s">
        <v>9069</v>
      </c>
    </row>
    <row r="7659" spans="1:6" x14ac:dyDescent="0.25">
      <c r="A7659" t="s">
        <v>7749</v>
      </c>
      <c r="B7659" t="s">
        <v>4484</v>
      </c>
      <c r="C7659" t="s">
        <v>4485</v>
      </c>
      <c r="D7659" t="str">
        <f>HYPERLINK("http://service.sap.com/sap/support/notes/1649102","1649102")</f>
        <v>1649102</v>
      </c>
      <c r="E7659">
        <v>1</v>
      </c>
      <c r="F7659" t="s">
        <v>9070</v>
      </c>
    </row>
    <row r="7660" spans="1:6" x14ac:dyDescent="0.25">
      <c r="A7660" t="s">
        <v>7749</v>
      </c>
      <c r="B7660" t="s">
        <v>4496</v>
      </c>
      <c r="C7660" t="s">
        <v>4497</v>
      </c>
      <c r="D7660" t="str">
        <f>HYPERLINK("http://service.sap.com/sap/support/notes/1717000","1717000")</f>
        <v>1717000</v>
      </c>
      <c r="E7660">
        <v>2</v>
      </c>
      <c r="F7660" t="s">
        <v>9071</v>
      </c>
    </row>
    <row r="7661" spans="1:6" x14ac:dyDescent="0.25">
      <c r="A7661" t="s">
        <v>7749</v>
      </c>
      <c r="B7661" t="s">
        <v>4496</v>
      </c>
      <c r="C7661" t="s">
        <v>4497</v>
      </c>
      <c r="D7661" t="str">
        <f>HYPERLINK("http://service.sap.com/sap/support/notes/1719898","1719898")</f>
        <v>1719898</v>
      </c>
      <c r="E7661">
        <v>3</v>
      </c>
      <c r="F7661" t="s">
        <v>9072</v>
      </c>
    </row>
    <row r="7662" spans="1:6" x14ac:dyDescent="0.25">
      <c r="A7662" t="s">
        <v>7749</v>
      </c>
      <c r="B7662" t="s">
        <v>1000</v>
      </c>
      <c r="C7662" t="s">
        <v>1001</v>
      </c>
      <c r="D7662" t="str">
        <f>HYPERLINK("http://service.sap.com/sap/support/notes/1690043","1690043")</f>
        <v>1690043</v>
      </c>
      <c r="E7662">
        <v>1</v>
      </c>
      <c r="F7662" t="s">
        <v>9073</v>
      </c>
    </row>
    <row r="7663" spans="1:6" x14ac:dyDescent="0.25">
      <c r="A7663" t="s">
        <v>7749</v>
      </c>
      <c r="B7663" t="s">
        <v>1000</v>
      </c>
      <c r="C7663" t="s">
        <v>1001</v>
      </c>
      <c r="D7663" t="str">
        <f>HYPERLINK("http://service.sap.com/sap/support/notes/1707944","1707944")</f>
        <v>1707944</v>
      </c>
      <c r="E7663">
        <v>2</v>
      </c>
      <c r="F7663" t="s">
        <v>9074</v>
      </c>
    </row>
    <row r="7664" spans="1:6" x14ac:dyDescent="0.25">
      <c r="A7664" t="s">
        <v>7749</v>
      </c>
      <c r="B7664" t="s">
        <v>4500</v>
      </c>
      <c r="C7664" t="s">
        <v>4501</v>
      </c>
      <c r="D7664" t="str">
        <f>HYPERLINK("http://service.sap.com/sap/support/notes/1722030","1722030")</f>
        <v>1722030</v>
      </c>
      <c r="E7664">
        <v>2</v>
      </c>
      <c r="F7664" t="s">
        <v>9075</v>
      </c>
    </row>
    <row r="7665" spans="1:6" x14ac:dyDescent="0.25">
      <c r="A7665" t="s">
        <v>7749</v>
      </c>
      <c r="B7665" t="s">
        <v>1003</v>
      </c>
      <c r="C7665" t="s">
        <v>1004</v>
      </c>
      <c r="D7665" t="str">
        <f>HYPERLINK("http://service.sap.com/sap/support/notes/1715783","1715783")</f>
        <v>1715783</v>
      </c>
      <c r="E7665">
        <v>2</v>
      </c>
      <c r="F7665" t="s">
        <v>9076</v>
      </c>
    </row>
    <row r="7666" spans="1:6" x14ac:dyDescent="0.25">
      <c r="A7666" t="s">
        <v>7749</v>
      </c>
      <c r="B7666" t="s">
        <v>1010</v>
      </c>
      <c r="C7666" t="s">
        <v>1011</v>
      </c>
      <c r="D7666" t="str">
        <f>HYPERLINK("http://service.sap.com/sap/support/notes/1529850","1529850")</f>
        <v>1529850</v>
      </c>
      <c r="E7666">
        <v>4</v>
      </c>
      <c r="F7666" t="s">
        <v>9077</v>
      </c>
    </row>
    <row r="7667" spans="1:6" x14ac:dyDescent="0.25">
      <c r="A7667" t="s">
        <v>7749</v>
      </c>
      <c r="B7667" t="s">
        <v>1010</v>
      </c>
      <c r="C7667" t="s">
        <v>1011</v>
      </c>
      <c r="D7667" t="str">
        <f>HYPERLINK("http://service.sap.com/sap/support/notes/1568323","1568323")</f>
        <v>1568323</v>
      </c>
      <c r="E7667">
        <v>4</v>
      </c>
      <c r="F7667" t="s">
        <v>9078</v>
      </c>
    </row>
    <row r="7668" spans="1:6" x14ac:dyDescent="0.25">
      <c r="A7668" t="s">
        <v>7749</v>
      </c>
      <c r="B7668" t="s">
        <v>1010</v>
      </c>
      <c r="C7668" t="s">
        <v>1011</v>
      </c>
      <c r="D7668" t="str">
        <f>HYPERLINK("http://service.sap.com/sap/support/notes/1660294","1660294")</f>
        <v>1660294</v>
      </c>
      <c r="E7668">
        <v>5</v>
      </c>
      <c r="F7668" t="s">
        <v>4551</v>
      </c>
    </row>
    <row r="7669" spans="1:6" x14ac:dyDescent="0.25">
      <c r="A7669" t="s">
        <v>7749</v>
      </c>
      <c r="B7669" t="s">
        <v>1010</v>
      </c>
      <c r="C7669" t="s">
        <v>1011</v>
      </c>
      <c r="D7669" t="str">
        <f>HYPERLINK("http://service.sap.com/sap/support/notes/1683230","1683230")</f>
        <v>1683230</v>
      </c>
      <c r="E7669">
        <v>1</v>
      </c>
      <c r="F7669" t="s">
        <v>9079</v>
      </c>
    </row>
    <row r="7670" spans="1:6" x14ac:dyDescent="0.25">
      <c r="A7670" t="s">
        <v>7749</v>
      </c>
      <c r="B7670" t="s">
        <v>1010</v>
      </c>
      <c r="C7670" t="s">
        <v>1011</v>
      </c>
      <c r="D7670" t="str">
        <f>HYPERLINK("http://service.sap.com/sap/support/notes/1695329","1695329")</f>
        <v>1695329</v>
      </c>
      <c r="E7670">
        <v>2</v>
      </c>
      <c r="F7670" t="s">
        <v>9080</v>
      </c>
    </row>
    <row r="7671" spans="1:6" x14ac:dyDescent="0.25">
      <c r="A7671" t="s">
        <v>7749</v>
      </c>
      <c r="B7671" t="s">
        <v>1010</v>
      </c>
      <c r="C7671" t="s">
        <v>1011</v>
      </c>
      <c r="D7671" t="str">
        <f>HYPERLINK("http://service.sap.com/sap/support/notes/1699926","1699926")</f>
        <v>1699926</v>
      </c>
      <c r="E7671">
        <v>6</v>
      </c>
      <c r="F7671" t="s">
        <v>9081</v>
      </c>
    </row>
    <row r="7672" spans="1:6" x14ac:dyDescent="0.25">
      <c r="A7672" t="s">
        <v>7749</v>
      </c>
      <c r="B7672" t="s">
        <v>1010</v>
      </c>
      <c r="C7672" t="s">
        <v>1011</v>
      </c>
      <c r="D7672" t="str">
        <f>HYPERLINK("http://service.sap.com/sap/support/notes/1707139","1707139")</f>
        <v>1707139</v>
      </c>
      <c r="E7672">
        <v>2</v>
      </c>
      <c r="F7672" t="s">
        <v>9082</v>
      </c>
    </row>
    <row r="7673" spans="1:6" x14ac:dyDescent="0.25">
      <c r="A7673" t="s">
        <v>7749</v>
      </c>
      <c r="B7673" t="s">
        <v>1014</v>
      </c>
      <c r="C7673" t="s">
        <v>1015</v>
      </c>
      <c r="D7673" t="str">
        <f>HYPERLINK("http://service.sap.com/sap/support/notes/1633449","1633449")</f>
        <v>1633449</v>
      </c>
      <c r="E7673">
        <v>1</v>
      </c>
      <c r="F7673" t="s">
        <v>9083</v>
      </c>
    </row>
    <row r="7674" spans="1:6" x14ac:dyDescent="0.25">
      <c r="A7674" t="s">
        <v>7749</v>
      </c>
      <c r="B7674" t="s">
        <v>1014</v>
      </c>
      <c r="C7674" t="s">
        <v>1015</v>
      </c>
      <c r="D7674" t="str">
        <f>HYPERLINK("http://service.sap.com/sap/support/notes/1659286","1659286")</f>
        <v>1659286</v>
      </c>
      <c r="E7674">
        <v>1</v>
      </c>
      <c r="F7674" t="s">
        <v>9084</v>
      </c>
    </row>
    <row r="7675" spans="1:6" x14ac:dyDescent="0.25">
      <c r="A7675" t="s">
        <v>7749</v>
      </c>
      <c r="B7675" t="s">
        <v>1014</v>
      </c>
      <c r="C7675" t="s">
        <v>1015</v>
      </c>
      <c r="D7675" t="str">
        <f>HYPERLINK("http://service.sap.com/sap/support/notes/1668138","1668138")</f>
        <v>1668138</v>
      </c>
      <c r="E7675">
        <v>3</v>
      </c>
      <c r="F7675" t="s">
        <v>9085</v>
      </c>
    </row>
    <row r="7676" spans="1:6" x14ac:dyDescent="0.25">
      <c r="A7676" t="s">
        <v>7749</v>
      </c>
      <c r="B7676" t="s">
        <v>1014</v>
      </c>
      <c r="C7676" t="s">
        <v>1015</v>
      </c>
      <c r="D7676" t="str">
        <f>HYPERLINK("http://service.sap.com/sap/support/notes/1670082","1670082")</f>
        <v>1670082</v>
      </c>
      <c r="E7676">
        <v>1</v>
      </c>
      <c r="F7676" t="s">
        <v>9086</v>
      </c>
    </row>
    <row r="7677" spans="1:6" x14ac:dyDescent="0.25">
      <c r="A7677" t="s">
        <v>7749</v>
      </c>
      <c r="B7677" t="s">
        <v>1014</v>
      </c>
      <c r="C7677" t="s">
        <v>1015</v>
      </c>
      <c r="D7677" t="str">
        <f>HYPERLINK("http://service.sap.com/sap/support/notes/1679171","1679171")</f>
        <v>1679171</v>
      </c>
      <c r="E7677">
        <v>5</v>
      </c>
      <c r="F7677" t="s">
        <v>9087</v>
      </c>
    </row>
    <row r="7678" spans="1:6" x14ac:dyDescent="0.25">
      <c r="A7678" t="s">
        <v>7749</v>
      </c>
      <c r="B7678" t="s">
        <v>1014</v>
      </c>
      <c r="C7678" t="s">
        <v>1015</v>
      </c>
      <c r="D7678" t="str">
        <f>HYPERLINK("http://service.sap.com/sap/support/notes/1680671","1680671")</f>
        <v>1680671</v>
      </c>
      <c r="E7678">
        <v>2</v>
      </c>
      <c r="F7678" t="s">
        <v>9088</v>
      </c>
    </row>
    <row r="7679" spans="1:6" x14ac:dyDescent="0.25">
      <c r="A7679" t="s">
        <v>7749</v>
      </c>
      <c r="B7679" t="s">
        <v>1014</v>
      </c>
      <c r="C7679" t="s">
        <v>1015</v>
      </c>
      <c r="D7679" t="str">
        <f>HYPERLINK("http://service.sap.com/sap/support/notes/1683697","1683697")</f>
        <v>1683697</v>
      </c>
      <c r="E7679">
        <v>2</v>
      </c>
      <c r="F7679" t="s">
        <v>9089</v>
      </c>
    </row>
    <row r="7680" spans="1:6" x14ac:dyDescent="0.25">
      <c r="A7680" t="s">
        <v>7749</v>
      </c>
      <c r="B7680" t="s">
        <v>1014</v>
      </c>
      <c r="C7680" t="s">
        <v>1015</v>
      </c>
      <c r="D7680" t="str">
        <f>HYPERLINK("http://service.sap.com/sap/support/notes/1691944","1691944")</f>
        <v>1691944</v>
      </c>
      <c r="E7680">
        <v>1</v>
      </c>
      <c r="F7680" t="s">
        <v>9090</v>
      </c>
    </row>
    <row r="7681" spans="1:6" x14ac:dyDescent="0.25">
      <c r="A7681" t="s">
        <v>7749</v>
      </c>
      <c r="B7681" t="s">
        <v>1014</v>
      </c>
      <c r="C7681" t="s">
        <v>1015</v>
      </c>
      <c r="D7681" t="str">
        <f>HYPERLINK("http://service.sap.com/sap/support/notes/1694834","1694834")</f>
        <v>1694834</v>
      </c>
      <c r="E7681">
        <v>1</v>
      </c>
      <c r="F7681" t="s">
        <v>9091</v>
      </c>
    </row>
    <row r="7682" spans="1:6" x14ac:dyDescent="0.25">
      <c r="A7682" t="s">
        <v>7749</v>
      </c>
      <c r="B7682" t="s">
        <v>1014</v>
      </c>
      <c r="C7682" t="s">
        <v>1015</v>
      </c>
      <c r="D7682" t="str">
        <f>HYPERLINK("http://service.sap.com/sap/support/notes/1696276","1696276")</f>
        <v>1696276</v>
      </c>
      <c r="E7682">
        <v>1</v>
      </c>
      <c r="F7682" t="s">
        <v>9092</v>
      </c>
    </row>
    <row r="7683" spans="1:6" x14ac:dyDescent="0.25">
      <c r="A7683" t="s">
        <v>7749</v>
      </c>
      <c r="B7683" t="s">
        <v>1014</v>
      </c>
      <c r="C7683" t="s">
        <v>1015</v>
      </c>
      <c r="D7683" t="str">
        <f>HYPERLINK("http://service.sap.com/sap/support/notes/1707782","1707782")</f>
        <v>1707782</v>
      </c>
      <c r="E7683">
        <v>1</v>
      </c>
      <c r="F7683" t="s">
        <v>9093</v>
      </c>
    </row>
    <row r="7684" spans="1:6" x14ac:dyDescent="0.25">
      <c r="A7684" t="s">
        <v>7749</v>
      </c>
      <c r="B7684" t="s">
        <v>1014</v>
      </c>
      <c r="C7684" t="s">
        <v>1015</v>
      </c>
      <c r="D7684" t="str">
        <f>HYPERLINK("http://service.sap.com/sap/support/notes/1708140","1708140")</f>
        <v>1708140</v>
      </c>
      <c r="E7684">
        <v>2</v>
      </c>
      <c r="F7684" t="s">
        <v>9094</v>
      </c>
    </row>
    <row r="7685" spans="1:6" x14ac:dyDescent="0.25">
      <c r="A7685" t="s">
        <v>7749</v>
      </c>
      <c r="B7685" t="s">
        <v>1014</v>
      </c>
      <c r="C7685" t="s">
        <v>1015</v>
      </c>
      <c r="D7685" t="str">
        <f>HYPERLINK("http://service.sap.com/sap/support/notes/1709744","1709744")</f>
        <v>1709744</v>
      </c>
      <c r="E7685">
        <v>2</v>
      </c>
      <c r="F7685" t="s">
        <v>9095</v>
      </c>
    </row>
    <row r="7686" spans="1:6" x14ac:dyDescent="0.25">
      <c r="A7686" t="s">
        <v>7749</v>
      </c>
      <c r="B7686" t="s">
        <v>1014</v>
      </c>
      <c r="C7686" t="s">
        <v>1015</v>
      </c>
      <c r="D7686" t="str">
        <f>HYPERLINK("http://service.sap.com/sap/support/notes/1713368","1713368")</f>
        <v>1713368</v>
      </c>
      <c r="E7686">
        <v>1</v>
      </c>
      <c r="F7686" t="s">
        <v>9096</v>
      </c>
    </row>
    <row r="7687" spans="1:6" x14ac:dyDescent="0.25">
      <c r="A7687" t="s">
        <v>7749</v>
      </c>
      <c r="B7687" t="s">
        <v>1014</v>
      </c>
      <c r="C7687" t="s">
        <v>1015</v>
      </c>
      <c r="D7687" t="str">
        <f>HYPERLINK("http://service.sap.com/sap/support/notes/1713964","1713964")</f>
        <v>1713964</v>
      </c>
      <c r="E7687">
        <v>1</v>
      </c>
      <c r="F7687" t="s">
        <v>9097</v>
      </c>
    </row>
    <row r="7688" spans="1:6" x14ac:dyDescent="0.25">
      <c r="A7688" t="s">
        <v>7749</v>
      </c>
      <c r="B7688" t="s">
        <v>1014</v>
      </c>
      <c r="C7688" t="s">
        <v>1015</v>
      </c>
      <c r="D7688" t="str">
        <f>HYPERLINK("http://service.sap.com/sap/support/notes/1715152","1715152")</f>
        <v>1715152</v>
      </c>
      <c r="E7688">
        <v>1</v>
      </c>
      <c r="F7688" t="s">
        <v>9098</v>
      </c>
    </row>
    <row r="7689" spans="1:6" x14ac:dyDescent="0.25">
      <c r="A7689" t="s">
        <v>7749</v>
      </c>
      <c r="B7689" t="s">
        <v>1014</v>
      </c>
      <c r="C7689" t="s">
        <v>1015</v>
      </c>
      <c r="D7689" t="str">
        <f>HYPERLINK("http://service.sap.com/sap/support/notes/1715727","1715727")</f>
        <v>1715727</v>
      </c>
      <c r="E7689">
        <v>1</v>
      </c>
      <c r="F7689" t="s">
        <v>9099</v>
      </c>
    </row>
    <row r="7690" spans="1:6" x14ac:dyDescent="0.25">
      <c r="A7690" t="s">
        <v>7749</v>
      </c>
      <c r="B7690" t="s">
        <v>1014</v>
      </c>
      <c r="C7690" t="s">
        <v>1015</v>
      </c>
      <c r="D7690" t="str">
        <f>HYPERLINK("http://service.sap.com/sap/support/notes/1721513","1721513")</f>
        <v>1721513</v>
      </c>
      <c r="E7690">
        <v>1</v>
      </c>
      <c r="F7690" t="s">
        <v>9100</v>
      </c>
    </row>
    <row r="7691" spans="1:6" x14ac:dyDescent="0.25">
      <c r="A7691" t="s">
        <v>7749</v>
      </c>
      <c r="B7691" t="s">
        <v>1014</v>
      </c>
      <c r="C7691" t="s">
        <v>1015</v>
      </c>
      <c r="D7691" t="str">
        <f>HYPERLINK("http://service.sap.com/sap/support/notes/1722688","1722688")</f>
        <v>1722688</v>
      </c>
      <c r="E7691">
        <v>1</v>
      </c>
      <c r="F7691" t="s">
        <v>9101</v>
      </c>
    </row>
    <row r="7692" spans="1:6" x14ac:dyDescent="0.25">
      <c r="A7692" t="s">
        <v>7749</v>
      </c>
      <c r="B7692" t="s">
        <v>1014</v>
      </c>
      <c r="C7692" t="s">
        <v>1015</v>
      </c>
      <c r="D7692" t="str">
        <f>HYPERLINK("http://service.sap.com/sap/support/notes/1723162","1723162")</f>
        <v>1723162</v>
      </c>
      <c r="E7692">
        <v>2</v>
      </c>
      <c r="F7692" t="s">
        <v>7219</v>
      </c>
    </row>
    <row r="7693" spans="1:6" x14ac:dyDescent="0.25">
      <c r="A7693" t="s">
        <v>7749</v>
      </c>
      <c r="B7693" t="s">
        <v>1014</v>
      </c>
      <c r="C7693" t="s">
        <v>1015</v>
      </c>
      <c r="D7693" t="str">
        <f>HYPERLINK("http://service.sap.com/sap/support/notes/1724481","1724481")</f>
        <v>1724481</v>
      </c>
      <c r="E7693">
        <v>2</v>
      </c>
      <c r="F7693" t="s">
        <v>9102</v>
      </c>
    </row>
    <row r="7694" spans="1:6" x14ac:dyDescent="0.25">
      <c r="A7694" t="s">
        <v>7749</v>
      </c>
      <c r="B7694" t="s">
        <v>1014</v>
      </c>
      <c r="C7694" t="s">
        <v>1015</v>
      </c>
      <c r="D7694" t="str">
        <f>HYPERLINK("http://service.sap.com/sap/support/notes/1724942","1724942")</f>
        <v>1724942</v>
      </c>
      <c r="E7694">
        <v>2</v>
      </c>
      <c r="F7694" t="s">
        <v>9103</v>
      </c>
    </row>
    <row r="7695" spans="1:6" x14ac:dyDescent="0.25">
      <c r="A7695" t="s">
        <v>7749</v>
      </c>
      <c r="B7695" t="s">
        <v>1014</v>
      </c>
      <c r="C7695" t="s">
        <v>1015</v>
      </c>
      <c r="D7695" t="str">
        <f>HYPERLINK("http://service.sap.com/sap/support/notes/1726838","1726838")</f>
        <v>1726838</v>
      </c>
      <c r="E7695">
        <v>1</v>
      </c>
      <c r="F7695" t="s">
        <v>9104</v>
      </c>
    </row>
    <row r="7696" spans="1:6" x14ac:dyDescent="0.25">
      <c r="A7696" t="s">
        <v>7749</v>
      </c>
      <c r="B7696" t="s">
        <v>1027</v>
      </c>
      <c r="C7696" t="s">
        <v>1028</v>
      </c>
      <c r="D7696" t="str">
        <f>HYPERLINK("http://service.sap.com/sap/support/notes/1597137","1597137")</f>
        <v>1597137</v>
      </c>
      <c r="E7696">
        <v>2</v>
      </c>
      <c r="F7696" t="s">
        <v>9105</v>
      </c>
    </row>
    <row r="7697" spans="1:6" x14ac:dyDescent="0.25">
      <c r="A7697" t="s">
        <v>7749</v>
      </c>
      <c r="B7697" t="s">
        <v>4609</v>
      </c>
      <c r="C7697" t="s">
        <v>4610</v>
      </c>
      <c r="D7697" t="str">
        <f>HYPERLINK("http://service.sap.com/sap/support/notes/1701360","1701360")</f>
        <v>1701360</v>
      </c>
      <c r="E7697">
        <v>1</v>
      </c>
      <c r="F7697" t="s">
        <v>9106</v>
      </c>
    </row>
    <row r="7698" spans="1:6" x14ac:dyDescent="0.25">
      <c r="A7698" t="s">
        <v>7749</v>
      </c>
      <c r="B7698" t="s">
        <v>4609</v>
      </c>
      <c r="C7698" t="s">
        <v>4610</v>
      </c>
      <c r="D7698" t="str">
        <f>HYPERLINK("http://service.sap.com/sap/support/notes/1703042","1703042")</f>
        <v>1703042</v>
      </c>
      <c r="E7698">
        <v>2</v>
      </c>
      <c r="F7698" t="s">
        <v>9107</v>
      </c>
    </row>
    <row r="7699" spans="1:6" x14ac:dyDescent="0.25">
      <c r="A7699" t="s">
        <v>7749</v>
      </c>
      <c r="B7699" t="s">
        <v>4609</v>
      </c>
      <c r="C7699" t="s">
        <v>4610</v>
      </c>
      <c r="D7699" t="str">
        <f>HYPERLINK("http://service.sap.com/sap/support/notes/1703941","1703941")</f>
        <v>1703941</v>
      </c>
      <c r="E7699">
        <v>1</v>
      </c>
      <c r="F7699" t="s">
        <v>9108</v>
      </c>
    </row>
    <row r="7700" spans="1:6" x14ac:dyDescent="0.25">
      <c r="A7700" t="s">
        <v>7749</v>
      </c>
      <c r="B7700" t="s">
        <v>4609</v>
      </c>
      <c r="C7700" t="s">
        <v>4610</v>
      </c>
      <c r="D7700" t="str">
        <f>HYPERLINK("http://service.sap.com/sap/support/notes/1708622","1708622")</f>
        <v>1708622</v>
      </c>
      <c r="E7700">
        <v>1</v>
      </c>
      <c r="F7700" t="s">
        <v>9109</v>
      </c>
    </row>
    <row r="7701" spans="1:6" x14ac:dyDescent="0.25">
      <c r="A7701" t="s">
        <v>7749</v>
      </c>
      <c r="B7701" t="s">
        <v>4609</v>
      </c>
      <c r="C7701" t="s">
        <v>4610</v>
      </c>
      <c r="D7701" t="str">
        <f>HYPERLINK("http://service.sap.com/sap/support/notes/1714960","1714960")</f>
        <v>1714960</v>
      </c>
      <c r="E7701">
        <v>1</v>
      </c>
      <c r="F7701" t="s">
        <v>9110</v>
      </c>
    </row>
    <row r="7702" spans="1:6" x14ac:dyDescent="0.25">
      <c r="A7702" t="s">
        <v>7749</v>
      </c>
      <c r="B7702" t="s">
        <v>4609</v>
      </c>
      <c r="C7702" t="s">
        <v>4610</v>
      </c>
      <c r="D7702" t="str">
        <f>HYPERLINK("http://service.sap.com/sap/support/notes/1715204","1715204")</f>
        <v>1715204</v>
      </c>
      <c r="E7702">
        <v>1</v>
      </c>
      <c r="F7702" t="s">
        <v>9111</v>
      </c>
    </row>
    <row r="7703" spans="1:6" x14ac:dyDescent="0.25">
      <c r="A7703" t="s">
        <v>7749</v>
      </c>
      <c r="B7703" t="s">
        <v>4609</v>
      </c>
      <c r="C7703" t="s">
        <v>4610</v>
      </c>
      <c r="D7703" t="str">
        <f>HYPERLINK("http://service.sap.com/sap/support/notes/1721577","1721577")</f>
        <v>1721577</v>
      </c>
      <c r="E7703">
        <v>1</v>
      </c>
      <c r="F7703" t="s">
        <v>9112</v>
      </c>
    </row>
    <row r="7704" spans="1:6" x14ac:dyDescent="0.25">
      <c r="A7704" t="s">
        <v>7749</v>
      </c>
      <c r="B7704" t="s">
        <v>4616</v>
      </c>
      <c r="C7704" t="s">
        <v>4617</v>
      </c>
      <c r="D7704" t="str">
        <f>HYPERLINK("http://service.sap.com/sap/support/notes/1599865","1599865")</f>
        <v>1599865</v>
      </c>
      <c r="E7704">
        <v>2</v>
      </c>
      <c r="F7704" t="s">
        <v>9113</v>
      </c>
    </row>
    <row r="7705" spans="1:6" x14ac:dyDescent="0.25">
      <c r="A7705" t="s">
        <v>7749</v>
      </c>
      <c r="B7705" t="s">
        <v>4616</v>
      </c>
      <c r="C7705" t="s">
        <v>4617</v>
      </c>
      <c r="D7705" t="str">
        <f>HYPERLINK("http://service.sap.com/sap/support/notes/1665276","1665276")</f>
        <v>1665276</v>
      </c>
      <c r="E7705">
        <v>1</v>
      </c>
      <c r="F7705" t="s">
        <v>9114</v>
      </c>
    </row>
    <row r="7706" spans="1:6" x14ac:dyDescent="0.25">
      <c r="A7706" t="s">
        <v>7749</v>
      </c>
      <c r="B7706" t="s">
        <v>4616</v>
      </c>
      <c r="C7706" t="s">
        <v>4617</v>
      </c>
      <c r="D7706" t="str">
        <f>HYPERLINK("http://service.sap.com/sap/support/notes/1707884","1707884")</f>
        <v>1707884</v>
      </c>
      <c r="E7706">
        <v>1</v>
      </c>
      <c r="F7706" t="s">
        <v>9115</v>
      </c>
    </row>
    <row r="7707" spans="1:6" x14ac:dyDescent="0.25">
      <c r="A7707" t="s">
        <v>7749</v>
      </c>
      <c r="B7707" t="s">
        <v>9116</v>
      </c>
      <c r="C7707" t="s">
        <v>651</v>
      </c>
      <c r="D7707" t="str">
        <f>HYPERLINK("http://service.sap.com/sap/support/notes/1657988","1657988")</f>
        <v>1657988</v>
      </c>
      <c r="E7707">
        <v>1</v>
      </c>
      <c r="F7707" t="s">
        <v>9117</v>
      </c>
    </row>
    <row r="7708" spans="1:6" x14ac:dyDescent="0.25">
      <c r="A7708" t="s">
        <v>7749</v>
      </c>
      <c r="B7708" t="s">
        <v>9116</v>
      </c>
      <c r="C7708" t="s">
        <v>651</v>
      </c>
      <c r="D7708" t="str">
        <f>HYPERLINK("http://service.sap.com/sap/support/notes/1715771","1715771")</f>
        <v>1715771</v>
      </c>
      <c r="E7708">
        <v>2</v>
      </c>
      <c r="F7708" t="s">
        <v>9118</v>
      </c>
    </row>
    <row r="7709" spans="1:6" x14ac:dyDescent="0.25">
      <c r="A7709" t="s">
        <v>7749</v>
      </c>
      <c r="B7709" t="s">
        <v>4623</v>
      </c>
      <c r="C7709" t="s">
        <v>4624</v>
      </c>
      <c r="D7709" t="str">
        <f>HYPERLINK("http://service.sap.com/sap/support/notes/1720551","1720551")</f>
        <v>1720551</v>
      </c>
      <c r="E7709">
        <v>2</v>
      </c>
      <c r="F7709" t="s">
        <v>9119</v>
      </c>
    </row>
    <row r="7710" spans="1:6" x14ac:dyDescent="0.25">
      <c r="A7710" t="s">
        <v>7749</v>
      </c>
      <c r="B7710" t="s">
        <v>1030</v>
      </c>
      <c r="C7710" t="s">
        <v>163</v>
      </c>
    </row>
    <row r="7711" spans="1:6" x14ac:dyDescent="0.25">
      <c r="A7711" t="s">
        <v>7749</v>
      </c>
      <c r="B7711" t="s">
        <v>4627</v>
      </c>
      <c r="C7711" t="s">
        <v>4628</v>
      </c>
      <c r="D7711" t="str">
        <f>HYPERLINK("http://service.sap.com/sap/support/notes/1719588","1719588")</f>
        <v>1719588</v>
      </c>
      <c r="E7711">
        <v>1</v>
      </c>
      <c r="F7711" t="s">
        <v>9120</v>
      </c>
    </row>
    <row r="7712" spans="1:6" x14ac:dyDescent="0.25">
      <c r="A7712" t="s">
        <v>7749</v>
      </c>
      <c r="B7712" t="s">
        <v>4630</v>
      </c>
      <c r="C7712" t="s">
        <v>632</v>
      </c>
    </row>
    <row r="7713" spans="1:6" x14ac:dyDescent="0.25">
      <c r="A7713" t="s">
        <v>7749</v>
      </c>
      <c r="B7713" t="s">
        <v>4634</v>
      </c>
      <c r="C7713" t="s">
        <v>4635</v>
      </c>
      <c r="D7713" t="str">
        <f>HYPERLINK("http://service.sap.com/sap/support/notes/1619490","1619490")</f>
        <v>1619490</v>
      </c>
      <c r="E7713">
        <v>2</v>
      </c>
      <c r="F7713" t="s">
        <v>9121</v>
      </c>
    </row>
    <row r="7714" spans="1:6" x14ac:dyDescent="0.25">
      <c r="A7714" t="s">
        <v>7749</v>
      </c>
      <c r="B7714" t="s">
        <v>4666</v>
      </c>
      <c r="C7714" t="s">
        <v>4667</v>
      </c>
    </row>
    <row r="7715" spans="1:6" x14ac:dyDescent="0.25">
      <c r="A7715" t="s">
        <v>7749</v>
      </c>
      <c r="B7715" t="s">
        <v>4672</v>
      </c>
      <c r="C7715" t="s">
        <v>4673</v>
      </c>
      <c r="D7715" t="str">
        <f>HYPERLINK("http://service.sap.com/sap/support/notes/1637042","1637042")</f>
        <v>1637042</v>
      </c>
      <c r="E7715">
        <v>2</v>
      </c>
      <c r="F7715" t="s">
        <v>9122</v>
      </c>
    </row>
    <row r="7716" spans="1:6" x14ac:dyDescent="0.25">
      <c r="A7716" t="s">
        <v>7749</v>
      </c>
      <c r="B7716" t="s">
        <v>4672</v>
      </c>
      <c r="C7716" t="s">
        <v>4673</v>
      </c>
      <c r="D7716" t="str">
        <f>HYPERLINK("http://service.sap.com/sap/support/notes/1662961","1662961")</f>
        <v>1662961</v>
      </c>
      <c r="E7716">
        <v>1</v>
      </c>
      <c r="F7716" t="s">
        <v>9123</v>
      </c>
    </row>
    <row r="7717" spans="1:6" x14ac:dyDescent="0.25">
      <c r="A7717" t="s">
        <v>7749</v>
      </c>
      <c r="B7717" t="s">
        <v>4672</v>
      </c>
      <c r="C7717" t="s">
        <v>4673</v>
      </c>
      <c r="D7717" t="str">
        <f>HYPERLINK("http://service.sap.com/sap/support/notes/1676358","1676358")</f>
        <v>1676358</v>
      </c>
      <c r="E7717">
        <v>2</v>
      </c>
      <c r="F7717" t="s">
        <v>9124</v>
      </c>
    </row>
    <row r="7718" spans="1:6" x14ac:dyDescent="0.25">
      <c r="A7718" t="s">
        <v>7749</v>
      </c>
      <c r="B7718" t="s">
        <v>4675</v>
      </c>
      <c r="C7718" t="s">
        <v>4676</v>
      </c>
      <c r="D7718" t="str">
        <f>HYPERLINK("http://service.sap.com/sap/support/notes/1691628","1691628")</f>
        <v>1691628</v>
      </c>
      <c r="E7718">
        <v>2</v>
      </c>
      <c r="F7718" t="s">
        <v>9125</v>
      </c>
    </row>
    <row r="7719" spans="1:6" x14ac:dyDescent="0.25">
      <c r="A7719" t="s">
        <v>7749</v>
      </c>
      <c r="B7719" t="s">
        <v>9126</v>
      </c>
      <c r="C7719" t="s">
        <v>9127</v>
      </c>
      <c r="D7719" t="str">
        <f>HYPERLINK("http://service.sap.com/sap/support/notes/1696481","1696481")</f>
        <v>1696481</v>
      </c>
      <c r="E7719">
        <v>2</v>
      </c>
      <c r="F7719" t="s">
        <v>9128</v>
      </c>
    </row>
    <row r="7720" spans="1:6" x14ac:dyDescent="0.25">
      <c r="A7720" t="s">
        <v>7749</v>
      </c>
      <c r="B7720" t="s">
        <v>9126</v>
      </c>
      <c r="C7720" t="s">
        <v>9127</v>
      </c>
      <c r="D7720" t="str">
        <f>HYPERLINK("http://service.sap.com/sap/support/notes/1702423","1702423")</f>
        <v>1702423</v>
      </c>
      <c r="E7720">
        <v>1</v>
      </c>
      <c r="F7720" t="s">
        <v>9129</v>
      </c>
    </row>
    <row r="7721" spans="1:6" x14ac:dyDescent="0.25">
      <c r="A7721" t="s">
        <v>7749</v>
      </c>
      <c r="B7721" t="s">
        <v>9126</v>
      </c>
      <c r="C7721" t="s">
        <v>9127</v>
      </c>
      <c r="D7721" t="str">
        <f>HYPERLINK("http://service.sap.com/sap/support/notes/1707336","1707336")</f>
        <v>1707336</v>
      </c>
      <c r="E7721">
        <v>1</v>
      </c>
      <c r="F7721" t="s">
        <v>9130</v>
      </c>
    </row>
    <row r="7722" spans="1:6" x14ac:dyDescent="0.25">
      <c r="A7722" t="s">
        <v>7749</v>
      </c>
      <c r="B7722" t="s">
        <v>9126</v>
      </c>
      <c r="C7722" t="s">
        <v>9127</v>
      </c>
      <c r="D7722" t="str">
        <f>HYPERLINK("http://service.sap.com/sap/support/notes/1713697","1713697")</f>
        <v>1713697</v>
      </c>
      <c r="E7722">
        <v>1</v>
      </c>
      <c r="F7722" t="s">
        <v>9131</v>
      </c>
    </row>
    <row r="7723" spans="1:6" x14ac:dyDescent="0.25">
      <c r="A7723" t="s">
        <v>7749</v>
      </c>
      <c r="B7723" t="s">
        <v>1040</v>
      </c>
      <c r="C7723" t="s">
        <v>1041</v>
      </c>
      <c r="D7723" t="str">
        <f>HYPERLINK("http://service.sap.com/sap/support/notes/1715588","1715588")</f>
        <v>1715588</v>
      </c>
      <c r="E7723">
        <v>1</v>
      </c>
      <c r="F7723" t="s">
        <v>9132</v>
      </c>
    </row>
    <row r="7724" spans="1:6" x14ac:dyDescent="0.25">
      <c r="A7724" t="s">
        <v>7749</v>
      </c>
      <c r="B7724" t="s">
        <v>1040</v>
      </c>
      <c r="C7724" t="s">
        <v>1041</v>
      </c>
      <c r="D7724" t="str">
        <f>HYPERLINK("http://service.sap.com/sap/support/notes/1717225","1717225")</f>
        <v>1717225</v>
      </c>
      <c r="E7724">
        <v>1</v>
      </c>
      <c r="F7724" t="s">
        <v>9133</v>
      </c>
    </row>
    <row r="7725" spans="1:6" x14ac:dyDescent="0.25">
      <c r="A7725" t="s">
        <v>7749</v>
      </c>
      <c r="B7725" t="s">
        <v>1040</v>
      </c>
      <c r="C7725" t="s">
        <v>1041</v>
      </c>
      <c r="D7725" t="str">
        <f>HYPERLINK("http://service.sap.com/sap/support/notes/1720445","1720445")</f>
        <v>1720445</v>
      </c>
      <c r="E7725">
        <v>2</v>
      </c>
      <c r="F7725" t="s">
        <v>9134</v>
      </c>
    </row>
    <row r="7726" spans="1:6" x14ac:dyDescent="0.25">
      <c r="A7726" t="s">
        <v>7749</v>
      </c>
      <c r="B7726" t="s">
        <v>1040</v>
      </c>
      <c r="C7726" t="s">
        <v>1041</v>
      </c>
      <c r="D7726" t="str">
        <f>HYPERLINK("http://service.sap.com/sap/support/notes/1722259","1722259")</f>
        <v>1722259</v>
      </c>
      <c r="E7726">
        <v>2</v>
      </c>
      <c r="F7726" t="s">
        <v>9135</v>
      </c>
    </row>
    <row r="7727" spans="1:6" x14ac:dyDescent="0.25">
      <c r="A7727" t="s">
        <v>7749</v>
      </c>
      <c r="B7727" t="s">
        <v>1043</v>
      </c>
      <c r="C7727" t="s">
        <v>1044</v>
      </c>
    </row>
    <row r="7728" spans="1:6" x14ac:dyDescent="0.25">
      <c r="A7728" t="s">
        <v>7749</v>
      </c>
      <c r="B7728" t="s">
        <v>1045</v>
      </c>
      <c r="C7728" t="s">
        <v>1046</v>
      </c>
      <c r="D7728" t="str">
        <f>HYPERLINK("http://service.sap.com/sap/support/notes/1673507","1673507")</f>
        <v>1673507</v>
      </c>
      <c r="E7728">
        <v>1</v>
      </c>
      <c r="F7728" t="s">
        <v>9136</v>
      </c>
    </row>
    <row r="7729" spans="1:6" x14ac:dyDescent="0.25">
      <c r="A7729" t="s">
        <v>7749</v>
      </c>
      <c r="B7729" t="s">
        <v>1045</v>
      </c>
      <c r="C7729" t="s">
        <v>1046</v>
      </c>
      <c r="D7729" t="str">
        <f>HYPERLINK("http://service.sap.com/sap/support/notes/1701560","1701560")</f>
        <v>1701560</v>
      </c>
      <c r="E7729">
        <v>1</v>
      </c>
      <c r="F7729" t="s">
        <v>9137</v>
      </c>
    </row>
    <row r="7730" spans="1:6" x14ac:dyDescent="0.25">
      <c r="A7730" t="s">
        <v>7749</v>
      </c>
      <c r="B7730" t="s">
        <v>1045</v>
      </c>
      <c r="C7730" t="s">
        <v>1046</v>
      </c>
      <c r="D7730" t="str">
        <f>HYPERLINK("http://service.sap.com/sap/support/notes/1702257","1702257")</f>
        <v>1702257</v>
      </c>
      <c r="E7730">
        <v>1</v>
      </c>
      <c r="F7730" t="s">
        <v>9138</v>
      </c>
    </row>
    <row r="7731" spans="1:6" x14ac:dyDescent="0.25">
      <c r="A7731" t="s">
        <v>7749</v>
      </c>
      <c r="B7731" t="s">
        <v>1045</v>
      </c>
      <c r="C7731" t="s">
        <v>1046</v>
      </c>
      <c r="D7731" t="str">
        <f>HYPERLINK("http://service.sap.com/sap/support/notes/1705573","1705573")</f>
        <v>1705573</v>
      </c>
      <c r="E7731">
        <v>1</v>
      </c>
      <c r="F7731" t="s">
        <v>9139</v>
      </c>
    </row>
    <row r="7732" spans="1:6" x14ac:dyDescent="0.25">
      <c r="A7732" t="s">
        <v>7749</v>
      </c>
      <c r="B7732" t="s">
        <v>1045</v>
      </c>
      <c r="C7732" t="s">
        <v>1046</v>
      </c>
      <c r="D7732" t="str">
        <f>HYPERLINK("http://service.sap.com/sap/support/notes/1717069","1717069")</f>
        <v>1717069</v>
      </c>
      <c r="E7732">
        <v>1</v>
      </c>
      <c r="F7732" t="s">
        <v>9140</v>
      </c>
    </row>
    <row r="7733" spans="1:6" x14ac:dyDescent="0.25">
      <c r="A7733" t="s">
        <v>7749</v>
      </c>
      <c r="B7733" t="s">
        <v>1048</v>
      </c>
      <c r="C7733" t="s">
        <v>4683</v>
      </c>
      <c r="D7733" t="str">
        <f>HYPERLINK("http://service.sap.com/sap/support/notes/1648110","1648110")</f>
        <v>1648110</v>
      </c>
      <c r="E7733">
        <v>1</v>
      </c>
      <c r="F7733" t="s">
        <v>9141</v>
      </c>
    </row>
    <row r="7734" spans="1:6" x14ac:dyDescent="0.25">
      <c r="A7734" t="s">
        <v>7749</v>
      </c>
      <c r="B7734" t="s">
        <v>1048</v>
      </c>
      <c r="C7734" t="s">
        <v>4683</v>
      </c>
      <c r="D7734" t="str">
        <f>HYPERLINK("http://service.sap.com/sap/support/notes/1717596","1717596")</f>
        <v>1717596</v>
      </c>
      <c r="E7734">
        <v>1</v>
      </c>
      <c r="F7734" t="s">
        <v>9142</v>
      </c>
    </row>
    <row r="7735" spans="1:6" x14ac:dyDescent="0.25">
      <c r="A7735" t="s">
        <v>7749</v>
      </c>
      <c r="B7735" t="s">
        <v>9143</v>
      </c>
      <c r="C7735" t="s">
        <v>632</v>
      </c>
      <c r="D7735" t="str">
        <f>HYPERLINK("http://service.sap.com/sap/support/notes/1701745","1701745")</f>
        <v>1701745</v>
      </c>
      <c r="E7735">
        <v>1</v>
      </c>
      <c r="F7735" t="s">
        <v>9144</v>
      </c>
    </row>
    <row r="7736" spans="1:6" x14ac:dyDescent="0.25">
      <c r="A7736" t="s">
        <v>7749</v>
      </c>
      <c r="B7736" t="s">
        <v>9143</v>
      </c>
      <c r="C7736" t="s">
        <v>632</v>
      </c>
      <c r="D7736" t="str">
        <f>HYPERLINK("http://service.sap.com/sap/support/notes/1709384","1709384")</f>
        <v>1709384</v>
      </c>
      <c r="E7736">
        <v>2</v>
      </c>
      <c r="F7736" t="s">
        <v>9145</v>
      </c>
    </row>
    <row r="7737" spans="1:6" x14ac:dyDescent="0.25">
      <c r="A7737" t="s">
        <v>7749</v>
      </c>
      <c r="B7737" t="s">
        <v>9143</v>
      </c>
      <c r="C7737" t="s">
        <v>632</v>
      </c>
      <c r="D7737" t="str">
        <f>HYPERLINK("http://service.sap.com/sap/support/notes/1716446","1716446")</f>
        <v>1716446</v>
      </c>
      <c r="E7737">
        <v>1</v>
      </c>
      <c r="F7737" t="s">
        <v>9146</v>
      </c>
    </row>
    <row r="7738" spans="1:6" x14ac:dyDescent="0.25">
      <c r="A7738" t="s">
        <v>7749</v>
      </c>
      <c r="B7738" t="s">
        <v>1050</v>
      </c>
      <c r="C7738" t="s">
        <v>1051</v>
      </c>
      <c r="D7738" t="str">
        <f>HYPERLINK("http://service.sap.com/sap/support/notes/1042637","1042637")</f>
        <v>1042637</v>
      </c>
      <c r="E7738">
        <v>2</v>
      </c>
      <c r="F7738" t="s">
        <v>9147</v>
      </c>
    </row>
    <row r="7739" spans="1:6" x14ac:dyDescent="0.25">
      <c r="A7739" t="s">
        <v>7749</v>
      </c>
      <c r="B7739" t="s">
        <v>1050</v>
      </c>
      <c r="C7739" t="s">
        <v>1051</v>
      </c>
      <c r="D7739" t="str">
        <f>HYPERLINK("http://service.sap.com/sap/support/notes/1657770","1657770")</f>
        <v>1657770</v>
      </c>
      <c r="E7739">
        <v>1</v>
      </c>
      <c r="F7739" t="s">
        <v>9148</v>
      </c>
    </row>
    <row r="7740" spans="1:6" x14ac:dyDescent="0.25">
      <c r="A7740" t="s">
        <v>7749</v>
      </c>
      <c r="B7740" t="s">
        <v>1050</v>
      </c>
      <c r="C7740" t="s">
        <v>1051</v>
      </c>
      <c r="D7740" t="str">
        <f>HYPERLINK("http://service.sap.com/sap/support/notes/1687273","1687273")</f>
        <v>1687273</v>
      </c>
      <c r="E7740">
        <v>1</v>
      </c>
      <c r="F7740" t="s">
        <v>9149</v>
      </c>
    </row>
    <row r="7741" spans="1:6" x14ac:dyDescent="0.25">
      <c r="A7741" t="s">
        <v>7749</v>
      </c>
      <c r="B7741" t="s">
        <v>1050</v>
      </c>
      <c r="C7741" t="s">
        <v>1051</v>
      </c>
      <c r="D7741" t="str">
        <f>HYPERLINK("http://service.sap.com/sap/support/notes/1697171","1697171")</f>
        <v>1697171</v>
      </c>
      <c r="E7741">
        <v>3</v>
      </c>
      <c r="F7741" t="s">
        <v>9150</v>
      </c>
    </row>
    <row r="7742" spans="1:6" x14ac:dyDescent="0.25">
      <c r="A7742" t="s">
        <v>7749</v>
      </c>
      <c r="B7742" t="s">
        <v>1050</v>
      </c>
      <c r="C7742" t="s">
        <v>1051</v>
      </c>
      <c r="D7742" t="str">
        <f>HYPERLINK("http://service.sap.com/sap/support/notes/1709332","1709332")</f>
        <v>1709332</v>
      </c>
      <c r="E7742">
        <v>1</v>
      </c>
      <c r="F7742" t="s">
        <v>9151</v>
      </c>
    </row>
    <row r="7743" spans="1:6" x14ac:dyDescent="0.25">
      <c r="A7743" t="s">
        <v>7749</v>
      </c>
      <c r="B7743" t="s">
        <v>4691</v>
      </c>
      <c r="C7743" t="s">
        <v>4692</v>
      </c>
      <c r="D7743" t="str">
        <f>HYPERLINK("http://service.sap.com/sap/support/notes/1698526","1698526")</f>
        <v>1698526</v>
      </c>
      <c r="E7743">
        <v>1</v>
      </c>
      <c r="F7743" t="s">
        <v>9152</v>
      </c>
    </row>
    <row r="7744" spans="1:6" x14ac:dyDescent="0.25">
      <c r="A7744" t="s">
        <v>7749</v>
      </c>
      <c r="B7744" t="s">
        <v>4691</v>
      </c>
      <c r="C7744" t="s">
        <v>4692</v>
      </c>
      <c r="D7744" t="str">
        <f>HYPERLINK("http://service.sap.com/sap/support/notes/1712759","1712759")</f>
        <v>1712759</v>
      </c>
      <c r="E7744">
        <v>2</v>
      </c>
      <c r="F7744" t="s">
        <v>9153</v>
      </c>
    </row>
    <row r="7745" spans="1:6" x14ac:dyDescent="0.25">
      <c r="A7745" t="s">
        <v>7749</v>
      </c>
      <c r="B7745" t="s">
        <v>1054</v>
      </c>
      <c r="C7745" t="s">
        <v>1055</v>
      </c>
      <c r="D7745" t="str">
        <f>HYPERLINK("http://service.sap.com/sap/support/notes/1710835","1710835")</f>
        <v>1710835</v>
      </c>
      <c r="E7745">
        <v>1</v>
      </c>
      <c r="F7745" t="s">
        <v>9154</v>
      </c>
    </row>
    <row r="7746" spans="1:6" x14ac:dyDescent="0.25">
      <c r="A7746" t="s">
        <v>7749</v>
      </c>
      <c r="B7746" t="s">
        <v>1054</v>
      </c>
      <c r="C7746" t="s">
        <v>1055</v>
      </c>
      <c r="D7746" t="str">
        <f>HYPERLINK("http://service.sap.com/sap/support/notes/1712135","1712135")</f>
        <v>1712135</v>
      </c>
      <c r="E7746">
        <v>2</v>
      </c>
      <c r="F7746" t="s">
        <v>9155</v>
      </c>
    </row>
    <row r="7747" spans="1:6" x14ac:dyDescent="0.25">
      <c r="A7747" t="s">
        <v>7749</v>
      </c>
      <c r="B7747" t="s">
        <v>1057</v>
      </c>
      <c r="C7747" t="s">
        <v>1058</v>
      </c>
    </row>
    <row r="7748" spans="1:6" x14ac:dyDescent="0.25">
      <c r="A7748" t="s">
        <v>7749</v>
      </c>
      <c r="B7748" t="s">
        <v>4698</v>
      </c>
      <c r="C7748" t="s">
        <v>4699</v>
      </c>
      <c r="D7748" t="str">
        <f>HYPERLINK("http://service.sap.com/sap/support/notes/1708151","1708151")</f>
        <v>1708151</v>
      </c>
      <c r="E7748">
        <v>1</v>
      </c>
      <c r="F7748" t="s">
        <v>9156</v>
      </c>
    </row>
    <row r="7749" spans="1:6" x14ac:dyDescent="0.25">
      <c r="A7749" t="s">
        <v>7749</v>
      </c>
      <c r="B7749" t="s">
        <v>1059</v>
      </c>
      <c r="C7749" t="s">
        <v>632</v>
      </c>
    </row>
    <row r="7750" spans="1:6" x14ac:dyDescent="0.25">
      <c r="A7750" t="s">
        <v>7749</v>
      </c>
      <c r="B7750" t="s">
        <v>9157</v>
      </c>
      <c r="C7750" t="s">
        <v>9158</v>
      </c>
      <c r="D7750" t="str">
        <f>HYPERLINK("http://service.sap.com/sap/support/notes/1706198","1706198")</f>
        <v>1706198</v>
      </c>
      <c r="E7750">
        <v>1</v>
      </c>
      <c r="F7750" t="s">
        <v>9159</v>
      </c>
    </row>
    <row r="7751" spans="1:6" x14ac:dyDescent="0.25">
      <c r="A7751" t="s">
        <v>7749</v>
      </c>
      <c r="B7751" t="s">
        <v>4708</v>
      </c>
      <c r="C7751" t="s">
        <v>4709</v>
      </c>
      <c r="D7751" t="str">
        <f>HYPERLINK("http://service.sap.com/sap/support/notes/1722355","1722355")</f>
        <v>1722355</v>
      </c>
      <c r="E7751">
        <v>2</v>
      </c>
      <c r="F7751" t="s">
        <v>9160</v>
      </c>
    </row>
    <row r="7752" spans="1:6" x14ac:dyDescent="0.25">
      <c r="A7752" t="s">
        <v>7749</v>
      </c>
      <c r="B7752" t="s">
        <v>1071</v>
      </c>
      <c r="C7752" t="s">
        <v>1072</v>
      </c>
      <c r="D7752" t="str">
        <f>HYPERLINK("http://service.sap.com/sap/support/notes/1668969","1668969")</f>
        <v>1668969</v>
      </c>
      <c r="E7752">
        <v>1</v>
      </c>
      <c r="F7752" t="s">
        <v>9161</v>
      </c>
    </row>
    <row r="7753" spans="1:6" x14ac:dyDescent="0.25">
      <c r="A7753" t="s">
        <v>7749</v>
      </c>
      <c r="B7753" t="s">
        <v>1071</v>
      </c>
      <c r="C7753" t="s">
        <v>1072</v>
      </c>
      <c r="D7753" t="str">
        <f>HYPERLINK("http://service.sap.com/sap/support/notes/1700033","1700033")</f>
        <v>1700033</v>
      </c>
      <c r="E7753">
        <v>1</v>
      </c>
      <c r="F7753" t="s">
        <v>9162</v>
      </c>
    </row>
    <row r="7754" spans="1:6" x14ac:dyDescent="0.25">
      <c r="A7754" t="s">
        <v>7749</v>
      </c>
      <c r="B7754" t="s">
        <v>1071</v>
      </c>
      <c r="C7754" t="s">
        <v>1072</v>
      </c>
      <c r="D7754" t="str">
        <f>HYPERLINK("http://service.sap.com/sap/support/notes/1703945","1703945")</f>
        <v>1703945</v>
      </c>
      <c r="E7754">
        <v>1</v>
      </c>
      <c r="F7754" t="s">
        <v>9163</v>
      </c>
    </row>
    <row r="7755" spans="1:6" x14ac:dyDescent="0.25">
      <c r="A7755" t="s">
        <v>7749</v>
      </c>
      <c r="B7755" t="s">
        <v>1074</v>
      </c>
      <c r="C7755" t="s">
        <v>1075</v>
      </c>
      <c r="D7755" t="str">
        <f>HYPERLINK("http://service.sap.com/sap/support/notes/1694521","1694521")</f>
        <v>1694521</v>
      </c>
      <c r="E7755">
        <v>1</v>
      </c>
      <c r="F7755" t="s">
        <v>7261</v>
      </c>
    </row>
    <row r="7756" spans="1:6" x14ac:dyDescent="0.25">
      <c r="A7756" t="s">
        <v>7749</v>
      </c>
      <c r="B7756" t="s">
        <v>1074</v>
      </c>
      <c r="C7756" t="s">
        <v>1075</v>
      </c>
      <c r="D7756" t="str">
        <f>HYPERLINK("http://service.sap.com/sap/support/notes/1703088","1703088")</f>
        <v>1703088</v>
      </c>
      <c r="E7756">
        <v>1</v>
      </c>
      <c r="F7756" t="s">
        <v>9164</v>
      </c>
    </row>
    <row r="7757" spans="1:6" x14ac:dyDescent="0.25">
      <c r="A7757" t="s">
        <v>7749</v>
      </c>
      <c r="B7757" t="s">
        <v>4725</v>
      </c>
      <c r="C7757" t="s">
        <v>4726</v>
      </c>
      <c r="D7757" t="str">
        <f>HYPERLINK("http://service.sap.com/sap/support/notes/1680091","1680091")</f>
        <v>1680091</v>
      </c>
      <c r="E7757">
        <v>1</v>
      </c>
      <c r="F7757" t="s">
        <v>7264</v>
      </c>
    </row>
    <row r="7758" spans="1:6" x14ac:dyDescent="0.25">
      <c r="A7758" t="s">
        <v>7749</v>
      </c>
      <c r="B7758" t="s">
        <v>4725</v>
      </c>
      <c r="C7758" t="s">
        <v>4726</v>
      </c>
      <c r="D7758" t="str">
        <f>HYPERLINK("http://service.sap.com/sap/support/notes/1696128","1696128")</f>
        <v>1696128</v>
      </c>
      <c r="E7758">
        <v>1</v>
      </c>
      <c r="F7758" t="s">
        <v>9165</v>
      </c>
    </row>
    <row r="7759" spans="1:6" x14ac:dyDescent="0.25">
      <c r="A7759" t="s">
        <v>7749</v>
      </c>
      <c r="B7759" t="s">
        <v>4725</v>
      </c>
      <c r="C7759" t="s">
        <v>4726</v>
      </c>
      <c r="D7759" t="str">
        <f>HYPERLINK("http://service.sap.com/sap/support/notes/1698773","1698773")</f>
        <v>1698773</v>
      </c>
      <c r="E7759">
        <v>3</v>
      </c>
      <c r="F7759" t="s">
        <v>9166</v>
      </c>
    </row>
    <row r="7760" spans="1:6" x14ac:dyDescent="0.25">
      <c r="A7760" t="s">
        <v>7749</v>
      </c>
      <c r="B7760" t="s">
        <v>4725</v>
      </c>
      <c r="C7760" t="s">
        <v>4726</v>
      </c>
      <c r="D7760" t="str">
        <f>HYPERLINK("http://service.sap.com/sap/support/notes/1713461","1713461")</f>
        <v>1713461</v>
      </c>
      <c r="E7760">
        <v>1</v>
      </c>
      <c r="F7760" t="s">
        <v>9167</v>
      </c>
    </row>
    <row r="7761" spans="1:6" x14ac:dyDescent="0.25">
      <c r="A7761" t="s">
        <v>7749</v>
      </c>
      <c r="B7761" t="s">
        <v>7269</v>
      </c>
      <c r="C7761" t="s">
        <v>7270</v>
      </c>
      <c r="D7761" t="str">
        <f>HYPERLINK("http://service.sap.com/sap/support/notes/1688405","1688405")</f>
        <v>1688405</v>
      </c>
      <c r="E7761">
        <v>1</v>
      </c>
      <c r="F7761" t="s">
        <v>7271</v>
      </c>
    </row>
    <row r="7762" spans="1:6" x14ac:dyDescent="0.25">
      <c r="A7762" t="s">
        <v>7749</v>
      </c>
      <c r="B7762" t="s">
        <v>1080</v>
      </c>
      <c r="C7762" t="s">
        <v>1081</v>
      </c>
      <c r="D7762" t="str">
        <f>HYPERLINK("http://service.sap.com/sap/support/notes/1663571","1663571")</f>
        <v>1663571</v>
      </c>
      <c r="E7762">
        <v>1</v>
      </c>
      <c r="F7762" t="s">
        <v>9168</v>
      </c>
    </row>
    <row r="7763" spans="1:6" x14ac:dyDescent="0.25">
      <c r="A7763" t="s">
        <v>7749</v>
      </c>
      <c r="B7763" t="s">
        <v>4742</v>
      </c>
      <c r="C7763" t="s">
        <v>9169</v>
      </c>
    </row>
    <row r="7764" spans="1:6" x14ac:dyDescent="0.25">
      <c r="A7764" t="s">
        <v>7749</v>
      </c>
      <c r="B7764" t="s">
        <v>4747</v>
      </c>
      <c r="C7764" t="s">
        <v>4748</v>
      </c>
      <c r="D7764" t="str">
        <f>HYPERLINK("http://service.sap.com/sap/support/notes/1510226","1510226")</f>
        <v>1510226</v>
      </c>
      <c r="E7764">
        <v>2</v>
      </c>
      <c r="F7764" t="s">
        <v>9170</v>
      </c>
    </row>
    <row r="7765" spans="1:6" x14ac:dyDescent="0.25">
      <c r="A7765" t="s">
        <v>7749</v>
      </c>
      <c r="B7765" t="s">
        <v>4747</v>
      </c>
      <c r="C7765" t="s">
        <v>4748</v>
      </c>
      <c r="D7765" t="str">
        <f>HYPERLINK("http://service.sap.com/sap/support/notes/1699601","1699601")</f>
        <v>1699601</v>
      </c>
      <c r="E7765">
        <v>1</v>
      </c>
      <c r="F7765" t="s">
        <v>9171</v>
      </c>
    </row>
    <row r="7766" spans="1:6" x14ac:dyDescent="0.25">
      <c r="A7766" t="s">
        <v>7749</v>
      </c>
      <c r="B7766" t="s">
        <v>4747</v>
      </c>
      <c r="C7766" t="s">
        <v>4748</v>
      </c>
      <c r="D7766" t="str">
        <f>HYPERLINK("http://service.sap.com/sap/support/notes/1708585","1708585")</f>
        <v>1708585</v>
      </c>
      <c r="E7766">
        <v>1</v>
      </c>
      <c r="F7766" t="s">
        <v>9172</v>
      </c>
    </row>
    <row r="7767" spans="1:6" x14ac:dyDescent="0.25">
      <c r="A7767" t="s">
        <v>7749</v>
      </c>
      <c r="B7767" t="s">
        <v>4753</v>
      </c>
      <c r="C7767" t="s">
        <v>4754</v>
      </c>
      <c r="D7767" t="str">
        <f>HYPERLINK("http://service.sap.com/sap/support/notes/713143","713143")</f>
        <v>713143</v>
      </c>
      <c r="E7767">
        <v>2</v>
      </c>
      <c r="F7767" t="s">
        <v>9173</v>
      </c>
    </row>
    <row r="7768" spans="1:6" x14ac:dyDescent="0.25">
      <c r="A7768" t="s">
        <v>7749</v>
      </c>
      <c r="B7768" t="s">
        <v>1083</v>
      </c>
      <c r="C7768" t="s">
        <v>1084</v>
      </c>
      <c r="D7768" t="str">
        <f>HYPERLINK("http://service.sap.com/sap/support/notes/1714586","1714586")</f>
        <v>1714586</v>
      </c>
      <c r="E7768">
        <v>1</v>
      </c>
      <c r="F7768" t="s">
        <v>9174</v>
      </c>
    </row>
    <row r="7769" spans="1:6" x14ac:dyDescent="0.25">
      <c r="A7769" t="s">
        <v>7749</v>
      </c>
      <c r="B7769" t="s">
        <v>4762</v>
      </c>
      <c r="C7769" t="s">
        <v>4763</v>
      </c>
      <c r="D7769" t="str">
        <f>HYPERLINK("http://service.sap.com/sap/support/notes/1711826","1711826")</f>
        <v>1711826</v>
      </c>
      <c r="E7769">
        <v>1</v>
      </c>
      <c r="F7769" t="s">
        <v>9175</v>
      </c>
    </row>
    <row r="7770" spans="1:6" x14ac:dyDescent="0.25">
      <c r="A7770" t="s">
        <v>7749</v>
      </c>
      <c r="B7770" t="s">
        <v>4762</v>
      </c>
      <c r="C7770" t="s">
        <v>4763</v>
      </c>
      <c r="D7770" t="str">
        <f>HYPERLINK("http://service.sap.com/sap/support/notes/1724458","1724458")</f>
        <v>1724458</v>
      </c>
      <c r="E7770">
        <v>2</v>
      </c>
      <c r="F7770" t="s">
        <v>9176</v>
      </c>
    </row>
    <row r="7771" spans="1:6" x14ac:dyDescent="0.25">
      <c r="A7771" t="s">
        <v>7749</v>
      </c>
      <c r="B7771" t="s">
        <v>1087</v>
      </c>
      <c r="C7771" t="s">
        <v>1088</v>
      </c>
      <c r="D7771" t="str">
        <f>HYPERLINK("http://service.sap.com/sap/support/notes/1691254","1691254")</f>
        <v>1691254</v>
      </c>
      <c r="E7771">
        <v>3</v>
      </c>
      <c r="F7771" t="s">
        <v>9177</v>
      </c>
    </row>
    <row r="7772" spans="1:6" x14ac:dyDescent="0.25">
      <c r="A7772" t="s">
        <v>7749</v>
      </c>
      <c r="B7772" t="s">
        <v>1087</v>
      </c>
      <c r="C7772" t="s">
        <v>1088</v>
      </c>
      <c r="D7772" t="str">
        <f>HYPERLINK("http://service.sap.com/sap/support/notes/1693312","1693312")</f>
        <v>1693312</v>
      </c>
      <c r="E7772">
        <v>2</v>
      </c>
      <c r="F7772" t="s">
        <v>9178</v>
      </c>
    </row>
    <row r="7773" spans="1:6" x14ac:dyDescent="0.25">
      <c r="A7773" t="s">
        <v>7749</v>
      </c>
      <c r="B7773" t="s">
        <v>1089</v>
      </c>
      <c r="C7773" t="s">
        <v>1090</v>
      </c>
      <c r="D7773" t="str">
        <f>HYPERLINK("http://service.sap.com/sap/support/notes/1709103","1709103")</f>
        <v>1709103</v>
      </c>
      <c r="E7773">
        <v>1</v>
      </c>
      <c r="F7773" t="s">
        <v>9179</v>
      </c>
    </row>
    <row r="7774" spans="1:6" x14ac:dyDescent="0.25">
      <c r="A7774" t="s">
        <v>7749</v>
      </c>
      <c r="B7774" t="s">
        <v>1089</v>
      </c>
      <c r="C7774" t="s">
        <v>1090</v>
      </c>
      <c r="D7774" t="str">
        <f>HYPERLINK("http://service.sap.com/sap/support/notes/1714202","1714202")</f>
        <v>1714202</v>
      </c>
      <c r="E7774">
        <v>3</v>
      </c>
      <c r="F7774" t="s">
        <v>9180</v>
      </c>
    </row>
    <row r="7775" spans="1:6" x14ac:dyDescent="0.25">
      <c r="A7775" t="s">
        <v>7749</v>
      </c>
      <c r="B7775" t="s">
        <v>1089</v>
      </c>
      <c r="C7775" t="s">
        <v>1090</v>
      </c>
      <c r="D7775" t="str">
        <f>HYPERLINK("http://service.sap.com/sap/support/notes/1717487","1717487")</f>
        <v>1717487</v>
      </c>
      <c r="E7775">
        <v>1</v>
      </c>
      <c r="F7775" t="s">
        <v>9181</v>
      </c>
    </row>
    <row r="7776" spans="1:6" x14ac:dyDescent="0.25">
      <c r="A7776" t="s">
        <v>7749</v>
      </c>
      <c r="B7776" t="s">
        <v>4774</v>
      </c>
      <c r="C7776" t="s">
        <v>4775</v>
      </c>
      <c r="D7776" t="str">
        <f>HYPERLINK("http://service.sap.com/sap/support/notes/1287304","1287304")</f>
        <v>1287304</v>
      </c>
      <c r="E7776">
        <v>3</v>
      </c>
      <c r="F7776" t="s">
        <v>9182</v>
      </c>
    </row>
    <row r="7777" spans="1:6" x14ac:dyDescent="0.25">
      <c r="A7777" t="s">
        <v>7749</v>
      </c>
      <c r="B7777" t="s">
        <v>4774</v>
      </c>
      <c r="C7777" t="s">
        <v>4775</v>
      </c>
      <c r="D7777" t="str">
        <f>HYPERLINK("http://service.sap.com/sap/support/notes/1368199","1368199")</f>
        <v>1368199</v>
      </c>
      <c r="E7777">
        <v>3</v>
      </c>
      <c r="F7777" t="s">
        <v>9183</v>
      </c>
    </row>
    <row r="7778" spans="1:6" x14ac:dyDescent="0.25">
      <c r="A7778" t="s">
        <v>7749</v>
      </c>
      <c r="B7778" t="s">
        <v>4774</v>
      </c>
      <c r="C7778" t="s">
        <v>4775</v>
      </c>
      <c r="D7778" t="str">
        <f>HYPERLINK("http://service.sap.com/sap/support/notes/1369321","1369321")</f>
        <v>1369321</v>
      </c>
      <c r="E7778">
        <v>3</v>
      </c>
      <c r="F7778" t="s">
        <v>9184</v>
      </c>
    </row>
    <row r="7779" spans="1:6" x14ac:dyDescent="0.25">
      <c r="A7779" t="s">
        <v>7749</v>
      </c>
      <c r="B7779" t="s">
        <v>4774</v>
      </c>
      <c r="C7779" t="s">
        <v>4775</v>
      </c>
      <c r="D7779" t="str">
        <f>HYPERLINK("http://service.sap.com/sap/support/notes/1699859","1699859")</f>
        <v>1699859</v>
      </c>
      <c r="E7779">
        <v>3</v>
      </c>
      <c r="F7779" t="s">
        <v>9185</v>
      </c>
    </row>
    <row r="7780" spans="1:6" x14ac:dyDescent="0.25">
      <c r="A7780" t="s">
        <v>7749</v>
      </c>
      <c r="B7780" t="s">
        <v>4774</v>
      </c>
      <c r="C7780" t="s">
        <v>4775</v>
      </c>
      <c r="D7780" t="str">
        <f>HYPERLINK("http://service.sap.com/sap/support/notes/1704553","1704553")</f>
        <v>1704553</v>
      </c>
      <c r="E7780">
        <v>1</v>
      </c>
      <c r="F7780" t="s">
        <v>9186</v>
      </c>
    </row>
    <row r="7781" spans="1:6" x14ac:dyDescent="0.25">
      <c r="A7781" t="s">
        <v>7749</v>
      </c>
      <c r="B7781" t="s">
        <v>4774</v>
      </c>
      <c r="C7781" t="s">
        <v>4775</v>
      </c>
      <c r="D7781" t="str">
        <f>HYPERLINK("http://service.sap.com/sap/support/notes/1724682","1724682")</f>
        <v>1724682</v>
      </c>
      <c r="E7781">
        <v>1</v>
      </c>
      <c r="F7781" t="s">
        <v>9187</v>
      </c>
    </row>
    <row r="7782" spans="1:6" x14ac:dyDescent="0.25">
      <c r="A7782" t="s">
        <v>7749</v>
      </c>
      <c r="B7782" t="s">
        <v>4786</v>
      </c>
      <c r="C7782" t="s">
        <v>350</v>
      </c>
      <c r="D7782" t="str">
        <f>HYPERLINK("http://service.sap.com/sap/support/notes/1459880","1459880")</f>
        <v>1459880</v>
      </c>
      <c r="E7782">
        <v>3</v>
      </c>
      <c r="F7782" t="s">
        <v>9188</v>
      </c>
    </row>
    <row r="7783" spans="1:6" x14ac:dyDescent="0.25">
      <c r="A7783" t="s">
        <v>7749</v>
      </c>
      <c r="B7783" t="s">
        <v>4786</v>
      </c>
      <c r="C7783" t="s">
        <v>350</v>
      </c>
      <c r="D7783" t="str">
        <f>HYPERLINK("http://service.sap.com/sap/support/notes/1697698","1697698")</f>
        <v>1697698</v>
      </c>
      <c r="E7783">
        <v>1</v>
      </c>
      <c r="F7783" t="s">
        <v>9189</v>
      </c>
    </row>
    <row r="7784" spans="1:6" x14ac:dyDescent="0.25">
      <c r="A7784" t="s">
        <v>7749</v>
      </c>
      <c r="B7784" t="s">
        <v>4786</v>
      </c>
      <c r="C7784" t="s">
        <v>350</v>
      </c>
      <c r="D7784" t="str">
        <f>HYPERLINK("http://service.sap.com/sap/support/notes/1715800","1715800")</f>
        <v>1715800</v>
      </c>
      <c r="E7784">
        <v>1</v>
      </c>
      <c r="F7784" t="s">
        <v>9190</v>
      </c>
    </row>
    <row r="7785" spans="1:6" x14ac:dyDescent="0.25">
      <c r="A7785" t="s">
        <v>7749</v>
      </c>
      <c r="B7785" t="s">
        <v>1097</v>
      </c>
      <c r="C7785" t="s">
        <v>1098</v>
      </c>
      <c r="D7785" t="str">
        <f>HYPERLINK("http://service.sap.com/sap/support/notes/1429072","1429072")</f>
        <v>1429072</v>
      </c>
      <c r="E7785">
        <v>3</v>
      </c>
      <c r="F7785" t="s">
        <v>9191</v>
      </c>
    </row>
    <row r="7786" spans="1:6" x14ac:dyDescent="0.25">
      <c r="A7786" t="s">
        <v>7749</v>
      </c>
      <c r="B7786" t="s">
        <v>4793</v>
      </c>
      <c r="C7786" t="s">
        <v>4794</v>
      </c>
      <c r="D7786" t="str">
        <f>HYPERLINK("http://service.sap.com/sap/support/notes/1466553","1466553")</f>
        <v>1466553</v>
      </c>
      <c r="E7786">
        <v>4</v>
      </c>
      <c r="F7786" t="s">
        <v>9192</v>
      </c>
    </row>
    <row r="7787" spans="1:6" x14ac:dyDescent="0.25">
      <c r="A7787" t="s">
        <v>7749</v>
      </c>
      <c r="B7787" t="s">
        <v>4793</v>
      </c>
      <c r="C7787" t="s">
        <v>4794</v>
      </c>
      <c r="D7787" t="str">
        <f>HYPERLINK("http://service.sap.com/sap/support/notes/1685384","1685384")</f>
        <v>1685384</v>
      </c>
      <c r="E7787">
        <v>2</v>
      </c>
      <c r="F7787" t="s">
        <v>9193</v>
      </c>
    </row>
    <row r="7788" spans="1:6" x14ac:dyDescent="0.25">
      <c r="A7788" t="s">
        <v>7749</v>
      </c>
      <c r="B7788" t="s">
        <v>4793</v>
      </c>
      <c r="C7788" t="s">
        <v>4794</v>
      </c>
      <c r="D7788" t="str">
        <f>HYPERLINK("http://service.sap.com/sap/support/notes/1698992","1698992")</f>
        <v>1698992</v>
      </c>
      <c r="E7788">
        <v>2</v>
      </c>
      <c r="F7788" t="s">
        <v>9194</v>
      </c>
    </row>
    <row r="7789" spans="1:6" x14ac:dyDescent="0.25">
      <c r="A7789" t="s">
        <v>7749</v>
      </c>
      <c r="B7789" t="s">
        <v>4793</v>
      </c>
      <c r="C7789" t="s">
        <v>4794</v>
      </c>
      <c r="D7789" t="str">
        <f>HYPERLINK("http://service.sap.com/sap/support/notes/1702114","1702114")</f>
        <v>1702114</v>
      </c>
      <c r="E7789">
        <v>1</v>
      </c>
      <c r="F7789" t="s">
        <v>9195</v>
      </c>
    </row>
    <row r="7790" spans="1:6" x14ac:dyDescent="0.25">
      <c r="A7790" t="s">
        <v>7749</v>
      </c>
      <c r="B7790" t="s">
        <v>1100</v>
      </c>
      <c r="C7790" t="s">
        <v>1101</v>
      </c>
      <c r="D7790" t="str">
        <f>HYPERLINK("http://service.sap.com/sap/support/notes/1685435","1685435")</f>
        <v>1685435</v>
      </c>
      <c r="E7790">
        <v>2</v>
      </c>
      <c r="F7790" t="s">
        <v>9196</v>
      </c>
    </row>
    <row r="7791" spans="1:6" x14ac:dyDescent="0.25">
      <c r="A7791" t="s">
        <v>7749</v>
      </c>
      <c r="B7791" t="s">
        <v>1100</v>
      </c>
      <c r="C7791" t="s">
        <v>1101</v>
      </c>
      <c r="D7791" t="str">
        <f>HYPERLINK("http://service.sap.com/sap/support/notes/1700178","1700178")</f>
        <v>1700178</v>
      </c>
      <c r="E7791">
        <v>1</v>
      </c>
      <c r="F7791" t="s">
        <v>7289</v>
      </c>
    </row>
    <row r="7792" spans="1:6" x14ac:dyDescent="0.25">
      <c r="A7792" t="s">
        <v>7749</v>
      </c>
      <c r="B7792" t="s">
        <v>1100</v>
      </c>
      <c r="C7792" t="s">
        <v>1101</v>
      </c>
      <c r="D7792" t="str">
        <f>HYPERLINK("http://service.sap.com/sap/support/notes/1712080","1712080")</f>
        <v>1712080</v>
      </c>
      <c r="E7792">
        <v>1</v>
      </c>
      <c r="F7792" t="s">
        <v>9197</v>
      </c>
    </row>
    <row r="7793" spans="1:6" x14ac:dyDescent="0.25">
      <c r="A7793" t="s">
        <v>7749</v>
      </c>
      <c r="B7793" t="s">
        <v>4818</v>
      </c>
      <c r="C7793" t="s">
        <v>4819</v>
      </c>
    </row>
    <row r="7794" spans="1:6" x14ac:dyDescent="0.25">
      <c r="A7794" t="s">
        <v>7749</v>
      </c>
      <c r="B7794" t="s">
        <v>9198</v>
      </c>
      <c r="C7794" t="s">
        <v>9199</v>
      </c>
    </row>
    <row r="7795" spans="1:6" x14ac:dyDescent="0.25">
      <c r="A7795" t="s">
        <v>7749</v>
      </c>
      <c r="B7795" t="s">
        <v>9200</v>
      </c>
      <c r="C7795" t="s">
        <v>9201</v>
      </c>
    </row>
    <row r="7796" spans="1:6" x14ac:dyDescent="0.25">
      <c r="A7796" t="s">
        <v>7749</v>
      </c>
      <c r="B7796" t="s">
        <v>9202</v>
      </c>
      <c r="C7796" t="s">
        <v>9203</v>
      </c>
      <c r="D7796" t="str">
        <f>HYPERLINK("http://service.sap.com/sap/support/notes/1710295","1710295")</f>
        <v>1710295</v>
      </c>
      <c r="E7796">
        <v>1</v>
      </c>
      <c r="F7796" t="s">
        <v>9204</v>
      </c>
    </row>
    <row r="7797" spans="1:6" x14ac:dyDescent="0.25">
      <c r="A7797" t="s">
        <v>7749</v>
      </c>
      <c r="B7797" t="s">
        <v>1105</v>
      </c>
      <c r="C7797" t="s">
        <v>1106</v>
      </c>
    </row>
    <row r="7798" spans="1:6" x14ac:dyDescent="0.25">
      <c r="A7798" t="s">
        <v>7749</v>
      </c>
      <c r="B7798" t="s">
        <v>4828</v>
      </c>
      <c r="C7798" t="s">
        <v>4829</v>
      </c>
    </row>
    <row r="7799" spans="1:6" x14ac:dyDescent="0.25">
      <c r="A7799" t="s">
        <v>7749</v>
      </c>
      <c r="B7799" t="s">
        <v>4830</v>
      </c>
      <c r="C7799" t="s">
        <v>4831</v>
      </c>
      <c r="D7799" t="str">
        <f>HYPERLINK("http://service.sap.com/sap/support/notes/1510322","1510322")</f>
        <v>1510322</v>
      </c>
      <c r="E7799">
        <v>8</v>
      </c>
      <c r="F7799" t="s">
        <v>9205</v>
      </c>
    </row>
    <row r="7800" spans="1:6" x14ac:dyDescent="0.25">
      <c r="A7800" t="s">
        <v>7749</v>
      </c>
      <c r="B7800" t="s">
        <v>4830</v>
      </c>
      <c r="C7800" t="s">
        <v>4831</v>
      </c>
      <c r="D7800" t="str">
        <f>HYPERLINK("http://service.sap.com/sap/support/notes/1697323","1697323")</f>
        <v>1697323</v>
      </c>
      <c r="E7800">
        <v>2</v>
      </c>
      <c r="F7800" t="s">
        <v>9206</v>
      </c>
    </row>
    <row r="7801" spans="1:6" x14ac:dyDescent="0.25">
      <c r="A7801" t="s">
        <v>7749</v>
      </c>
      <c r="B7801" t="s">
        <v>4836</v>
      </c>
      <c r="C7801" t="s">
        <v>4837</v>
      </c>
      <c r="D7801" t="str">
        <f>HYPERLINK("http://service.sap.com/sap/support/notes/1675809","1675809")</f>
        <v>1675809</v>
      </c>
      <c r="E7801">
        <v>1</v>
      </c>
      <c r="F7801" t="s">
        <v>7298</v>
      </c>
    </row>
    <row r="7802" spans="1:6" x14ac:dyDescent="0.25">
      <c r="A7802" t="s">
        <v>7749</v>
      </c>
      <c r="B7802" t="s">
        <v>7299</v>
      </c>
      <c r="C7802" t="s">
        <v>1090</v>
      </c>
      <c r="D7802" t="str">
        <f>HYPERLINK("http://service.sap.com/sap/support/notes/1675795","1675795")</f>
        <v>1675795</v>
      </c>
      <c r="E7802">
        <v>2</v>
      </c>
      <c r="F7802" t="s">
        <v>7301</v>
      </c>
    </row>
    <row r="7803" spans="1:6" x14ac:dyDescent="0.25">
      <c r="A7803" t="s">
        <v>7749</v>
      </c>
      <c r="B7803" t="s">
        <v>7299</v>
      </c>
      <c r="C7803" t="s">
        <v>1090</v>
      </c>
      <c r="D7803" t="str">
        <f>HYPERLINK("http://service.sap.com/sap/support/notes/1710644","1710644")</f>
        <v>1710644</v>
      </c>
      <c r="E7803">
        <v>1</v>
      </c>
      <c r="F7803" t="s">
        <v>9207</v>
      </c>
    </row>
    <row r="7804" spans="1:6" x14ac:dyDescent="0.25">
      <c r="A7804" t="s">
        <v>7749</v>
      </c>
      <c r="B7804" t="s">
        <v>4839</v>
      </c>
      <c r="C7804" t="s">
        <v>4840</v>
      </c>
    </row>
    <row r="7805" spans="1:6" x14ac:dyDescent="0.25">
      <c r="A7805" t="s">
        <v>7749</v>
      </c>
      <c r="B7805" t="s">
        <v>4846</v>
      </c>
      <c r="C7805" t="s">
        <v>4840</v>
      </c>
    </row>
    <row r="7806" spans="1:6" x14ac:dyDescent="0.25">
      <c r="A7806" t="s">
        <v>7749</v>
      </c>
      <c r="B7806" t="s">
        <v>7306</v>
      </c>
      <c r="C7806" t="s">
        <v>7307</v>
      </c>
      <c r="D7806" t="str">
        <f>HYPERLINK("http://service.sap.com/sap/support/notes/1705765","1705765")</f>
        <v>1705765</v>
      </c>
      <c r="E7806">
        <v>1</v>
      </c>
      <c r="F7806" t="s">
        <v>9208</v>
      </c>
    </row>
    <row r="7807" spans="1:6" x14ac:dyDescent="0.25">
      <c r="A7807" t="s">
        <v>7749</v>
      </c>
      <c r="B7807" t="s">
        <v>4851</v>
      </c>
      <c r="C7807" t="s">
        <v>4852</v>
      </c>
    </row>
    <row r="7808" spans="1:6" x14ac:dyDescent="0.25">
      <c r="A7808" t="s">
        <v>7749</v>
      </c>
      <c r="B7808" t="s">
        <v>9209</v>
      </c>
      <c r="C7808" t="s">
        <v>9210</v>
      </c>
      <c r="D7808" t="str">
        <f>HYPERLINK("http://service.sap.com/sap/support/notes/1706700","1706700")</f>
        <v>1706700</v>
      </c>
      <c r="E7808">
        <v>4</v>
      </c>
      <c r="F7808" t="s">
        <v>9211</v>
      </c>
    </row>
    <row r="7809" spans="1:6" x14ac:dyDescent="0.25">
      <c r="A7809" t="s">
        <v>7749</v>
      </c>
      <c r="B7809" t="s">
        <v>4855</v>
      </c>
      <c r="C7809" t="s">
        <v>4856</v>
      </c>
      <c r="D7809" t="str">
        <f>HYPERLINK("http://service.sap.com/sap/support/notes/1714526","1714526")</f>
        <v>1714526</v>
      </c>
      <c r="E7809">
        <v>1</v>
      </c>
      <c r="F7809" t="s">
        <v>9212</v>
      </c>
    </row>
    <row r="7810" spans="1:6" x14ac:dyDescent="0.25">
      <c r="A7810" t="s">
        <v>7749</v>
      </c>
      <c r="B7810" t="s">
        <v>4858</v>
      </c>
      <c r="C7810" t="s">
        <v>4859</v>
      </c>
    </row>
    <row r="7811" spans="1:6" x14ac:dyDescent="0.25">
      <c r="A7811" t="s">
        <v>7749</v>
      </c>
      <c r="B7811" t="s">
        <v>4860</v>
      </c>
      <c r="C7811" t="s">
        <v>4861</v>
      </c>
      <c r="D7811" t="str">
        <f>HYPERLINK("http://service.sap.com/sap/support/notes/1662302","1662302")</f>
        <v>1662302</v>
      </c>
      <c r="E7811">
        <v>1</v>
      </c>
      <c r="F7811" t="s">
        <v>9213</v>
      </c>
    </row>
    <row r="7812" spans="1:6" x14ac:dyDescent="0.25">
      <c r="A7812" t="s">
        <v>7749</v>
      </c>
      <c r="B7812" t="s">
        <v>1107</v>
      </c>
      <c r="C7812" t="s">
        <v>350</v>
      </c>
    </row>
    <row r="7813" spans="1:6" x14ac:dyDescent="0.25">
      <c r="A7813" t="s">
        <v>7749</v>
      </c>
      <c r="B7813" t="s">
        <v>4865</v>
      </c>
      <c r="C7813" t="s">
        <v>2128</v>
      </c>
      <c r="D7813" t="str">
        <f>HYPERLINK("http://service.sap.com/sap/support/notes/1687210","1687210")</f>
        <v>1687210</v>
      </c>
      <c r="E7813">
        <v>5</v>
      </c>
      <c r="F7813" t="s">
        <v>9214</v>
      </c>
    </row>
    <row r="7814" spans="1:6" x14ac:dyDescent="0.25">
      <c r="A7814" t="s">
        <v>7749</v>
      </c>
      <c r="B7814" t="s">
        <v>4865</v>
      </c>
      <c r="C7814" t="s">
        <v>2128</v>
      </c>
      <c r="D7814" t="str">
        <f>HYPERLINK("http://service.sap.com/sap/support/notes/1701644","1701644")</f>
        <v>1701644</v>
      </c>
      <c r="E7814">
        <v>1</v>
      </c>
      <c r="F7814" t="s">
        <v>9215</v>
      </c>
    </row>
    <row r="7815" spans="1:6" x14ac:dyDescent="0.25">
      <c r="A7815" t="s">
        <v>7749</v>
      </c>
      <c r="B7815" t="s">
        <v>7311</v>
      </c>
      <c r="C7815" t="s">
        <v>7312</v>
      </c>
      <c r="D7815" t="str">
        <f>HYPERLINK("http://service.sap.com/sap/support/notes/1693746","1693746")</f>
        <v>1693746</v>
      </c>
      <c r="E7815">
        <v>2</v>
      </c>
      <c r="F7815" t="s">
        <v>7313</v>
      </c>
    </row>
    <row r="7816" spans="1:6" x14ac:dyDescent="0.25">
      <c r="A7816" t="s">
        <v>7749</v>
      </c>
      <c r="B7816" t="s">
        <v>1109</v>
      </c>
      <c r="C7816" t="s">
        <v>1110</v>
      </c>
      <c r="D7816" t="str">
        <f>HYPERLINK("http://service.sap.com/sap/support/notes/1690063","1690063")</f>
        <v>1690063</v>
      </c>
      <c r="E7816">
        <v>4</v>
      </c>
      <c r="F7816" t="s">
        <v>9216</v>
      </c>
    </row>
    <row r="7817" spans="1:6" x14ac:dyDescent="0.25">
      <c r="A7817" t="s">
        <v>7749</v>
      </c>
      <c r="B7817" t="s">
        <v>1109</v>
      </c>
      <c r="C7817" t="s">
        <v>1110</v>
      </c>
      <c r="D7817" t="str">
        <f>HYPERLINK("http://service.sap.com/sap/support/notes/1709096","1709096")</f>
        <v>1709096</v>
      </c>
      <c r="E7817">
        <v>3</v>
      </c>
      <c r="F7817" t="s">
        <v>9217</v>
      </c>
    </row>
    <row r="7818" spans="1:6" x14ac:dyDescent="0.25">
      <c r="A7818" t="s">
        <v>7749</v>
      </c>
      <c r="B7818" t="s">
        <v>4876</v>
      </c>
      <c r="C7818" t="s">
        <v>1373</v>
      </c>
    </row>
    <row r="7819" spans="1:6" x14ac:dyDescent="0.25">
      <c r="A7819" t="s">
        <v>7749</v>
      </c>
      <c r="B7819" t="s">
        <v>4884</v>
      </c>
      <c r="C7819" t="s">
        <v>4885</v>
      </c>
      <c r="D7819" t="str">
        <f>HYPERLINK("http://service.sap.com/sap/support/notes/1716990","1716990")</f>
        <v>1716990</v>
      </c>
      <c r="E7819">
        <v>3</v>
      </c>
      <c r="F7819" t="s">
        <v>9218</v>
      </c>
    </row>
    <row r="7820" spans="1:6" x14ac:dyDescent="0.25">
      <c r="A7820" t="s">
        <v>7749</v>
      </c>
      <c r="B7820" t="s">
        <v>4889</v>
      </c>
      <c r="C7820" t="s">
        <v>4890</v>
      </c>
      <c r="D7820" t="str">
        <f>HYPERLINK("http://service.sap.com/sap/support/notes/1702147","1702147")</f>
        <v>1702147</v>
      </c>
      <c r="E7820">
        <v>1</v>
      </c>
      <c r="F7820" t="s">
        <v>9219</v>
      </c>
    </row>
    <row r="7821" spans="1:6" x14ac:dyDescent="0.25">
      <c r="A7821" t="s">
        <v>7749</v>
      </c>
      <c r="B7821" t="s">
        <v>4889</v>
      </c>
      <c r="C7821" t="s">
        <v>4890</v>
      </c>
      <c r="D7821" t="str">
        <f>HYPERLINK("http://service.sap.com/sap/support/notes/1726581","1726581")</f>
        <v>1726581</v>
      </c>
      <c r="E7821">
        <v>3</v>
      </c>
      <c r="F7821" t="s">
        <v>9220</v>
      </c>
    </row>
    <row r="7822" spans="1:6" x14ac:dyDescent="0.25">
      <c r="A7822" t="s">
        <v>7749</v>
      </c>
      <c r="B7822" t="s">
        <v>1113</v>
      </c>
      <c r="C7822" t="s">
        <v>1114</v>
      </c>
      <c r="D7822" t="str">
        <f>HYPERLINK("http://service.sap.com/sap/support/notes/1620441","1620441")</f>
        <v>1620441</v>
      </c>
      <c r="E7822">
        <v>4</v>
      </c>
      <c r="F7822" t="s">
        <v>9221</v>
      </c>
    </row>
    <row r="7823" spans="1:6" x14ac:dyDescent="0.25">
      <c r="A7823" t="s">
        <v>7749</v>
      </c>
      <c r="B7823" t="s">
        <v>1113</v>
      </c>
      <c r="C7823" t="s">
        <v>1114</v>
      </c>
      <c r="D7823" t="str">
        <f>HYPERLINK("http://service.sap.com/sap/support/notes/1650636","1650636")</f>
        <v>1650636</v>
      </c>
      <c r="E7823">
        <v>1</v>
      </c>
      <c r="F7823" t="s">
        <v>9222</v>
      </c>
    </row>
    <row r="7824" spans="1:6" x14ac:dyDescent="0.25">
      <c r="A7824" t="s">
        <v>7749</v>
      </c>
      <c r="B7824" t="s">
        <v>1113</v>
      </c>
      <c r="C7824" t="s">
        <v>1114</v>
      </c>
      <c r="D7824" t="str">
        <f>HYPERLINK("http://service.sap.com/sap/support/notes/1652896","1652896")</f>
        <v>1652896</v>
      </c>
      <c r="E7824">
        <v>2</v>
      </c>
      <c r="F7824" t="s">
        <v>9223</v>
      </c>
    </row>
    <row r="7825" spans="1:6" x14ac:dyDescent="0.25">
      <c r="A7825" t="s">
        <v>7749</v>
      </c>
      <c r="B7825" t="s">
        <v>1113</v>
      </c>
      <c r="C7825" t="s">
        <v>1114</v>
      </c>
      <c r="D7825" t="str">
        <f>HYPERLINK("http://service.sap.com/sap/support/notes/1660354","1660354")</f>
        <v>1660354</v>
      </c>
      <c r="E7825">
        <v>1</v>
      </c>
      <c r="F7825" t="s">
        <v>9224</v>
      </c>
    </row>
    <row r="7826" spans="1:6" x14ac:dyDescent="0.25">
      <c r="A7826" t="s">
        <v>7749</v>
      </c>
      <c r="B7826" t="s">
        <v>1113</v>
      </c>
      <c r="C7826" t="s">
        <v>1114</v>
      </c>
      <c r="D7826" t="str">
        <f>HYPERLINK("http://service.sap.com/sap/support/notes/1678111","1678111")</f>
        <v>1678111</v>
      </c>
      <c r="E7826">
        <v>1</v>
      </c>
      <c r="F7826" t="s">
        <v>9225</v>
      </c>
    </row>
    <row r="7827" spans="1:6" x14ac:dyDescent="0.25">
      <c r="A7827" t="s">
        <v>7749</v>
      </c>
      <c r="B7827" t="s">
        <v>1113</v>
      </c>
      <c r="C7827" t="s">
        <v>1114</v>
      </c>
      <c r="D7827" t="str">
        <f>HYPERLINK("http://service.sap.com/sap/support/notes/1685028","1685028")</f>
        <v>1685028</v>
      </c>
      <c r="E7827">
        <v>2</v>
      </c>
      <c r="F7827" t="s">
        <v>9226</v>
      </c>
    </row>
    <row r="7828" spans="1:6" x14ac:dyDescent="0.25">
      <c r="A7828" t="s">
        <v>7749</v>
      </c>
      <c r="B7828" t="s">
        <v>1116</v>
      </c>
      <c r="C7828" t="s">
        <v>1117</v>
      </c>
    </row>
    <row r="7829" spans="1:6" x14ac:dyDescent="0.25">
      <c r="A7829" t="s">
        <v>7749</v>
      </c>
      <c r="B7829" t="s">
        <v>1118</v>
      </c>
      <c r="C7829" t="s">
        <v>1119</v>
      </c>
      <c r="D7829" t="str">
        <f>HYPERLINK("http://service.sap.com/sap/support/notes/1703756","1703756")</f>
        <v>1703756</v>
      </c>
      <c r="E7829">
        <v>1</v>
      </c>
      <c r="F7829" t="s">
        <v>9227</v>
      </c>
    </row>
    <row r="7830" spans="1:6" x14ac:dyDescent="0.25">
      <c r="A7830" t="s">
        <v>7749</v>
      </c>
      <c r="B7830" t="s">
        <v>1118</v>
      </c>
      <c r="C7830" t="s">
        <v>1119</v>
      </c>
      <c r="D7830" t="str">
        <f>HYPERLINK("http://service.sap.com/sap/support/notes/1716901","1716901")</f>
        <v>1716901</v>
      </c>
      <c r="E7830">
        <v>3</v>
      </c>
      <c r="F7830" t="s">
        <v>9228</v>
      </c>
    </row>
    <row r="7831" spans="1:6" x14ac:dyDescent="0.25">
      <c r="A7831" t="s">
        <v>7749</v>
      </c>
      <c r="B7831" t="s">
        <v>4924</v>
      </c>
      <c r="C7831" t="s">
        <v>4925</v>
      </c>
      <c r="D7831" t="str">
        <f>HYPERLINK("http://service.sap.com/sap/support/notes/1711993","1711993")</f>
        <v>1711993</v>
      </c>
      <c r="E7831">
        <v>1</v>
      </c>
      <c r="F7831" t="s">
        <v>9229</v>
      </c>
    </row>
    <row r="7832" spans="1:6" x14ac:dyDescent="0.25">
      <c r="A7832" t="s">
        <v>7749</v>
      </c>
      <c r="B7832" t="s">
        <v>4927</v>
      </c>
      <c r="C7832" t="s">
        <v>4928</v>
      </c>
      <c r="D7832" t="str">
        <f>HYPERLINK("http://service.sap.com/sap/support/notes/1677907","1677907")</f>
        <v>1677907</v>
      </c>
      <c r="E7832">
        <v>1</v>
      </c>
      <c r="F7832" t="s">
        <v>9230</v>
      </c>
    </row>
    <row r="7833" spans="1:6" x14ac:dyDescent="0.25">
      <c r="A7833" t="s">
        <v>7749</v>
      </c>
      <c r="B7833" t="s">
        <v>1121</v>
      </c>
      <c r="C7833" t="s">
        <v>1122</v>
      </c>
      <c r="D7833" t="str">
        <f>HYPERLINK("http://service.sap.com/sap/support/notes/1666150","1666150")</f>
        <v>1666150</v>
      </c>
      <c r="E7833">
        <v>1</v>
      </c>
      <c r="F7833" t="s">
        <v>9231</v>
      </c>
    </row>
    <row r="7834" spans="1:6" x14ac:dyDescent="0.25">
      <c r="A7834" t="s">
        <v>7749</v>
      </c>
      <c r="B7834" t="s">
        <v>1121</v>
      </c>
      <c r="C7834" t="s">
        <v>1122</v>
      </c>
      <c r="D7834" t="str">
        <f>HYPERLINK("http://service.sap.com/sap/support/notes/1669705","1669705")</f>
        <v>1669705</v>
      </c>
      <c r="E7834">
        <v>2</v>
      </c>
      <c r="F7834" t="s">
        <v>9232</v>
      </c>
    </row>
    <row r="7835" spans="1:6" x14ac:dyDescent="0.25">
      <c r="A7835" t="s">
        <v>7749</v>
      </c>
      <c r="B7835" t="s">
        <v>1121</v>
      </c>
      <c r="C7835" t="s">
        <v>1122</v>
      </c>
      <c r="D7835" t="str">
        <f>HYPERLINK("http://service.sap.com/sap/support/notes/1687137","1687137")</f>
        <v>1687137</v>
      </c>
      <c r="E7835">
        <v>1</v>
      </c>
      <c r="F7835" t="s">
        <v>9233</v>
      </c>
    </row>
    <row r="7836" spans="1:6" x14ac:dyDescent="0.25">
      <c r="A7836" t="s">
        <v>7749</v>
      </c>
      <c r="B7836" t="s">
        <v>1121</v>
      </c>
      <c r="C7836" t="s">
        <v>1122</v>
      </c>
      <c r="D7836" t="str">
        <f>HYPERLINK("http://service.sap.com/sap/support/notes/1717651","1717651")</f>
        <v>1717651</v>
      </c>
      <c r="E7836">
        <v>1</v>
      </c>
      <c r="F7836" t="s">
        <v>9234</v>
      </c>
    </row>
    <row r="7837" spans="1:6" x14ac:dyDescent="0.25">
      <c r="A7837" t="s">
        <v>7749</v>
      </c>
      <c r="B7837" t="s">
        <v>4954</v>
      </c>
      <c r="C7837" t="s">
        <v>9235</v>
      </c>
    </row>
    <row r="7838" spans="1:6" x14ac:dyDescent="0.25">
      <c r="A7838" t="s">
        <v>7749</v>
      </c>
      <c r="B7838" t="s">
        <v>4958</v>
      </c>
      <c r="C7838" t="s">
        <v>4959</v>
      </c>
      <c r="D7838" t="str">
        <f>HYPERLINK("http://service.sap.com/sap/support/notes/1643638","1643638")</f>
        <v>1643638</v>
      </c>
      <c r="E7838">
        <v>2</v>
      </c>
      <c r="F7838" t="s">
        <v>9236</v>
      </c>
    </row>
    <row r="7839" spans="1:6" x14ac:dyDescent="0.25">
      <c r="A7839" t="s">
        <v>7749</v>
      </c>
      <c r="B7839" t="s">
        <v>4958</v>
      </c>
      <c r="C7839" t="s">
        <v>4959</v>
      </c>
      <c r="D7839" t="str">
        <f>HYPERLINK("http://service.sap.com/sap/support/notes/1686031","1686031")</f>
        <v>1686031</v>
      </c>
      <c r="E7839">
        <v>2</v>
      </c>
      <c r="F7839" t="s">
        <v>9237</v>
      </c>
    </row>
    <row r="7840" spans="1:6" x14ac:dyDescent="0.25">
      <c r="A7840" t="s">
        <v>7749</v>
      </c>
      <c r="B7840" t="s">
        <v>1125</v>
      </c>
      <c r="C7840" t="s">
        <v>1126</v>
      </c>
      <c r="D7840" t="str">
        <f>HYPERLINK("http://service.sap.com/sap/support/notes/1688730","1688730")</f>
        <v>1688730</v>
      </c>
      <c r="E7840">
        <v>1</v>
      </c>
      <c r="F7840" t="s">
        <v>9238</v>
      </c>
    </row>
    <row r="7841" spans="1:6" x14ac:dyDescent="0.25">
      <c r="A7841" t="s">
        <v>7749</v>
      </c>
      <c r="B7841" t="s">
        <v>4967</v>
      </c>
      <c r="C7841" t="s">
        <v>4968</v>
      </c>
      <c r="D7841" t="str">
        <f>HYPERLINK("http://service.sap.com/sap/support/notes/1667671","1667671")</f>
        <v>1667671</v>
      </c>
      <c r="E7841">
        <v>1</v>
      </c>
      <c r="F7841" t="s">
        <v>9239</v>
      </c>
    </row>
    <row r="7842" spans="1:6" x14ac:dyDescent="0.25">
      <c r="A7842" t="s">
        <v>7749</v>
      </c>
      <c r="B7842" t="s">
        <v>4967</v>
      </c>
      <c r="C7842" t="s">
        <v>4968</v>
      </c>
      <c r="D7842" t="str">
        <f>HYPERLINK("http://service.sap.com/sap/support/notes/1668914","1668914")</f>
        <v>1668914</v>
      </c>
      <c r="E7842">
        <v>1</v>
      </c>
      <c r="F7842" t="s">
        <v>9240</v>
      </c>
    </row>
    <row r="7843" spans="1:6" x14ac:dyDescent="0.25">
      <c r="A7843" t="s">
        <v>7749</v>
      </c>
      <c r="B7843" t="s">
        <v>4967</v>
      </c>
      <c r="C7843" t="s">
        <v>4968</v>
      </c>
      <c r="D7843" t="str">
        <f>HYPERLINK("http://service.sap.com/sap/support/notes/1684818","1684818")</f>
        <v>1684818</v>
      </c>
      <c r="E7843">
        <v>2</v>
      </c>
      <c r="F7843" t="s">
        <v>9241</v>
      </c>
    </row>
    <row r="7844" spans="1:6" x14ac:dyDescent="0.25">
      <c r="A7844" t="s">
        <v>7749</v>
      </c>
      <c r="B7844" t="s">
        <v>4967</v>
      </c>
      <c r="C7844" t="s">
        <v>4968</v>
      </c>
      <c r="D7844" t="str">
        <f>HYPERLINK("http://service.sap.com/sap/support/notes/1697172","1697172")</f>
        <v>1697172</v>
      </c>
      <c r="E7844">
        <v>1</v>
      </c>
      <c r="F7844" t="s">
        <v>9242</v>
      </c>
    </row>
    <row r="7845" spans="1:6" x14ac:dyDescent="0.25">
      <c r="A7845" t="s">
        <v>7749</v>
      </c>
      <c r="B7845" t="s">
        <v>4967</v>
      </c>
      <c r="C7845" t="s">
        <v>4968</v>
      </c>
      <c r="D7845" t="str">
        <f>HYPERLINK("http://service.sap.com/sap/support/notes/1699919","1699919")</f>
        <v>1699919</v>
      </c>
      <c r="E7845">
        <v>2</v>
      </c>
      <c r="F7845" t="s">
        <v>9243</v>
      </c>
    </row>
    <row r="7846" spans="1:6" x14ac:dyDescent="0.25">
      <c r="A7846" t="s">
        <v>7749</v>
      </c>
      <c r="B7846" t="s">
        <v>4967</v>
      </c>
      <c r="C7846" t="s">
        <v>4968</v>
      </c>
      <c r="D7846" t="str">
        <f>HYPERLINK("http://service.sap.com/sap/support/notes/1700898","1700898")</f>
        <v>1700898</v>
      </c>
      <c r="E7846">
        <v>1</v>
      </c>
      <c r="F7846" t="s">
        <v>9244</v>
      </c>
    </row>
    <row r="7847" spans="1:6" x14ac:dyDescent="0.25">
      <c r="A7847" t="s">
        <v>7749</v>
      </c>
      <c r="B7847" t="s">
        <v>9245</v>
      </c>
      <c r="C7847" t="s">
        <v>9246</v>
      </c>
      <c r="D7847" t="str">
        <f>HYPERLINK("http://service.sap.com/sap/support/notes/1697331","1697331")</f>
        <v>1697331</v>
      </c>
      <c r="E7847">
        <v>2</v>
      </c>
      <c r="F7847" t="s">
        <v>9247</v>
      </c>
    </row>
    <row r="7848" spans="1:6" x14ac:dyDescent="0.25">
      <c r="A7848" t="s">
        <v>7749</v>
      </c>
      <c r="B7848" t="s">
        <v>1128</v>
      </c>
      <c r="C7848" t="s">
        <v>1129</v>
      </c>
      <c r="D7848" t="str">
        <f>HYPERLINK("http://service.sap.com/sap/support/notes/1678539","1678539")</f>
        <v>1678539</v>
      </c>
      <c r="E7848">
        <v>2</v>
      </c>
      <c r="F7848" t="s">
        <v>9248</v>
      </c>
    </row>
    <row r="7849" spans="1:6" x14ac:dyDescent="0.25">
      <c r="A7849" t="s">
        <v>7749</v>
      </c>
      <c r="B7849" t="s">
        <v>1128</v>
      </c>
      <c r="C7849" t="s">
        <v>1129</v>
      </c>
      <c r="D7849" t="str">
        <f>HYPERLINK("http://service.sap.com/sap/support/notes/1680125","1680125")</f>
        <v>1680125</v>
      </c>
      <c r="E7849">
        <v>1</v>
      </c>
      <c r="F7849" t="s">
        <v>9249</v>
      </c>
    </row>
    <row r="7850" spans="1:6" x14ac:dyDescent="0.25">
      <c r="A7850" t="s">
        <v>7749</v>
      </c>
      <c r="B7850" t="s">
        <v>1128</v>
      </c>
      <c r="C7850" t="s">
        <v>1129</v>
      </c>
      <c r="D7850" t="str">
        <f>HYPERLINK("http://service.sap.com/sap/support/notes/1683728","1683728")</f>
        <v>1683728</v>
      </c>
      <c r="E7850">
        <v>4</v>
      </c>
      <c r="F7850" t="s">
        <v>9250</v>
      </c>
    </row>
    <row r="7851" spans="1:6" x14ac:dyDescent="0.25">
      <c r="A7851" t="s">
        <v>7749</v>
      </c>
      <c r="B7851" t="s">
        <v>4980</v>
      </c>
      <c r="C7851" t="s">
        <v>4981</v>
      </c>
      <c r="D7851" t="str">
        <f>HYPERLINK("http://service.sap.com/sap/support/notes/1608744","1608744")</f>
        <v>1608744</v>
      </c>
      <c r="E7851">
        <v>6</v>
      </c>
      <c r="F7851" t="s">
        <v>9251</v>
      </c>
    </row>
    <row r="7852" spans="1:6" x14ac:dyDescent="0.25">
      <c r="A7852" t="s">
        <v>7749</v>
      </c>
      <c r="B7852" t="s">
        <v>4980</v>
      </c>
      <c r="C7852" t="s">
        <v>4981</v>
      </c>
      <c r="D7852" t="str">
        <f>HYPERLINK("http://service.sap.com/sap/support/notes/1664996","1664996")</f>
        <v>1664996</v>
      </c>
      <c r="E7852">
        <v>2</v>
      </c>
      <c r="F7852" t="s">
        <v>9252</v>
      </c>
    </row>
    <row r="7853" spans="1:6" x14ac:dyDescent="0.25">
      <c r="A7853" t="s">
        <v>7749</v>
      </c>
      <c r="B7853" t="s">
        <v>4983</v>
      </c>
      <c r="C7853" t="s">
        <v>4984</v>
      </c>
      <c r="D7853" t="str">
        <f>HYPERLINK("http://service.sap.com/sap/support/notes/901990","901990")</f>
        <v>901990</v>
      </c>
      <c r="E7853">
        <v>5</v>
      </c>
      <c r="F7853" t="s">
        <v>9253</v>
      </c>
    </row>
    <row r="7854" spans="1:6" x14ac:dyDescent="0.25">
      <c r="A7854" t="s">
        <v>7749</v>
      </c>
      <c r="B7854" t="s">
        <v>4983</v>
      </c>
      <c r="C7854" t="s">
        <v>4984</v>
      </c>
      <c r="D7854" t="str">
        <f>HYPERLINK("http://service.sap.com/sap/support/notes/1663577","1663577")</f>
        <v>1663577</v>
      </c>
      <c r="E7854">
        <v>3</v>
      </c>
      <c r="F7854" t="s">
        <v>9254</v>
      </c>
    </row>
    <row r="7855" spans="1:6" x14ac:dyDescent="0.25">
      <c r="A7855" t="s">
        <v>7749</v>
      </c>
      <c r="B7855" t="s">
        <v>1131</v>
      </c>
      <c r="C7855" t="s">
        <v>1132</v>
      </c>
    </row>
    <row r="7856" spans="1:6" x14ac:dyDescent="0.25">
      <c r="A7856" t="s">
        <v>7749</v>
      </c>
      <c r="B7856" t="s">
        <v>4994</v>
      </c>
      <c r="C7856" t="s">
        <v>4995</v>
      </c>
      <c r="D7856" t="str">
        <f>HYPERLINK("http://service.sap.com/sap/support/notes/1714877","1714877")</f>
        <v>1714877</v>
      </c>
      <c r="E7856">
        <v>1</v>
      </c>
      <c r="F7856" t="s">
        <v>9255</v>
      </c>
    </row>
    <row r="7857" spans="1:6" x14ac:dyDescent="0.25">
      <c r="A7857" t="s">
        <v>7749</v>
      </c>
      <c r="B7857" t="s">
        <v>1133</v>
      </c>
      <c r="C7857" t="s">
        <v>1134</v>
      </c>
    </row>
    <row r="7858" spans="1:6" x14ac:dyDescent="0.25">
      <c r="A7858" t="s">
        <v>7749</v>
      </c>
      <c r="B7858" t="s">
        <v>5005</v>
      </c>
      <c r="C7858" t="s">
        <v>350</v>
      </c>
      <c r="D7858" t="str">
        <f>HYPERLINK("http://service.sap.com/sap/support/notes/1715871","1715871")</f>
        <v>1715871</v>
      </c>
      <c r="E7858">
        <v>1</v>
      </c>
      <c r="F7858" t="s">
        <v>9256</v>
      </c>
    </row>
    <row r="7859" spans="1:6" x14ac:dyDescent="0.25">
      <c r="A7859" t="s">
        <v>7749</v>
      </c>
      <c r="B7859" t="s">
        <v>5007</v>
      </c>
      <c r="C7859" t="s">
        <v>14</v>
      </c>
      <c r="D7859" t="str">
        <f>HYPERLINK("http://service.sap.com/sap/support/notes/1712093","1712093")</f>
        <v>1712093</v>
      </c>
      <c r="E7859">
        <v>1</v>
      </c>
      <c r="F7859" t="s">
        <v>9257</v>
      </c>
    </row>
    <row r="7860" spans="1:6" x14ac:dyDescent="0.25">
      <c r="A7860" t="s">
        <v>7749</v>
      </c>
      <c r="B7860" t="s">
        <v>5007</v>
      </c>
      <c r="C7860" t="s">
        <v>14</v>
      </c>
      <c r="D7860" t="str">
        <f>HYPERLINK("http://service.sap.com/sap/support/notes/1720174","1720174")</f>
        <v>1720174</v>
      </c>
      <c r="E7860">
        <v>1</v>
      </c>
      <c r="F7860" t="s">
        <v>9258</v>
      </c>
    </row>
    <row r="7861" spans="1:6" x14ac:dyDescent="0.25">
      <c r="A7861" t="s">
        <v>7749</v>
      </c>
      <c r="B7861" t="s">
        <v>5007</v>
      </c>
      <c r="C7861" t="s">
        <v>14</v>
      </c>
      <c r="D7861" t="str">
        <f>HYPERLINK("http://service.sap.com/sap/support/notes/1720686","1720686")</f>
        <v>1720686</v>
      </c>
      <c r="E7861">
        <v>1</v>
      </c>
      <c r="F7861" t="s">
        <v>9258</v>
      </c>
    </row>
    <row r="7862" spans="1:6" x14ac:dyDescent="0.25">
      <c r="A7862" t="s">
        <v>7749</v>
      </c>
      <c r="B7862" t="s">
        <v>5007</v>
      </c>
      <c r="C7862" t="s">
        <v>14</v>
      </c>
      <c r="D7862" t="str">
        <f>HYPERLINK("http://service.sap.com/sap/support/notes/1721672","1721672")</f>
        <v>1721672</v>
      </c>
      <c r="E7862">
        <v>1</v>
      </c>
      <c r="F7862" t="s">
        <v>9259</v>
      </c>
    </row>
    <row r="7863" spans="1:6" x14ac:dyDescent="0.25">
      <c r="A7863" t="s">
        <v>7749</v>
      </c>
      <c r="B7863" t="s">
        <v>5007</v>
      </c>
      <c r="C7863" t="s">
        <v>14</v>
      </c>
      <c r="D7863" t="str">
        <f>HYPERLINK("http://service.sap.com/sap/support/notes/1724237","1724237")</f>
        <v>1724237</v>
      </c>
      <c r="E7863">
        <v>2</v>
      </c>
      <c r="F7863" t="s">
        <v>9260</v>
      </c>
    </row>
    <row r="7864" spans="1:6" x14ac:dyDescent="0.25">
      <c r="A7864" t="s">
        <v>7749</v>
      </c>
      <c r="B7864" t="s">
        <v>5007</v>
      </c>
      <c r="C7864" t="s">
        <v>14</v>
      </c>
      <c r="D7864" t="str">
        <f>HYPERLINK("http://service.sap.com/sap/support/notes/1726743","1726743")</f>
        <v>1726743</v>
      </c>
      <c r="E7864">
        <v>2</v>
      </c>
      <c r="F7864" t="s">
        <v>9261</v>
      </c>
    </row>
    <row r="7865" spans="1:6" x14ac:dyDescent="0.25">
      <c r="A7865" t="s">
        <v>7749</v>
      </c>
      <c r="B7865" t="s">
        <v>1142</v>
      </c>
      <c r="C7865" t="s">
        <v>1143</v>
      </c>
    </row>
    <row r="7866" spans="1:6" x14ac:dyDescent="0.25">
      <c r="A7866" t="s">
        <v>7749</v>
      </c>
      <c r="B7866" t="s">
        <v>1144</v>
      </c>
      <c r="C7866" t="s">
        <v>1145</v>
      </c>
      <c r="D7866" t="str">
        <f>HYPERLINK("http://service.sap.com/sap/support/notes/1664142","1664142")</f>
        <v>1664142</v>
      </c>
      <c r="E7866">
        <v>1</v>
      </c>
      <c r="F7866" t="s">
        <v>9262</v>
      </c>
    </row>
    <row r="7867" spans="1:6" x14ac:dyDescent="0.25">
      <c r="A7867" t="s">
        <v>7749</v>
      </c>
      <c r="B7867" t="s">
        <v>1144</v>
      </c>
      <c r="C7867" t="s">
        <v>1145</v>
      </c>
      <c r="D7867" t="str">
        <f>HYPERLINK("http://service.sap.com/sap/support/notes/1709678","1709678")</f>
        <v>1709678</v>
      </c>
      <c r="E7867">
        <v>1</v>
      </c>
      <c r="F7867" t="s">
        <v>9263</v>
      </c>
    </row>
    <row r="7868" spans="1:6" x14ac:dyDescent="0.25">
      <c r="A7868" t="s">
        <v>7749</v>
      </c>
      <c r="B7868" t="s">
        <v>1144</v>
      </c>
      <c r="C7868" t="s">
        <v>1145</v>
      </c>
      <c r="D7868" t="str">
        <f>HYPERLINK("http://service.sap.com/sap/support/notes/1717581","1717581")</f>
        <v>1717581</v>
      </c>
      <c r="E7868">
        <v>1</v>
      </c>
      <c r="F7868" t="s">
        <v>9264</v>
      </c>
    </row>
    <row r="7869" spans="1:6" x14ac:dyDescent="0.25">
      <c r="A7869" t="s">
        <v>7749</v>
      </c>
      <c r="B7869" t="s">
        <v>1144</v>
      </c>
      <c r="C7869" t="s">
        <v>1145</v>
      </c>
      <c r="D7869" t="str">
        <f>HYPERLINK("http://service.sap.com/sap/support/notes/1717994","1717994")</f>
        <v>1717994</v>
      </c>
      <c r="E7869">
        <v>1</v>
      </c>
      <c r="F7869" t="s">
        <v>9265</v>
      </c>
    </row>
    <row r="7870" spans="1:6" x14ac:dyDescent="0.25">
      <c r="A7870" t="s">
        <v>7749</v>
      </c>
      <c r="B7870" t="s">
        <v>1144</v>
      </c>
      <c r="C7870" t="s">
        <v>1145</v>
      </c>
      <c r="D7870" t="str">
        <f>HYPERLINK("http://service.sap.com/sap/support/notes/1720088","1720088")</f>
        <v>1720088</v>
      </c>
      <c r="E7870">
        <v>1</v>
      </c>
      <c r="F7870" t="s">
        <v>9266</v>
      </c>
    </row>
    <row r="7871" spans="1:6" x14ac:dyDescent="0.25">
      <c r="A7871" t="s">
        <v>7749</v>
      </c>
      <c r="B7871" t="s">
        <v>1144</v>
      </c>
      <c r="C7871" t="s">
        <v>1145</v>
      </c>
      <c r="D7871" t="str">
        <f>HYPERLINK("http://service.sap.com/sap/support/notes/1722239","1722239")</f>
        <v>1722239</v>
      </c>
      <c r="E7871">
        <v>1</v>
      </c>
      <c r="F7871" t="s">
        <v>9267</v>
      </c>
    </row>
    <row r="7872" spans="1:6" x14ac:dyDescent="0.25">
      <c r="A7872" t="s">
        <v>7749</v>
      </c>
      <c r="B7872" t="s">
        <v>1149</v>
      </c>
      <c r="C7872" t="s">
        <v>1150</v>
      </c>
    </row>
    <row r="7873" spans="1:6" x14ac:dyDescent="0.25">
      <c r="A7873" t="s">
        <v>7749</v>
      </c>
      <c r="B7873" t="s">
        <v>1151</v>
      </c>
      <c r="C7873" t="s">
        <v>894</v>
      </c>
      <c r="D7873" t="str">
        <f>HYPERLINK("http://service.sap.com/sap/support/notes/1634498","1634498")</f>
        <v>1634498</v>
      </c>
      <c r="E7873">
        <v>4</v>
      </c>
      <c r="F7873" t="s">
        <v>9268</v>
      </c>
    </row>
    <row r="7874" spans="1:6" x14ac:dyDescent="0.25">
      <c r="A7874" t="s">
        <v>7749</v>
      </c>
      <c r="B7874" t="s">
        <v>1151</v>
      </c>
      <c r="C7874" t="s">
        <v>894</v>
      </c>
      <c r="D7874" t="str">
        <f>HYPERLINK("http://service.sap.com/sap/support/notes/1712654","1712654")</f>
        <v>1712654</v>
      </c>
      <c r="E7874">
        <v>1</v>
      </c>
      <c r="F7874" t="s">
        <v>9269</v>
      </c>
    </row>
    <row r="7875" spans="1:6" x14ac:dyDescent="0.25">
      <c r="A7875" t="s">
        <v>7749</v>
      </c>
      <c r="B7875" t="s">
        <v>1154</v>
      </c>
      <c r="C7875" t="s">
        <v>231</v>
      </c>
      <c r="D7875" t="str">
        <f>HYPERLINK("http://service.sap.com/sap/support/notes/1714808","1714808")</f>
        <v>1714808</v>
      </c>
      <c r="E7875">
        <v>1</v>
      </c>
      <c r="F7875" t="s">
        <v>9270</v>
      </c>
    </row>
    <row r="7876" spans="1:6" x14ac:dyDescent="0.25">
      <c r="A7876" t="s">
        <v>7749</v>
      </c>
      <c r="B7876" t="s">
        <v>5020</v>
      </c>
      <c r="C7876" t="s">
        <v>5021</v>
      </c>
      <c r="D7876" t="str">
        <f>HYPERLINK("http://service.sap.com/sap/support/notes/1428394","1428394")</f>
        <v>1428394</v>
      </c>
      <c r="E7876">
        <v>11</v>
      </c>
      <c r="F7876" t="s">
        <v>9271</v>
      </c>
    </row>
    <row r="7877" spans="1:6" x14ac:dyDescent="0.25">
      <c r="A7877" t="s">
        <v>7749</v>
      </c>
      <c r="B7877" t="s">
        <v>5020</v>
      </c>
      <c r="C7877" t="s">
        <v>5021</v>
      </c>
      <c r="D7877" t="str">
        <f>HYPERLINK("http://service.sap.com/sap/support/notes/1458350","1458350")</f>
        <v>1458350</v>
      </c>
      <c r="E7877">
        <v>5</v>
      </c>
      <c r="F7877" t="s">
        <v>9272</v>
      </c>
    </row>
    <row r="7878" spans="1:6" x14ac:dyDescent="0.25">
      <c r="A7878" t="s">
        <v>7749</v>
      </c>
      <c r="B7878" t="s">
        <v>5020</v>
      </c>
      <c r="C7878" t="s">
        <v>5021</v>
      </c>
      <c r="D7878" t="str">
        <f>HYPERLINK("http://service.sap.com/sap/support/notes/1479634","1479634")</f>
        <v>1479634</v>
      </c>
      <c r="E7878">
        <v>1</v>
      </c>
      <c r="F7878" t="s">
        <v>9273</v>
      </c>
    </row>
    <row r="7879" spans="1:6" x14ac:dyDescent="0.25">
      <c r="A7879" t="s">
        <v>7749</v>
      </c>
      <c r="B7879" t="s">
        <v>5024</v>
      </c>
      <c r="C7879" t="s">
        <v>9274</v>
      </c>
      <c r="D7879" t="str">
        <f>HYPERLINK("http://service.sap.com/sap/support/notes/1340030","1340030")</f>
        <v>1340030</v>
      </c>
      <c r="E7879">
        <v>6</v>
      </c>
      <c r="F7879" t="s">
        <v>9275</v>
      </c>
    </row>
    <row r="7880" spans="1:6" x14ac:dyDescent="0.25">
      <c r="A7880" t="s">
        <v>7749</v>
      </c>
      <c r="B7880" t="s">
        <v>5026</v>
      </c>
      <c r="C7880" t="s">
        <v>5027</v>
      </c>
      <c r="D7880" t="str">
        <f>HYPERLINK("http://service.sap.com/sap/support/notes/1662846","1662846")</f>
        <v>1662846</v>
      </c>
      <c r="E7880">
        <v>5</v>
      </c>
      <c r="F7880" t="s">
        <v>9276</v>
      </c>
    </row>
    <row r="7881" spans="1:6" x14ac:dyDescent="0.25">
      <c r="A7881" t="s">
        <v>7749</v>
      </c>
      <c r="B7881" t="s">
        <v>9277</v>
      </c>
      <c r="C7881" t="s">
        <v>9278</v>
      </c>
      <c r="D7881" t="str">
        <f>HYPERLINK("http://service.sap.com/sap/support/notes/1713688","1713688")</f>
        <v>1713688</v>
      </c>
      <c r="E7881">
        <v>2</v>
      </c>
      <c r="F7881" t="s">
        <v>9279</v>
      </c>
    </row>
    <row r="7882" spans="1:6" x14ac:dyDescent="0.25">
      <c r="A7882" t="s">
        <v>7749</v>
      </c>
      <c r="B7882" t="s">
        <v>1157</v>
      </c>
      <c r="C7882" t="s">
        <v>1158</v>
      </c>
    </row>
    <row r="7883" spans="1:6" x14ac:dyDescent="0.25">
      <c r="A7883" t="s">
        <v>7749</v>
      </c>
      <c r="B7883" t="s">
        <v>1164</v>
      </c>
      <c r="C7883" t="s">
        <v>1165</v>
      </c>
      <c r="D7883" t="str">
        <f>HYPERLINK("http://service.sap.com/sap/support/notes/1687416","1687416")</f>
        <v>1687416</v>
      </c>
      <c r="E7883">
        <v>2</v>
      </c>
      <c r="F7883" t="s">
        <v>9280</v>
      </c>
    </row>
    <row r="7884" spans="1:6" x14ac:dyDescent="0.25">
      <c r="A7884" t="s">
        <v>7749</v>
      </c>
      <c r="B7884" t="s">
        <v>1167</v>
      </c>
      <c r="C7884" t="s">
        <v>1168</v>
      </c>
      <c r="D7884" t="str">
        <f>HYPERLINK("http://service.sap.com/sap/support/notes/1360445","1360445")</f>
        <v>1360445</v>
      </c>
      <c r="E7884">
        <v>4</v>
      </c>
      <c r="F7884" t="s">
        <v>9281</v>
      </c>
    </row>
    <row r="7885" spans="1:6" x14ac:dyDescent="0.25">
      <c r="A7885" t="s">
        <v>7749</v>
      </c>
      <c r="B7885" t="s">
        <v>1167</v>
      </c>
      <c r="C7885" t="s">
        <v>1168</v>
      </c>
      <c r="D7885" t="str">
        <f>HYPERLINK("http://service.sap.com/sap/support/notes/1690140","1690140")</f>
        <v>1690140</v>
      </c>
      <c r="E7885">
        <v>3</v>
      </c>
      <c r="F7885" t="s">
        <v>9282</v>
      </c>
    </row>
    <row r="7886" spans="1:6" x14ac:dyDescent="0.25">
      <c r="A7886" t="s">
        <v>7749</v>
      </c>
      <c r="B7886" t="s">
        <v>1167</v>
      </c>
      <c r="C7886" t="s">
        <v>1168</v>
      </c>
      <c r="D7886" t="str">
        <f>HYPERLINK("http://service.sap.com/sap/support/notes/1691307","1691307")</f>
        <v>1691307</v>
      </c>
      <c r="E7886">
        <v>3</v>
      </c>
      <c r="F7886" t="s">
        <v>9283</v>
      </c>
    </row>
    <row r="7887" spans="1:6" x14ac:dyDescent="0.25">
      <c r="A7887" t="s">
        <v>7749</v>
      </c>
      <c r="B7887" t="s">
        <v>1167</v>
      </c>
      <c r="C7887" t="s">
        <v>1168</v>
      </c>
      <c r="D7887" t="str">
        <f>HYPERLINK("http://service.sap.com/sap/support/notes/1722803","1722803")</f>
        <v>1722803</v>
      </c>
      <c r="E7887">
        <v>2</v>
      </c>
      <c r="F7887" t="s">
        <v>9284</v>
      </c>
    </row>
    <row r="7888" spans="1:6" x14ac:dyDescent="0.25">
      <c r="A7888" t="s">
        <v>7749</v>
      </c>
      <c r="B7888" t="s">
        <v>1170</v>
      </c>
      <c r="C7888" t="s">
        <v>1171</v>
      </c>
      <c r="D7888" t="str">
        <f>HYPERLINK("http://service.sap.com/sap/support/notes/1696798","1696798")</f>
        <v>1696798</v>
      </c>
      <c r="E7888">
        <v>4</v>
      </c>
      <c r="F7888" t="s">
        <v>9285</v>
      </c>
    </row>
    <row r="7889" spans="1:6" x14ac:dyDescent="0.25">
      <c r="A7889" t="s">
        <v>7749</v>
      </c>
      <c r="B7889" t="s">
        <v>1170</v>
      </c>
      <c r="C7889" t="s">
        <v>1171</v>
      </c>
      <c r="D7889" t="str">
        <f>HYPERLINK("http://service.sap.com/sap/support/notes/1698590","1698590")</f>
        <v>1698590</v>
      </c>
      <c r="E7889">
        <v>2</v>
      </c>
      <c r="F7889" t="s">
        <v>9286</v>
      </c>
    </row>
    <row r="7890" spans="1:6" x14ac:dyDescent="0.25">
      <c r="A7890" t="s">
        <v>7749</v>
      </c>
      <c r="B7890" t="s">
        <v>1170</v>
      </c>
      <c r="C7890" t="s">
        <v>1171</v>
      </c>
      <c r="D7890" t="str">
        <f>HYPERLINK("http://service.sap.com/sap/support/notes/1706558","1706558")</f>
        <v>1706558</v>
      </c>
      <c r="E7890">
        <v>2</v>
      </c>
      <c r="F7890" t="s">
        <v>9287</v>
      </c>
    </row>
    <row r="7891" spans="1:6" x14ac:dyDescent="0.25">
      <c r="A7891" t="s">
        <v>7749</v>
      </c>
      <c r="B7891" t="s">
        <v>1170</v>
      </c>
      <c r="C7891" t="s">
        <v>1171</v>
      </c>
      <c r="D7891" t="str">
        <f>HYPERLINK("http://service.sap.com/sap/support/notes/1717552","1717552")</f>
        <v>1717552</v>
      </c>
      <c r="E7891">
        <v>2</v>
      </c>
      <c r="F7891" t="s">
        <v>9288</v>
      </c>
    </row>
    <row r="7892" spans="1:6" x14ac:dyDescent="0.25">
      <c r="A7892" t="s">
        <v>7749</v>
      </c>
      <c r="B7892" t="s">
        <v>1170</v>
      </c>
      <c r="C7892" t="s">
        <v>1171</v>
      </c>
      <c r="D7892" t="str">
        <f>HYPERLINK("http://service.sap.com/sap/support/notes/1718290","1718290")</f>
        <v>1718290</v>
      </c>
      <c r="E7892">
        <v>3</v>
      </c>
      <c r="F7892" t="s">
        <v>9289</v>
      </c>
    </row>
    <row r="7893" spans="1:6" x14ac:dyDescent="0.25">
      <c r="A7893" t="s">
        <v>7749</v>
      </c>
      <c r="B7893" t="s">
        <v>7361</v>
      </c>
      <c r="C7893" t="s">
        <v>7362</v>
      </c>
      <c r="D7893" t="str">
        <f>HYPERLINK("http://service.sap.com/sap/support/notes/1696835","1696835")</f>
        <v>1696835</v>
      </c>
      <c r="E7893">
        <v>2</v>
      </c>
      <c r="F7893" t="s">
        <v>9290</v>
      </c>
    </row>
    <row r="7894" spans="1:6" x14ac:dyDescent="0.25">
      <c r="A7894" t="s">
        <v>7749</v>
      </c>
      <c r="B7894" t="s">
        <v>1173</v>
      </c>
      <c r="C7894" t="s">
        <v>1174</v>
      </c>
      <c r="D7894" t="str">
        <f>HYPERLINK("http://service.sap.com/sap/support/notes/1699641","1699641")</f>
        <v>1699641</v>
      </c>
      <c r="E7894">
        <v>3</v>
      </c>
      <c r="F7894" t="s">
        <v>9291</v>
      </c>
    </row>
    <row r="7895" spans="1:6" x14ac:dyDescent="0.25">
      <c r="A7895" t="s">
        <v>7749</v>
      </c>
      <c r="B7895" t="s">
        <v>1173</v>
      </c>
      <c r="C7895" t="s">
        <v>1174</v>
      </c>
      <c r="D7895" t="str">
        <f>HYPERLINK("http://service.sap.com/sap/support/notes/1719209","1719209")</f>
        <v>1719209</v>
      </c>
      <c r="E7895">
        <v>2</v>
      </c>
      <c r="F7895" t="s">
        <v>9292</v>
      </c>
    </row>
    <row r="7896" spans="1:6" x14ac:dyDescent="0.25">
      <c r="A7896" t="s">
        <v>7749</v>
      </c>
      <c r="B7896" t="s">
        <v>1176</v>
      </c>
      <c r="C7896" t="s">
        <v>1177</v>
      </c>
    </row>
    <row r="7897" spans="1:6" x14ac:dyDescent="0.25">
      <c r="A7897" t="s">
        <v>7749</v>
      </c>
      <c r="B7897" t="s">
        <v>5064</v>
      </c>
      <c r="C7897" t="s">
        <v>632</v>
      </c>
      <c r="D7897" t="str">
        <f>HYPERLINK("http://service.sap.com/sap/support/notes/1719094","1719094")</f>
        <v>1719094</v>
      </c>
      <c r="E7897">
        <v>2</v>
      </c>
      <c r="F7897" t="s">
        <v>9293</v>
      </c>
    </row>
    <row r="7898" spans="1:6" x14ac:dyDescent="0.25">
      <c r="A7898" t="s">
        <v>7749</v>
      </c>
      <c r="B7898" t="s">
        <v>9294</v>
      </c>
      <c r="C7898" t="s">
        <v>9295</v>
      </c>
      <c r="D7898" t="str">
        <f>HYPERLINK("http://service.sap.com/sap/support/notes/1686888","1686888")</f>
        <v>1686888</v>
      </c>
      <c r="E7898">
        <v>2</v>
      </c>
      <c r="F7898" t="s">
        <v>9296</v>
      </c>
    </row>
    <row r="7899" spans="1:6" x14ac:dyDescent="0.25">
      <c r="A7899" t="s">
        <v>7749</v>
      </c>
      <c r="B7899" t="s">
        <v>1178</v>
      </c>
      <c r="C7899" t="s">
        <v>1179</v>
      </c>
      <c r="D7899" t="str">
        <f>HYPERLINK("http://service.sap.com/sap/support/notes/1685737","1685737")</f>
        <v>1685737</v>
      </c>
      <c r="E7899">
        <v>3</v>
      </c>
      <c r="F7899" t="s">
        <v>9297</v>
      </c>
    </row>
    <row r="7900" spans="1:6" x14ac:dyDescent="0.25">
      <c r="A7900" t="s">
        <v>7749</v>
      </c>
      <c r="B7900" t="s">
        <v>1178</v>
      </c>
      <c r="C7900" t="s">
        <v>1179</v>
      </c>
      <c r="D7900" t="str">
        <f>HYPERLINK("http://service.sap.com/sap/support/notes/1686076","1686076")</f>
        <v>1686076</v>
      </c>
      <c r="E7900">
        <v>2</v>
      </c>
      <c r="F7900" t="s">
        <v>9298</v>
      </c>
    </row>
    <row r="7901" spans="1:6" x14ac:dyDescent="0.25">
      <c r="A7901" t="s">
        <v>7749</v>
      </c>
      <c r="B7901" t="s">
        <v>1178</v>
      </c>
      <c r="C7901" t="s">
        <v>1179</v>
      </c>
      <c r="D7901" t="str">
        <f>HYPERLINK("http://service.sap.com/sap/support/notes/1717486","1717486")</f>
        <v>1717486</v>
      </c>
      <c r="E7901">
        <v>2</v>
      </c>
      <c r="F7901" t="s">
        <v>9299</v>
      </c>
    </row>
    <row r="7902" spans="1:6" x14ac:dyDescent="0.25">
      <c r="A7902" t="s">
        <v>7749</v>
      </c>
      <c r="B7902" t="s">
        <v>7369</v>
      </c>
      <c r="C7902" t="s">
        <v>7370</v>
      </c>
      <c r="D7902" t="str">
        <f>HYPERLINK("http://service.sap.com/sap/support/notes/1710100","1710100")</f>
        <v>1710100</v>
      </c>
      <c r="E7902">
        <v>2</v>
      </c>
      <c r="F7902" t="s">
        <v>9300</v>
      </c>
    </row>
    <row r="7903" spans="1:6" x14ac:dyDescent="0.25">
      <c r="A7903" t="s">
        <v>7749</v>
      </c>
      <c r="B7903" t="s">
        <v>1181</v>
      </c>
      <c r="C7903" t="s">
        <v>1182</v>
      </c>
      <c r="D7903" t="str">
        <f>HYPERLINK("http://service.sap.com/sap/support/notes/1665262","1665262")</f>
        <v>1665262</v>
      </c>
      <c r="E7903">
        <v>2</v>
      </c>
      <c r="F7903" t="s">
        <v>9301</v>
      </c>
    </row>
    <row r="7904" spans="1:6" x14ac:dyDescent="0.25">
      <c r="A7904" t="s">
        <v>7749</v>
      </c>
      <c r="B7904" t="s">
        <v>1181</v>
      </c>
      <c r="C7904" t="s">
        <v>1182</v>
      </c>
      <c r="D7904" t="str">
        <f>HYPERLINK("http://service.sap.com/sap/support/notes/1675274","1675274")</f>
        <v>1675274</v>
      </c>
      <c r="E7904">
        <v>3</v>
      </c>
      <c r="F7904" t="s">
        <v>9302</v>
      </c>
    </row>
    <row r="7905" spans="1:6" x14ac:dyDescent="0.25">
      <c r="A7905" t="s">
        <v>7749</v>
      </c>
      <c r="B7905" t="s">
        <v>1181</v>
      </c>
      <c r="C7905" t="s">
        <v>1182</v>
      </c>
      <c r="D7905" t="str">
        <f>HYPERLINK("http://service.sap.com/sap/support/notes/1691763","1691763")</f>
        <v>1691763</v>
      </c>
      <c r="E7905">
        <v>6</v>
      </c>
      <c r="F7905" t="s">
        <v>9303</v>
      </c>
    </row>
    <row r="7906" spans="1:6" x14ac:dyDescent="0.25">
      <c r="A7906" t="s">
        <v>7749</v>
      </c>
      <c r="B7906" t="s">
        <v>1181</v>
      </c>
      <c r="C7906" t="s">
        <v>1182</v>
      </c>
      <c r="D7906" t="str">
        <f>HYPERLINK("http://service.sap.com/sap/support/notes/1704713","1704713")</f>
        <v>1704713</v>
      </c>
      <c r="E7906">
        <v>3</v>
      </c>
      <c r="F7906" t="s">
        <v>9304</v>
      </c>
    </row>
    <row r="7907" spans="1:6" x14ac:dyDescent="0.25">
      <c r="A7907" t="s">
        <v>7749</v>
      </c>
      <c r="B7907" t="s">
        <v>1181</v>
      </c>
      <c r="C7907" t="s">
        <v>1182</v>
      </c>
      <c r="D7907" t="str">
        <f>HYPERLINK("http://service.sap.com/sap/support/notes/1707164","1707164")</f>
        <v>1707164</v>
      </c>
      <c r="E7907">
        <v>1</v>
      </c>
      <c r="F7907" t="s">
        <v>9305</v>
      </c>
    </row>
    <row r="7908" spans="1:6" x14ac:dyDescent="0.25">
      <c r="A7908" t="s">
        <v>7749</v>
      </c>
      <c r="B7908" t="s">
        <v>1181</v>
      </c>
      <c r="C7908" t="s">
        <v>1182</v>
      </c>
      <c r="D7908" t="str">
        <f>HYPERLINK("http://service.sap.com/sap/support/notes/1707364","1707364")</f>
        <v>1707364</v>
      </c>
      <c r="E7908">
        <v>3</v>
      </c>
      <c r="F7908" t="s">
        <v>9306</v>
      </c>
    </row>
    <row r="7909" spans="1:6" x14ac:dyDescent="0.25">
      <c r="A7909" t="s">
        <v>7749</v>
      </c>
      <c r="B7909" t="s">
        <v>1181</v>
      </c>
      <c r="C7909" t="s">
        <v>1182</v>
      </c>
      <c r="D7909" t="str">
        <f>HYPERLINK("http://service.sap.com/sap/support/notes/1712434","1712434")</f>
        <v>1712434</v>
      </c>
      <c r="E7909">
        <v>1</v>
      </c>
      <c r="F7909" t="s">
        <v>9307</v>
      </c>
    </row>
    <row r="7910" spans="1:6" x14ac:dyDescent="0.25">
      <c r="A7910" t="s">
        <v>7749</v>
      </c>
      <c r="B7910" t="s">
        <v>1181</v>
      </c>
      <c r="C7910" t="s">
        <v>1182</v>
      </c>
      <c r="D7910" t="str">
        <f>HYPERLINK("http://service.sap.com/sap/support/notes/1716738","1716738")</f>
        <v>1716738</v>
      </c>
      <c r="E7910">
        <v>2</v>
      </c>
      <c r="F7910" t="s">
        <v>9308</v>
      </c>
    </row>
    <row r="7911" spans="1:6" x14ac:dyDescent="0.25">
      <c r="A7911" t="s">
        <v>7749</v>
      </c>
      <c r="B7911" t="s">
        <v>5084</v>
      </c>
      <c r="C7911" t="s">
        <v>5085</v>
      </c>
      <c r="D7911" t="str">
        <f>HYPERLINK("http://service.sap.com/sap/support/notes/1696432","1696432")</f>
        <v>1696432</v>
      </c>
      <c r="E7911">
        <v>2</v>
      </c>
      <c r="F7911" t="s">
        <v>9309</v>
      </c>
    </row>
    <row r="7912" spans="1:6" x14ac:dyDescent="0.25">
      <c r="A7912" t="s">
        <v>7749</v>
      </c>
      <c r="B7912" t="s">
        <v>5087</v>
      </c>
      <c r="C7912" t="s">
        <v>5088</v>
      </c>
    </row>
    <row r="7913" spans="1:6" x14ac:dyDescent="0.25">
      <c r="A7913" t="s">
        <v>7749</v>
      </c>
      <c r="B7913" t="s">
        <v>5089</v>
      </c>
      <c r="C7913" t="s">
        <v>632</v>
      </c>
      <c r="D7913" t="str">
        <f>HYPERLINK("http://service.sap.com/sap/support/notes/1704269","1704269")</f>
        <v>1704269</v>
      </c>
      <c r="E7913">
        <v>1</v>
      </c>
      <c r="F7913" t="s">
        <v>9310</v>
      </c>
    </row>
    <row r="7914" spans="1:6" x14ac:dyDescent="0.25">
      <c r="A7914" t="s">
        <v>7749</v>
      </c>
      <c r="B7914" t="s">
        <v>5091</v>
      </c>
      <c r="C7914" t="s">
        <v>5092</v>
      </c>
    </row>
    <row r="7915" spans="1:6" x14ac:dyDescent="0.25">
      <c r="A7915" t="s">
        <v>7749</v>
      </c>
      <c r="B7915" t="s">
        <v>9311</v>
      </c>
      <c r="C7915" t="s">
        <v>7377</v>
      </c>
      <c r="D7915" t="str">
        <f>HYPERLINK("http://service.sap.com/sap/support/notes/1707618","1707618")</f>
        <v>1707618</v>
      </c>
      <c r="E7915">
        <v>2</v>
      </c>
      <c r="F7915" t="s">
        <v>9312</v>
      </c>
    </row>
    <row r="7916" spans="1:6" x14ac:dyDescent="0.25">
      <c r="A7916" t="s">
        <v>7749</v>
      </c>
      <c r="B7916" t="s">
        <v>9311</v>
      </c>
      <c r="C7916" t="s">
        <v>7377</v>
      </c>
      <c r="D7916" t="str">
        <f>HYPERLINK("http://service.sap.com/sap/support/notes/1718619","1718619")</f>
        <v>1718619</v>
      </c>
      <c r="E7916">
        <v>1</v>
      </c>
      <c r="F7916" t="s">
        <v>9313</v>
      </c>
    </row>
    <row r="7917" spans="1:6" x14ac:dyDescent="0.25">
      <c r="A7917" t="s">
        <v>7749</v>
      </c>
      <c r="B7917" t="s">
        <v>5093</v>
      </c>
      <c r="C7917" t="s">
        <v>5094</v>
      </c>
      <c r="D7917" t="str">
        <f>HYPERLINK("http://service.sap.com/sap/support/notes/1697897","1697897")</f>
        <v>1697897</v>
      </c>
      <c r="E7917">
        <v>1</v>
      </c>
      <c r="F7917" t="s">
        <v>9314</v>
      </c>
    </row>
    <row r="7918" spans="1:6" x14ac:dyDescent="0.25">
      <c r="A7918" t="s">
        <v>7749</v>
      </c>
      <c r="B7918" t="s">
        <v>5093</v>
      </c>
      <c r="C7918" t="s">
        <v>5094</v>
      </c>
      <c r="D7918" t="str">
        <f>HYPERLINK("http://service.sap.com/sap/support/notes/1702212","1702212")</f>
        <v>1702212</v>
      </c>
      <c r="E7918">
        <v>1</v>
      </c>
      <c r="F7918" t="s">
        <v>9315</v>
      </c>
    </row>
    <row r="7919" spans="1:6" x14ac:dyDescent="0.25">
      <c r="A7919" t="s">
        <v>7749</v>
      </c>
      <c r="B7919" t="s">
        <v>5103</v>
      </c>
      <c r="C7919" t="s">
        <v>5104</v>
      </c>
    </row>
    <row r="7920" spans="1:6" x14ac:dyDescent="0.25">
      <c r="A7920" t="s">
        <v>7749</v>
      </c>
      <c r="B7920" t="s">
        <v>5105</v>
      </c>
      <c r="C7920" t="s">
        <v>5094</v>
      </c>
      <c r="D7920" t="str">
        <f>HYPERLINK("http://service.sap.com/sap/support/notes/1697374","1697374")</f>
        <v>1697374</v>
      </c>
      <c r="E7920">
        <v>1</v>
      </c>
      <c r="F7920" t="s">
        <v>9316</v>
      </c>
    </row>
    <row r="7921" spans="1:6" x14ac:dyDescent="0.25">
      <c r="A7921" t="s">
        <v>7749</v>
      </c>
      <c r="B7921" t="s">
        <v>5105</v>
      </c>
      <c r="C7921" t="s">
        <v>5094</v>
      </c>
      <c r="D7921" t="str">
        <f>HYPERLINK("http://service.sap.com/sap/support/notes/1725393","1725393")</f>
        <v>1725393</v>
      </c>
      <c r="E7921">
        <v>1</v>
      </c>
      <c r="F7921" t="s">
        <v>9317</v>
      </c>
    </row>
    <row r="7922" spans="1:6" x14ac:dyDescent="0.25">
      <c r="A7922" t="s">
        <v>7749</v>
      </c>
      <c r="B7922" t="s">
        <v>9318</v>
      </c>
      <c r="C7922" t="s">
        <v>9319</v>
      </c>
      <c r="D7922" t="str">
        <f>HYPERLINK("http://service.sap.com/sap/support/notes/1716639","1716639")</f>
        <v>1716639</v>
      </c>
      <c r="E7922">
        <v>1</v>
      </c>
      <c r="F7922" t="s">
        <v>9320</v>
      </c>
    </row>
    <row r="7923" spans="1:6" x14ac:dyDescent="0.25">
      <c r="A7923" t="s">
        <v>7749</v>
      </c>
      <c r="B7923" t="s">
        <v>28</v>
      </c>
      <c r="C7923" t="s">
        <v>29</v>
      </c>
    </row>
    <row r="7924" spans="1:6" x14ac:dyDescent="0.25">
      <c r="A7924" t="s">
        <v>7749</v>
      </c>
      <c r="B7924" t="s">
        <v>30</v>
      </c>
      <c r="C7924" t="s">
        <v>31</v>
      </c>
    </row>
    <row r="7925" spans="1:6" x14ac:dyDescent="0.25">
      <c r="A7925" t="s">
        <v>7749</v>
      </c>
      <c r="B7925" t="s">
        <v>32</v>
      </c>
      <c r="C7925" t="s">
        <v>33</v>
      </c>
    </row>
    <row r="7926" spans="1:6" x14ac:dyDescent="0.25">
      <c r="A7926" t="s">
        <v>7749</v>
      </c>
      <c r="B7926" t="s">
        <v>5138</v>
      </c>
      <c r="C7926" t="s">
        <v>5139</v>
      </c>
    </row>
    <row r="7927" spans="1:6" x14ac:dyDescent="0.25">
      <c r="A7927" t="s">
        <v>7749</v>
      </c>
      <c r="B7927" t="s">
        <v>5140</v>
      </c>
      <c r="C7927" t="s">
        <v>651</v>
      </c>
      <c r="D7927" t="str">
        <f>HYPERLINK("http://service.sap.com/sap/support/notes/1676268","1676268")</f>
        <v>1676268</v>
      </c>
      <c r="E7927">
        <v>7</v>
      </c>
      <c r="F7927" t="s">
        <v>9321</v>
      </c>
    </row>
    <row r="7928" spans="1:6" x14ac:dyDescent="0.25">
      <c r="A7928" t="s">
        <v>7749</v>
      </c>
      <c r="B7928" t="s">
        <v>5140</v>
      </c>
      <c r="C7928" t="s">
        <v>651</v>
      </c>
      <c r="D7928" t="str">
        <f>HYPERLINK("http://service.sap.com/sap/support/notes/1686840","1686840")</f>
        <v>1686840</v>
      </c>
      <c r="E7928">
        <v>4</v>
      </c>
      <c r="F7928" t="s">
        <v>9322</v>
      </c>
    </row>
    <row r="7929" spans="1:6" x14ac:dyDescent="0.25">
      <c r="A7929" t="s">
        <v>7749</v>
      </c>
      <c r="B7929" t="s">
        <v>5146</v>
      </c>
      <c r="C7929" t="s">
        <v>5147</v>
      </c>
      <c r="D7929" t="str">
        <f>HYPERLINK("http://service.sap.com/sap/support/notes/1697767","1697767")</f>
        <v>1697767</v>
      </c>
      <c r="E7929">
        <v>2</v>
      </c>
      <c r="F7929" t="s">
        <v>9323</v>
      </c>
    </row>
    <row r="7930" spans="1:6" x14ac:dyDescent="0.25">
      <c r="A7930" t="s">
        <v>7749</v>
      </c>
      <c r="B7930" t="s">
        <v>5155</v>
      </c>
      <c r="C7930" t="s">
        <v>5156</v>
      </c>
      <c r="D7930" t="str">
        <f>HYPERLINK("http://service.sap.com/sap/support/notes/1631423","1631423")</f>
        <v>1631423</v>
      </c>
      <c r="E7930">
        <v>1</v>
      </c>
      <c r="F7930" t="s">
        <v>9324</v>
      </c>
    </row>
    <row r="7931" spans="1:6" x14ac:dyDescent="0.25">
      <c r="A7931" t="s">
        <v>7749</v>
      </c>
      <c r="B7931" t="s">
        <v>5155</v>
      </c>
      <c r="C7931" t="s">
        <v>5156</v>
      </c>
      <c r="D7931" t="str">
        <f>HYPERLINK("http://service.sap.com/sap/support/notes/1686387","1686387")</f>
        <v>1686387</v>
      </c>
      <c r="E7931">
        <v>1</v>
      </c>
      <c r="F7931" t="s">
        <v>9325</v>
      </c>
    </row>
    <row r="7932" spans="1:6" x14ac:dyDescent="0.25">
      <c r="A7932" t="s">
        <v>7749</v>
      </c>
      <c r="B7932" t="s">
        <v>5155</v>
      </c>
      <c r="C7932" t="s">
        <v>5156</v>
      </c>
      <c r="D7932" t="str">
        <f>HYPERLINK("http://service.sap.com/sap/support/notes/1690826","1690826")</f>
        <v>1690826</v>
      </c>
      <c r="E7932">
        <v>2</v>
      </c>
      <c r="F7932" t="s">
        <v>9326</v>
      </c>
    </row>
    <row r="7933" spans="1:6" x14ac:dyDescent="0.25">
      <c r="A7933" t="s">
        <v>7749</v>
      </c>
      <c r="B7933" t="s">
        <v>5155</v>
      </c>
      <c r="C7933" t="s">
        <v>5156</v>
      </c>
      <c r="D7933" t="str">
        <f>HYPERLINK("http://service.sap.com/sap/support/notes/1717908","1717908")</f>
        <v>1717908</v>
      </c>
      <c r="E7933">
        <v>1</v>
      </c>
      <c r="F7933" t="s">
        <v>9327</v>
      </c>
    </row>
    <row r="7934" spans="1:6" x14ac:dyDescent="0.25">
      <c r="A7934" t="s">
        <v>7749</v>
      </c>
      <c r="B7934" t="s">
        <v>34</v>
      </c>
      <c r="C7934" t="s">
        <v>14</v>
      </c>
    </row>
    <row r="7935" spans="1:6" x14ac:dyDescent="0.25">
      <c r="A7935" t="s">
        <v>7749</v>
      </c>
      <c r="B7935" t="s">
        <v>9328</v>
      </c>
      <c r="C7935" t="s">
        <v>9329</v>
      </c>
      <c r="D7935" t="str">
        <f>HYPERLINK("http://service.sap.com/sap/support/notes/1721205","1721205")</f>
        <v>1721205</v>
      </c>
      <c r="E7935">
        <v>1</v>
      </c>
      <c r="F7935" t="s">
        <v>9330</v>
      </c>
    </row>
    <row r="7936" spans="1:6" x14ac:dyDescent="0.25">
      <c r="A7936" t="s">
        <v>7749</v>
      </c>
      <c r="B7936" t="s">
        <v>35</v>
      </c>
      <c r="C7936" t="s">
        <v>1187</v>
      </c>
      <c r="D7936" t="str">
        <f>HYPERLINK("http://service.sap.com/sap/support/notes/1695621","1695621")</f>
        <v>1695621</v>
      </c>
      <c r="E7936">
        <v>1</v>
      </c>
      <c r="F7936" t="s">
        <v>9331</v>
      </c>
    </row>
    <row r="7937" spans="1:6" x14ac:dyDescent="0.25">
      <c r="A7937" t="s">
        <v>7749</v>
      </c>
      <c r="B7937" t="s">
        <v>35</v>
      </c>
      <c r="C7937" t="s">
        <v>1187</v>
      </c>
      <c r="D7937" t="str">
        <f>HYPERLINK("http://service.sap.com/sap/support/notes/1698356","1698356")</f>
        <v>1698356</v>
      </c>
      <c r="E7937">
        <v>2</v>
      </c>
      <c r="F7937" t="s">
        <v>9332</v>
      </c>
    </row>
    <row r="7938" spans="1:6" x14ac:dyDescent="0.25">
      <c r="A7938" t="s">
        <v>7749</v>
      </c>
      <c r="B7938" t="s">
        <v>35</v>
      </c>
      <c r="C7938" t="s">
        <v>1187</v>
      </c>
      <c r="D7938" t="str">
        <f>HYPERLINK("http://service.sap.com/sap/support/notes/1703125","1703125")</f>
        <v>1703125</v>
      </c>
      <c r="E7938">
        <v>1</v>
      </c>
      <c r="F7938" t="s">
        <v>9333</v>
      </c>
    </row>
    <row r="7939" spans="1:6" x14ac:dyDescent="0.25">
      <c r="A7939" t="s">
        <v>7749</v>
      </c>
      <c r="B7939" t="s">
        <v>35</v>
      </c>
      <c r="C7939" t="s">
        <v>1187</v>
      </c>
      <c r="D7939" t="str">
        <f>HYPERLINK("http://service.sap.com/sap/support/notes/1703416","1703416")</f>
        <v>1703416</v>
      </c>
      <c r="E7939">
        <v>1</v>
      </c>
      <c r="F7939" t="s">
        <v>9334</v>
      </c>
    </row>
    <row r="7940" spans="1:6" x14ac:dyDescent="0.25">
      <c r="A7940" t="s">
        <v>7749</v>
      </c>
      <c r="B7940" t="s">
        <v>35</v>
      </c>
      <c r="C7940" t="s">
        <v>1187</v>
      </c>
      <c r="D7940" t="str">
        <f>HYPERLINK("http://service.sap.com/sap/support/notes/1703915","1703915")</f>
        <v>1703915</v>
      </c>
      <c r="E7940">
        <v>1</v>
      </c>
      <c r="F7940" t="s">
        <v>9335</v>
      </c>
    </row>
    <row r="7941" spans="1:6" x14ac:dyDescent="0.25">
      <c r="A7941" t="s">
        <v>7749</v>
      </c>
      <c r="B7941" t="s">
        <v>35</v>
      </c>
      <c r="C7941" t="s">
        <v>1187</v>
      </c>
      <c r="D7941" t="str">
        <f>HYPERLINK("http://service.sap.com/sap/support/notes/1703975","1703975")</f>
        <v>1703975</v>
      </c>
      <c r="E7941">
        <v>1</v>
      </c>
      <c r="F7941" t="s">
        <v>9336</v>
      </c>
    </row>
    <row r="7942" spans="1:6" x14ac:dyDescent="0.25">
      <c r="A7942" t="s">
        <v>7749</v>
      </c>
      <c r="B7942" t="s">
        <v>35</v>
      </c>
      <c r="C7942" t="s">
        <v>1187</v>
      </c>
      <c r="D7942" t="str">
        <f>HYPERLINK("http://service.sap.com/sap/support/notes/1704490","1704490")</f>
        <v>1704490</v>
      </c>
      <c r="E7942">
        <v>2</v>
      </c>
      <c r="F7942" t="s">
        <v>9337</v>
      </c>
    </row>
    <row r="7943" spans="1:6" x14ac:dyDescent="0.25">
      <c r="A7943" t="s">
        <v>7749</v>
      </c>
      <c r="B7943" t="s">
        <v>35</v>
      </c>
      <c r="C7943" t="s">
        <v>1187</v>
      </c>
      <c r="D7943" t="str">
        <f>HYPERLINK("http://service.sap.com/sap/support/notes/1704902","1704902")</f>
        <v>1704902</v>
      </c>
      <c r="E7943">
        <v>1</v>
      </c>
      <c r="F7943" t="s">
        <v>9338</v>
      </c>
    </row>
    <row r="7944" spans="1:6" x14ac:dyDescent="0.25">
      <c r="A7944" t="s">
        <v>7749</v>
      </c>
      <c r="B7944" t="s">
        <v>35</v>
      </c>
      <c r="C7944" t="s">
        <v>1187</v>
      </c>
      <c r="D7944" t="str">
        <f>HYPERLINK("http://service.sap.com/sap/support/notes/1706996","1706996")</f>
        <v>1706996</v>
      </c>
      <c r="E7944">
        <v>1</v>
      </c>
      <c r="F7944" t="s">
        <v>9339</v>
      </c>
    </row>
    <row r="7945" spans="1:6" x14ac:dyDescent="0.25">
      <c r="A7945" t="s">
        <v>7749</v>
      </c>
      <c r="B7945" t="s">
        <v>35</v>
      </c>
      <c r="C7945" t="s">
        <v>1187</v>
      </c>
      <c r="D7945" t="str">
        <f>HYPERLINK("http://service.sap.com/sap/support/notes/1707072","1707072")</f>
        <v>1707072</v>
      </c>
      <c r="E7945">
        <v>1</v>
      </c>
      <c r="F7945" t="s">
        <v>9340</v>
      </c>
    </row>
    <row r="7946" spans="1:6" x14ac:dyDescent="0.25">
      <c r="A7946" t="s">
        <v>7749</v>
      </c>
      <c r="B7946" t="s">
        <v>35</v>
      </c>
      <c r="C7946" t="s">
        <v>1187</v>
      </c>
      <c r="D7946" t="str">
        <f>HYPERLINK("http://service.sap.com/sap/support/notes/1722779","1722779")</f>
        <v>1722779</v>
      </c>
      <c r="E7946">
        <v>1</v>
      </c>
      <c r="F7946" t="s">
        <v>9341</v>
      </c>
    </row>
    <row r="7947" spans="1:6" x14ac:dyDescent="0.25">
      <c r="A7947" t="s">
        <v>7749</v>
      </c>
      <c r="B7947" t="s">
        <v>35</v>
      </c>
      <c r="C7947" t="s">
        <v>1187</v>
      </c>
      <c r="D7947" t="str">
        <f>HYPERLINK("http://service.sap.com/sap/support/notes/1725422","1725422")</f>
        <v>1725422</v>
      </c>
      <c r="E7947">
        <v>1</v>
      </c>
      <c r="F7947" t="s">
        <v>9342</v>
      </c>
    </row>
    <row r="7948" spans="1:6" x14ac:dyDescent="0.25">
      <c r="A7948" t="s">
        <v>7749</v>
      </c>
      <c r="B7948" t="s">
        <v>35</v>
      </c>
      <c r="C7948" t="s">
        <v>1187</v>
      </c>
      <c r="D7948" t="str">
        <f>HYPERLINK("http://service.sap.com/sap/support/notes/1726321","1726321")</f>
        <v>1726321</v>
      </c>
      <c r="E7948">
        <v>1</v>
      </c>
      <c r="F7948" t="s">
        <v>9343</v>
      </c>
    </row>
    <row r="7949" spans="1:6" x14ac:dyDescent="0.25">
      <c r="A7949" t="s">
        <v>7749</v>
      </c>
      <c r="B7949" t="s">
        <v>35</v>
      </c>
      <c r="C7949" t="s">
        <v>1187</v>
      </c>
      <c r="D7949" t="str">
        <f>HYPERLINK("http://service.sap.com/sap/support/notes/1727222","1727222")</f>
        <v>1727222</v>
      </c>
      <c r="E7949">
        <v>1</v>
      </c>
      <c r="F7949" t="s">
        <v>9344</v>
      </c>
    </row>
    <row r="7950" spans="1:6" x14ac:dyDescent="0.25">
      <c r="A7950" t="s">
        <v>7749</v>
      </c>
      <c r="B7950" t="s">
        <v>5188</v>
      </c>
      <c r="C7950" t="s">
        <v>5189</v>
      </c>
      <c r="D7950" t="str">
        <f>HYPERLINK("http://service.sap.com/sap/support/notes/1694227","1694227")</f>
        <v>1694227</v>
      </c>
      <c r="E7950">
        <v>2</v>
      </c>
      <c r="F7950" t="s">
        <v>9345</v>
      </c>
    </row>
    <row r="7951" spans="1:6" x14ac:dyDescent="0.25">
      <c r="A7951" t="s">
        <v>7749</v>
      </c>
      <c r="B7951" t="s">
        <v>5191</v>
      </c>
      <c r="C7951" t="s">
        <v>5192</v>
      </c>
      <c r="D7951" t="str">
        <f>HYPERLINK("http://service.sap.com/sap/support/notes/1691868","1691868")</f>
        <v>1691868</v>
      </c>
      <c r="E7951">
        <v>1</v>
      </c>
      <c r="F7951" t="s">
        <v>9346</v>
      </c>
    </row>
    <row r="7952" spans="1:6" x14ac:dyDescent="0.25">
      <c r="A7952" t="s">
        <v>7749</v>
      </c>
      <c r="B7952" t="s">
        <v>5191</v>
      </c>
      <c r="C7952" t="s">
        <v>5192</v>
      </c>
      <c r="D7952" t="str">
        <f>HYPERLINK("http://service.sap.com/sap/support/notes/1696604","1696604")</f>
        <v>1696604</v>
      </c>
      <c r="E7952">
        <v>1</v>
      </c>
      <c r="F7952" t="s">
        <v>9347</v>
      </c>
    </row>
    <row r="7953" spans="1:6" x14ac:dyDescent="0.25">
      <c r="A7953" t="s">
        <v>7749</v>
      </c>
      <c r="B7953" t="s">
        <v>5191</v>
      </c>
      <c r="C7953" t="s">
        <v>5192</v>
      </c>
      <c r="D7953" t="str">
        <f>HYPERLINK("http://service.sap.com/sap/support/notes/1723829","1723829")</f>
        <v>1723829</v>
      </c>
      <c r="E7953">
        <v>1</v>
      </c>
      <c r="F7953" t="s">
        <v>9348</v>
      </c>
    </row>
    <row r="7954" spans="1:6" x14ac:dyDescent="0.25">
      <c r="A7954" t="s">
        <v>7749</v>
      </c>
      <c r="B7954" t="s">
        <v>9349</v>
      </c>
      <c r="C7954" t="s">
        <v>9350</v>
      </c>
      <c r="D7954" t="str">
        <f>HYPERLINK("http://service.sap.com/sap/support/notes/1705946","1705946")</f>
        <v>1705946</v>
      </c>
      <c r="E7954">
        <v>2</v>
      </c>
      <c r="F7954" t="s">
        <v>9351</v>
      </c>
    </row>
    <row r="7955" spans="1:6" x14ac:dyDescent="0.25">
      <c r="A7955" t="s">
        <v>7749</v>
      </c>
      <c r="B7955" t="s">
        <v>5194</v>
      </c>
      <c r="C7955" t="s">
        <v>5195</v>
      </c>
      <c r="D7955" t="str">
        <f>HYPERLINK("http://service.sap.com/sap/support/notes/1699376","1699376")</f>
        <v>1699376</v>
      </c>
      <c r="E7955">
        <v>1</v>
      </c>
      <c r="F7955" t="s">
        <v>9352</v>
      </c>
    </row>
    <row r="7956" spans="1:6" x14ac:dyDescent="0.25">
      <c r="A7956" t="s">
        <v>7749</v>
      </c>
      <c r="B7956" t="s">
        <v>5194</v>
      </c>
      <c r="C7956" t="s">
        <v>5195</v>
      </c>
      <c r="D7956" t="str">
        <f>HYPERLINK("http://service.sap.com/sap/support/notes/1726628","1726628")</f>
        <v>1726628</v>
      </c>
      <c r="E7956">
        <v>2</v>
      </c>
      <c r="F7956" t="s">
        <v>9353</v>
      </c>
    </row>
    <row r="7957" spans="1:6" x14ac:dyDescent="0.25">
      <c r="A7957" t="s">
        <v>7749</v>
      </c>
      <c r="B7957" t="s">
        <v>5203</v>
      </c>
      <c r="C7957" t="s">
        <v>5204</v>
      </c>
      <c r="D7957" t="str">
        <f>HYPERLINK("http://service.sap.com/sap/support/notes/1723358","1723358")</f>
        <v>1723358</v>
      </c>
      <c r="E7957">
        <v>1</v>
      </c>
      <c r="F7957" t="s">
        <v>9354</v>
      </c>
    </row>
    <row r="7958" spans="1:6" x14ac:dyDescent="0.25">
      <c r="A7958" t="s">
        <v>7749</v>
      </c>
      <c r="B7958" t="s">
        <v>5207</v>
      </c>
      <c r="C7958" t="s">
        <v>5208</v>
      </c>
      <c r="D7958" t="str">
        <f>HYPERLINK("http://service.sap.com/sap/support/notes/1690481","1690481")</f>
        <v>1690481</v>
      </c>
      <c r="E7958">
        <v>3</v>
      </c>
      <c r="F7958" t="s">
        <v>9355</v>
      </c>
    </row>
    <row r="7959" spans="1:6" x14ac:dyDescent="0.25">
      <c r="A7959" t="s">
        <v>7749</v>
      </c>
      <c r="B7959" t="s">
        <v>5207</v>
      </c>
      <c r="C7959" t="s">
        <v>5208</v>
      </c>
      <c r="D7959" t="str">
        <f>HYPERLINK("http://service.sap.com/sap/support/notes/1698869","1698869")</f>
        <v>1698869</v>
      </c>
      <c r="E7959">
        <v>3</v>
      </c>
      <c r="F7959" t="s">
        <v>9356</v>
      </c>
    </row>
    <row r="7960" spans="1:6" x14ac:dyDescent="0.25">
      <c r="A7960" t="s">
        <v>7749</v>
      </c>
      <c r="B7960" t="s">
        <v>5207</v>
      </c>
      <c r="C7960" t="s">
        <v>5208</v>
      </c>
      <c r="D7960" t="str">
        <f>HYPERLINK("http://service.sap.com/sap/support/notes/1714777","1714777")</f>
        <v>1714777</v>
      </c>
      <c r="E7960">
        <v>1</v>
      </c>
      <c r="F7960" t="s">
        <v>9357</v>
      </c>
    </row>
    <row r="7961" spans="1:6" x14ac:dyDescent="0.25">
      <c r="A7961" t="s">
        <v>7749</v>
      </c>
      <c r="B7961" t="s">
        <v>5207</v>
      </c>
      <c r="C7961" t="s">
        <v>5208</v>
      </c>
      <c r="D7961" t="str">
        <f>HYPERLINK("http://service.sap.com/sap/support/notes/1726804","1726804")</f>
        <v>1726804</v>
      </c>
      <c r="E7961">
        <v>1</v>
      </c>
      <c r="F7961" t="s">
        <v>9358</v>
      </c>
    </row>
    <row r="7962" spans="1:6" x14ac:dyDescent="0.25">
      <c r="A7962" t="s">
        <v>7749</v>
      </c>
      <c r="B7962" t="s">
        <v>5219</v>
      </c>
      <c r="C7962" t="s">
        <v>614</v>
      </c>
      <c r="D7962" t="str">
        <f>HYPERLINK("http://service.sap.com/sap/support/notes/1688074","1688074")</f>
        <v>1688074</v>
      </c>
      <c r="E7962">
        <v>3</v>
      </c>
      <c r="F7962" t="s">
        <v>9359</v>
      </c>
    </row>
    <row r="7963" spans="1:6" x14ac:dyDescent="0.25">
      <c r="A7963" t="s">
        <v>7749</v>
      </c>
      <c r="B7963" t="s">
        <v>5225</v>
      </c>
      <c r="C7963" t="s">
        <v>170</v>
      </c>
      <c r="D7963" t="str">
        <f>HYPERLINK("http://service.sap.com/sap/support/notes/1641783","1641783")</f>
        <v>1641783</v>
      </c>
      <c r="E7963">
        <v>3</v>
      </c>
      <c r="F7963" t="s">
        <v>9360</v>
      </c>
    </row>
    <row r="7964" spans="1:6" x14ac:dyDescent="0.25">
      <c r="A7964" t="s">
        <v>7749</v>
      </c>
      <c r="B7964" t="s">
        <v>7410</v>
      </c>
      <c r="C7964" t="s">
        <v>7411</v>
      </c>
      <c r="D7964" t="str">
        <f>HYPERLINK("http://service.sap.com/sap/support/notes/1702567","1702567")</f>
        <v>1702567</v>
      </c>
      <c r="E7964">
        <v>3</v>
      </c>
      <c r="F7964" t="s">
        <v>9361</v>
      </c>
    </row>
    <row r="7965" spans="1:6" x14ac:dyDescent="0.25">
      <c r="A7965" t="s">
        <v>7749</v>
      </c>
      <c r="B7965" t="s">
        <v>7410</v>
      </c>
      <c r="C7965" t="s">
        <v>7411</v>
      </c>
      <c r="D7965" t="str">
        <f>HYPERLINK("http://service.sap.com/sap/support/notes/1713603","1713603")</f>
        <v>1713603</v>
      </c>
      <c r="E7965">
        <v>1</v>
      </c>
      <c r="F7965" t="s">
        <v>9362</v>
      </c>
    </row>
    <row r="7966" spans="1:6" x14ac:dyDescent="0.25">
      <c r="A7966" t="s">
        <v>7749</v>
      </c>
      <c r="B7966" t="s">
        <v>9363</v>
      </c>
      <c r="C7966" t="s">
        <v>9364</v>
      </c>
    </row>
    <row r="7967" spans="1:6" x14ac:dyDescent="0.25">
      <c r="A7967" t="s">
        <v>7749</v>
      </c>
      <c r="B7967" t="s">
        <v>9365</v>
      </c>
      <c r="C7967" t="s">
        <v>9366</v>
      </c>
      <c r="D7967" t="str">
        <f>HYPERLINK("http://service.sap.com/sap/support/notes/1722271","1722271")</f>
        <v>1722271</v>
      </c>
      <c r="E7967">
        <v>1</v>
      </c>
      <c r="F7967" t="s">
        <v>9367</v>
      </c>
    </row>
    <row r="7968" spans="1:6" x14ac:dyDescent="0.25">
      <c r="A7968" t="s">
        <v>7749</v>
      </c>
      <c r="B7968" t="s">
        <v>1209</v>
      </c>
      <c r="C7968" t="s">
        <v>1210</v>
      </c>
    </row>
    <row r="7969" spans="1:6" x14ac:dyDescent="0.25">
      <c r="A7969" t="s">
        <v>7749</v>
      </c>
      <c r="B7969" t="s">
        <v>1211</v>
      </c>
      <c r="C7969" t="s">
        <v>1212</v>
      </c>
    </row>
    <row r="7970" spans="1:6" x14ac:dyDescent="0.25">
      <c r="A7970" t="s">
        <v>7749</v>
      </c>
      <c r="B7970" t="s">
        <v>9368</v>
      </c>
      <c r="C7970" t="s">
        <v>9369</v>
      </c>
      <c r="D7970" t="str">
        <f>HYPERLINK("http://service.sap.com/sap/support/notes/1698907","1698907")</f>
        <v>1698907</v>
      </c>
      <c r="E7970">
        <v>1</v>
      </c>
      <c r="F7970" t="s">
        <v>9370</v>
      </c>
    </row>
    <row r="7971" spans="1:6" x14ac:dyDescent="0.25">
      <c r="A7971" t="s">
        <v>7749</v>
      </c>
      <c r="B7971" t="s">
        <v>1216</v>
      </c>
      <c r="C7971" t="s">
        <v>1217</v>
      </c>
    </row>
    <row r="7972" spans="1:6" x14ac:dyDescent="0.25">
      <c r="A7972" t="s">
        <v>7749</v>
      </c>
      <c r="B7972" t="s">
        <v>1218</v>
      </c>
      <c r="C7972" t="s">
        <v>1219</v>
      </c>
      <c r="D7972" t="str">
        <f>HYPERLINK("http://service.sap.com/sap/support/notes/1620051","1620051")</f>
        <v>1620051</v>
      </c>
      <c r="E7972">
        <v>7</v>
      </c>
      <c r="F7972" t="s">
        <v>9371</v>
      </c>
    </row>
    <row r="7973" spans="1:6" x14ac:dyDescent="0.25">
      <c r="A7973" t="s">
        <v>7749</v>
      </c>
      <c r="B7973" t="s">
        <v>1218</v>
      </c>
      <c r="C7973" t="s">
        <v>1219</v>
      </c>
      <c r="D7973" t="str">
        <f>HYPERLINK("http://service.sap.com/sap/support/notes/1666358","1666358")</f>
        <v>1666358</v>
      </c>
      <c r="E7973">
        <v>3</v>
      </c>
      <c r="F7973" t="s">
        <v>9372</v>
      </c>
    </row>
    <row r="7974" spans="1:6" x14ac:dyDescent="0.25">
      <c r="A7974" t="s">
        <v>7749</v>
      </c>
      <c r="B7974" t="s">
        <v>1218</v>
      </c>
      <c r="C7974" t="s">
        <v>1219</v>
      </c>
      <c r="D7974" t="str">
        <f>HYPERLINK("http://service.sap.com/sap/support/notes/1678710","1678710")</f>
        <v>1678710</v>
      </c>
      <c r="E7974">
        <v>4</v>
      </c>
      <c r="F7974" t="s">
        <v>9373</v>
      </c>
    </row>
    <row r="7975" spans="1:6" x14ac:dyDescent="0.25">
      <c r="A7975" t="s">
        <v>7749</v>
      </c>
      <c r="B7975" t="s">
        <v>1218</v>
      </c>
      <c r="C7975" t="s">
        <v>1219</v>
      </c>
      <c r="D7975" t="str">
        <f>HYPERLINK("http://service.sap.com/sap/support/notes/1679144","1679144")</f>
        <v>1679144</v>
      </c>
      <c r="E7975">
        <v>2</v>
      </c>
      <c r="F7975" t="s">
        <v>9374</v>
      </c>
    </row>
    <row r="7976" spans="1:6" x14ac:dyDescent="0.25">
      <c r="A7976" t="s">
        <v>7749</v>
      </c>
      <c r="B7976" t="s">
        <v>1218</v>
      </c>
      <c r="C7976" t="s">
        <v>1219</v>
      </c>
      <c r="D7976" t="str">
        <f>HYPERLINK("http://service.sap.com/sap/support/notes/1686324","1686324")</f>
        <v>1686324</v>
      </c>
      <c r="E7976">
        <v>2</v>
      </c>
      <c r="F7976" t="s">
        <v>9375</v>
      </c>
    </row>
    <row r="7977" spans="1:6" x14ac:dyDescent="0.25">
      <c r="A7977" t="s">
        <v>7749</v>
      </c>
      <c r="B7977" t="s">
        <v>1218</v>
      </c>
      <c r="C7977" t="s">
        <v>1219</v>
      </c>
      <c r="D7977" t="str">
        <f>HYPERLINK("http://service.sap.com/sap/support/notes/1687809","1687809")</f>
        <v>1687809</v>
      </c>
      <c r="E7977">
        <v>4</v>
      </c>
      <c r="F7977" t="s">
        <v>9376</v>
      </c>
    </row>
    <row r="7978" spans="1:6" x14ac:dyDescent="0.25">
      <c r="A7978" t="s">
        <v>7749</v>
      </c>
      <c r="B7978" t="s">
        <v>1218</v>
      </c>
      <c r="C7978" t="s">
        <v>1219</v>
      </c>
      <c r="D7978" t="str">
        <f>HYPERLINK("http://service.sap.com/sap/support/notes/1697878","1697878")</f>
        <v>1697878</v>
      </c>
      <c r="E7978">
        <v>2</v>
      </c>
      <c r="F7978" t="s">
        <v>9377</v>
      </c>
    </row>
    <row r="7979" spans="1:6" x14ac:dyDescent="0.25">
      <c r="A7979" t="s">
        <v>7749</v>
      </c>
      <c r="B7979" t="s">
        <v>1218</v>
      </c>
      <c r="C7979" t="s">
        <v>1219</v>
      </c>
      <c r="D7979" t="str">
        <f>HYPERLINK("http://service.sap.com/sap/support/notes/1698704","1698704")</f>
        <v>1698704</v>
      </c>
      <c r="E7979">
        <v>1</v>
      </c>
      <c r="F7979" t="s">
        <v>9378</v>
      </c>
    </row>
    <row r="7980" spans="1:6" x14ac:dyDescent="0.25">
      <c r="A7980" t="s">
        <v>7749</v>
      </c>
      <c r="B7980" t="s">
        <v>1218</v>
      </c>
      <c r="C7980" t="s">
        <v>1219</v>
      </c>
      <c r="D7980" t="str">
        <f>HYPERLINK("http://service.sap.com/sap/support/notes/1709676","1709676")</f>
        <v>1709676</v>
      </c>
      <c r="E7980">
        <v>3</v>
      </c>
      <c r="F7980" t="s">
        <v>9379</v>
      </c>
    </row>
    <row r="7981" spans="1:6" x14ac:dyDescent="0.25">
      <c r="A7981" t="s">
        <v>7749</v>
      </c>
      <c r="B7981" t="s">
        <v>1218</v>
      </c>
      <c r="C7981" t="s">
        <v>1219</v>
      </c>
      <c r="D7981" t="str">
        <f>HYPERLINK("http://service.sap.com/sap/support/notes/1712276","1712276")</f>
        <v>1712276</v>
      </c>
      <c r="E7981">
        <v>2</v>
      </c>
      <c r="F7981" t="s">
        <v>9380</v>
      </c>
    </row>
    <row r="7982" spans="1:6" x14ac:dyDescent="0.25">
      <c r="A7982" t="s">
        <v>7749</v>
      </c>
      <c r="B7982" t="s">
        <v>1218</v>
      </c>
      <c r="C7982" t="s">
        <v>1219</v>
      </c>
      <c r="D7982" t="str">
        <f>HYPERLINK("http://service.sap.com/sap/support/notes/1716735","1716735")</f>
        <v>1716735</v>
      </c>
      <c r="E7982">
        <v>1</v>
      </c>
      <c r="F7982" t="s">
        <v>9381</v>
      </c>
    </row>
    <row r="7983" spans="1:6" x14ac:dyDescent="0.25">
      <c r="A7983" t="s">
        <v>7749</v>
      </c>
      <c r="B7983" t="s">
        <v>1218</v>
      </c>
      <c r="C7983" t="s">
        <v>1219</v>
      </c>
      <c r="D7983" t="str">
        <f>HYPERLINK("http://service.sap.com/sap/support/notes/1718081","1718081")</f>
        <v>1718081</v>
      </c>
      <c r="E7983">
        <v>2</v>
      </c>
      <c r="F7983" t="s">
        <v>9382</v>
      </c>
    </row>
    <row r="7984" spans="1:6" x14ac:dyDescent="0.25">
      <c r="A7984" t="s">
        <v>7749</v>
      </c>
      <c r="B7984" t="s">
        <v>1218</v>
      </c>
      <c r="C7984" t="s">
        <v>1219</v>
      </c>
      <c r="D7984" t="str">
        <f>HYPERLINK("http://service.sap.com/sap/support/notes/1722290","1722290")</f>
        <v>1722290</v>
      </c>
      <c r="E7984">
        <v>4</v>
      </c>
      <c r="F7984" t="s">
        <v>9383</v>
      </c>
    </row>
    <row r="7985" spans="1:6" x14ac:dyDescent="0.25">
      <c r="A7985" t="s">
        <v>7749</v>
      </c>
      <c r="B7985" t="s">
        <v>1218</v>
      </c>
      <c r="C7985" t="s">
        <v>1219</v>
      </c>
      <c r="D7985" t="str">
        <f>HYPERLINK("http://service.sap.com/sap/support/notes/1723976","1723976")</f>
        <v>1723976</v>
      </c>
      <c r="E7985">
        <v>2</v>
      </c>
      <c r="F7985" t="s">
        <v>9384</v>
      </c>
    </row>
    <row r="7986" spans="1:6" x14ac:dyDescent="0.25">
      <c r="A7986" t="s">
        <v>7749</v>
      </c>
      <c r="B7986" t="s">
        <v>1218</v>
      </c>
      <c r="C7986" t="s">
        <v>1219</v>
      </c>
      <c r="D7986" t="str">
        <f>HYPERLINK("http://service.sap.com/sap/support/notes/1724469","1724469")</f>
        <v>1724469</v>
      </c>
      <c r="E7986">
        <v>1</v>
      </c>
      <c r="F7986" t="s">
        <v>9385</v>
      </c>
    </row>
    <row r="7987" spans="1:6" x14ac:dyDescent="0.25">
      <c r="A7987" t="s">
        <v>7749</v>
      </c>
      <c r="B7987" t="s">
        <v>1218</v>
      </c>
      <c r="C7987" t="s">
        <v>1219</v>
      </c>
      <c r="D7987" t="str">
        <f>HYPERLINK("http://service.sap.com/sap/support/notes/1724643","1724643")</f>
        <v>1724643</v>
      </c>
      <c r="E7987">
        <v>1</v>
      </c>
      <c r="F7987" t="s">
        <v>9386</v>
      </c>
    </row>
    <row r="7988" spans="1:6" x14ac:dyDescent="0.25">
      <c r="A7988" t="s">
        <v>7749</v>
      </c>
      <c r="B7988" t="s">
        <v>1218</v>
      </c>
      <c r="C7988" t="s">
        <v>1219</v>
      </c>
      <c r="D7988" t="str">
        <f>HYPERLINK("http://service.sap.com/sap/support/notes/1726447","1726447")</f>
        <v>1726447</v>
      </c>
      <c r="E7988">
        <v>1</v>
      </c>
      <c r="F7988" t="s">
        <v>9387</v>
      </c>
    </row>
    <row r="7989" spans="1:6" x14ac:dyDescent="0.25">
      <c r="A7989" t="s">
        <v>7749</v>
      </c>
      <c r="B7989" t="s">
        <v>5260</v>
      </c>
      <c r="C7989" t="s">
        <v>33</v>
      </c>
      <c r="D7989" t="str">
        <f>HYPERLINK("http://service.sap.com/sap/support/notes/1705867","1705867")</f>
        <v>1705867</v>
      </c>
      <c r="E7989">
        <v>3</v>
      </c>
      <c r="F7989" t="s">
        <v>9388</v>
      </c>
    </row>
    <row r="7990" spans="1:6" x14ac:dyDescent="0.25">
      <c r="A7990" t="s">
        <v>7749</v>
      </c>
      <c r="B7990" t="s">
        <v>5260</v>
      </c>
      <c r="C7990" t="s">
        <v>33</v>
      </c>
      <c r="D7990" t="str">
        <f>HYPERLINK("http://service.sap.com/sap/support/notes/1725461","1725461")</f>
        <v>1725461</v>
      </c>
      <c r="E7990">
        <v>1</v>
      </c>
      <c r="F7990" t="s">
        <v>9389</v>
      </c>
    </row>
    <row r="7991" spans="1:6" x14ac:dyDescent="0.25">
      <c r="A7991" t="s">
        <v>7749</v>
      </c>
      <c r="B7991" t="s">
        <v>1224</v>
      </c>
      <c r="C7991" t="s">
        <v>1225</v>
      </c>
      <c r="D7991" t="str">
        <f>HYPERLINK("http://service.sap.com/sap/support/notes/1663812","1663812")</f>
        <v>1663812</v>
      </c>
      <c r="E7991">
        <v>2</v>
      </c>
      <c r="F7991" t="s">
        <v>9390</v>
      </c>
    </row>
    <row r="7992" spans="1:6" x14ac:dyDescent="0.25">
      <c r="A7992" t="s">
        <v>7749</v>
      </c>
      <c r="B7992" t="s">
        <v>1227</v>
      </c>
      <c r="C7992" t="s">
        <v>1228</v>
      </c>
    </row>
    <row r="7993" spans="1:6" x14ac:dyDescent="0.25">
      <c r="A7993" t="s">
        <v>7749</v>
      </c>
      <c r="B7993" t="s">
        <v>1232</v>
      </c>
      <c r="C7993" t="s">
        <v>1233</v>
      </c>
      <c r="D7993" t="str">
        <f>HYPERLINK("http://service.sap.com/sap/support/notes/1692064","1692064")</f>
        <v>1692064</v>
      </c>
      <c r="E7993">
        <v>1</v>
      </c>
      <c r="F7993" t="s">
        <v>9391</v>
      </c>
    </row>
    <row r="7994" spans="1:6" x14ac:dyDescent="0.25">
      <c r="A7994" t="s">
        <v>7749</v>
      </c>
      <c r="B7994" t="s">
        <v>1232</v>
      </c>
      <c r="C7994" t="s">
        <v>1233</v>
      </c>
      <c r="D7994" t="str">
        <f>HYPERLINK("http://service.sap.com/sap/support/notes/1692921","1692921")</f>
        <v>1692921</v>
      </c>
      <c r="E7994">
        <v>5</v>
      </c>
      <c r="F7994" t="s">
        <v>9392</v>
      </c>
    </row>
    <row r="7995" spans="1:6" x14ac:dyDescent="0.25">
      <c r="A7995" t="s">
        <v>7749</v>
      </c>
      <c r="B7995" t="s">
        <v>1232</v>
      </c>
      <c r="C7995" t="s">
        <v>1233</v>
      </c>
      <c r="D7995" t="str">
        <f>HYPERLINK("http://service.sap.com/sap/support/notes/1698096","1698096")</f>
        <v>1698096</v>
      </c>
      <c r="E7995">
        <v>1</v>
      </c>
      <c r="F7995" t="s">
        <v>9393</v>
      </c>
    </row>
    <row r="7996" spans="1:6" x14ac:dyDescent="0.25">
      <c r="A7996" t="s">
        <v>7749</v>
      </c>
      <c r="B7996" t="s">
        <v>1232</v>
      </c>
      <c r="C7996" t="s">
        <v>1233</v>
      </c>
      <c r="D7996" t="str">
        <f>HYPERLINK("http://service.sap.com/sap/support/notes/1698702","1698702")</f>
        <v>1698702</v>
      </c>
      <c r="E7996">
        <v>1</v>
      </c>
      <c r="F7996" t="s">
        <v>9394</v>
      </c>
    </row>
    <row r="7997" spans="1:6" x14ac:dyDescent="0.25">
      <c r="A7997" t="s">
        <v>7749</v>
      </c>
      <c r="B7997" t="s">
        <v>1232</v>
      </c>
      <c r="C7997" t="s">
        <v>1233</v>
      </c>
      <c r="D7997" t="str">
        <f>HYPERLINK("http://service.sap.com/sap/support/notes/1702008","1702008")</f>
        <v>1702008</v>
      </c>
      <c r="E7997">
        <v>2</v>
      </c>
      <c r="F7997" t="s">
        <v>9395</v>
      </c>
    </row>
    <row r="7998" spans="1:6" x14ac:dyDescent="0.25">
      <c r="A7998" t="s">
        <v>7749</v>
      </c>
      <c r="B7998" t="s">
        <v>1232</v>
      </c>
      <c r="C7998" t="s">
        <v>1233</v>
      </c>
      <c r="D7998" t="str">
        <f>HYPERLINK("http://service.sap.com/sap/support/notes/1707175","1707175")</f>
        <v>1707175</v>
      </c>
      <c r="E7998">
        <v>1</v>
      </c>
      <c r="F7998" t="s">
        <v>9396</v>
      </c>
    </row>
    <row r="7999" spans="1:6" x14ac:dyDescent="0.25">
      <c r="A7999" t="s">
        <v>7749</v>
      </c>
      <c r="B7999" t="s">
        <v>1232</v>
      </c>
      <c r="C7999" t="s">
        <v>1233</v>
      </c>
      <c r="D7999" t="str">
        <f>HYPERLINK("http://service.sap.com/sap/support/notes/1710967","1710967")</f>
        <v>1710967</v>
      </c>
      <c r="E7999">
        <v>1</v>
      </c>
      <c r="F7999" t="s">
        <v>9397</v>
      </c>
    </row>
    <row r="8000" spans="1:6" x14ac:dyDescent="0.25">
      <c r="A8000" t="s">
        <v>7749</v>
      </c>
      <c r="B8000" t="s">
        <v>1232</v>
      </c>
      <c r="C8000" t="s">
        <v>1233</v>
      </c>
      <c r="D8000" t="str">
        <f>HYPERLINK("http://service.sap.com/sap/support/notes/1720883","1720883")</f>
        <v>1720883</v>
      </c>
      <c r="E8000">
        <v>1</v>
      </c>
      <c r="F8000" t="s">
        <v>9398</v>
      </c>
    </row>
    <row r="8001" spans="1:6" x14ac:dyDescent="0.25">
      <c r="A8001" t="s">
        <v>7749</v>
      </c>
      <c r="B8001" t="s">
        <v>1236</v>
      </c>
      <c r="C8001" t="s">
        <v>168</v>
      </c>
    </row>
    <row r="8002" spans="1:6" x14ac:dyDescent="0.25">
      <c r="A8002" t="s">
        <v>7749</v>
      </c>
      <c r="B8002" t="s">
        <v>1237</v>
      </c>
      <c r="C8002" t="s">
        <v>337</v>
      </c>
    </row>
    <row r="8003" spans="1:6" x14ac:dyDescent="0.25">
      <c r="A8003" t="s">
        <v>7749</v>
      </c>
      <c r="B8003" t="s">
        <v>1238</v>
      </c>
      <c r="C8003" t="s">
        <v>1239</v>
      </c>
      <c r="D8003" t="str">
        <f>HYPERLINK("http://service.sap.com/sap/support/notes/1716909","1716909")</f>
        <v>1716909</v>
      </c>
      <c r="E8003">
        <v>2</v>
      </c>
      <c r="F8003" t="s">
        <v>9399</v>
      </c>
    </row>
    <row r="8004" spans="1:6" x14ac:dyDescent="0.25">
      <c r="A8004" t="s">
        <v>7749</v>
      </c>
      <c r="B8004" t="s">
        <v>1243</v>
      </c>
      <c r="C8004" t="s">
        <v>1244</v>
      </c>
      <c r="D8004" t="str">
        <f>HYPERLINK("http://service.sap.com/sap/support/notes/1640145","1640145")</f>
        <v>1640145</v>
      </c>
      <c r="E8004">
        <v>4</v>
      </c>
      <c r="F8004" t="s">
        <v>9400</v>
      </c>
    </row>
    <row r="8005" spans="1:6" x14ac:dyDescent="0.25">
      <c r="A8005" t="s">
        <v>7749</v>
      </c>
      <c r="B8005" t="s">
        <v>5300</v>
      </c>
      <c r="C8005" t="s">
        <v>5115</v>
      </c>
      <c r="D8005" t="str">
        <f>HYPERLINK("http://service.sap.com/sap/support/notes/1675287","1675287")</f>
        <v>1675287</v>
      </c>
      <c r="E8005">
        <v>1</v>
      </c>
      <c r="F8005" t="s">
        <v>9401</v>
      </c>
    </row>
    <row r="8006" spans="1:6" x14ac:dyDescent="0.25">
      <c r="A8006" t="s">
        <v>7749</v>
      </c>
      <c r="B8006" t="s">
        <v>1249</v>
      </c>
      <c r="C8006" t="s">
        <v>563</v>
      </c>
      <c r="D8006" t="str">
        <f>HYPERLINK("http://service.sap.com/sap/support/notes/1691088","1691088")</f>
        <v>1691088</v>
      </c>
      <c r="E8006">
        <v>1</v>
      </c>
      <c r="F8006" t="s">
        <v>9402</v>
      </c>
    </row>
    <row r="8007" spans="1:6" x14ac:dyDescent="0.25">
      <c r="A8007" t="s">
        <v>7749</v>
      </c>
      <c r="B8007" t="s">
        <v>1249</v>
      </c>
      <c r="C8007" t="s">
        <v>563</v>
      </c>
      <c r="D8007" t="str">
        <f>HYPERLINK("http://service.sap.com/sap/support/notes/1692884","1692884")</f>
        <v>1692884</v>
      </c>
      <c r="E8007">
        <v>1</v>
      </c>
      <c r="F8007" t="s">
        <v>9403</v>
      </c>
    </row>
    <row r="8008" spans="1:6" x14ac:dyDescent="0.25">
      <c r="A8008" t="s">
        <v>7749</v>
      </c>
      <c r="B8008" t="s">
        <v>1249</v>
      </c>
      <c r="C8008" t="s">
        <v>563</v>
      </c>
      <c r="D8008" t="str">
        <f>HYPERLINK("http://service.sap.com/sap/support/notes/1704475","1704475")</f>
        <v>1704475</v>
      </c>
      <c r="E8008">
        <v>1</v>
      </c>
      <c r="F8008" t="s">
        <v>9404</v>
      </c>
    </row>
    <row r="8009" spans="1:6" x14ac:dyDescent="0.25">
      <c r="A8009" t="s">
        <v>7749</v>
      </c>
      <c r="B8009" t="s">
        <v>1249</v>
      </c>
      <c r="C8009" t="s">
        <v>563</v>
      </c>
      <c r="D8009" t="str">
        <f>HYPERLINK("http://service.sap.com/sap/support/notes/1706935","1706935")</f>
        <v>1706935</v>
      </c>
      <c r="E8009">
        <v>2</v>
      </c>
      <c r="F8009" t="s">
        <v>9405</v>
      </c>
    </row>
    <row r="8010" spans="1:6" x14ac:dyDescent="0.25">
      <c r="A8010" t="s">
        <v>7749</v>
      </c>
      <c r="B8010" t="s">
        <v>1254</v>
      </c>
      <c r="C8010" t="s">
        <v>1255</v>
      </c>
      <c r="D8010" t="str">
        <f>HYPERLINK("http://service.sap.com/sap/support/notes/1726528","1726528")</f>
        <v>1726528</v>
      </c>
      <c r="E8010">
        <v>1</v>
      </c>
      <c r="F8010" t="s">
        <v>8722</v>
      </c>
    </row>
    <row r="8011" spans="1:6" x14ac:dyDescent="0.25">
      <c r="A8011" t="s">
        <v>7749</v>
      </c>
      <c r="B8011" t="s">
        <v>9406</v>
      </c>
      <c r="C8011" t="s">
        <v>9407</v>
      </c>
      <c r="D8011" t="str">
        <f>HYPERLINK("http://service.sap.com/sap/support/notes/1711997","1711997")</f>
        <v>1711997</v>
      </c>
      <c r="E8011">
        <v>1</v>
      </c>
      <c r="F8011" t="s">
        <v>9408</v>
      </c>
    </row>
    <row r="8012" spans="1:6" x14ac:dyDescent="0.25">
      <c r="A8012" t="s">
        <v>7749</v>
      </c>
      <c r="B8012" t="s">
        <v>5311</v>
      </c>
      <c r="C8012" t="s">
        <v>3340</v>
      </c>
      <c r="D8012" t="str">
        <f>HYPERLINK("http://service.sap.com/sap/support/notes/1656736","1656736")</f>
        <v>1656736</v>
      </c>
      <c r="E8012">
        <v>1</v>
      </c>
      <c r="F8012" t="s">
        <v>5314</v>
      </c>
    </row>
    <row r="8013" spans="1:6" x14ac:dyDescent="0.25">
      <c r="A8013" t="s">
        <v>7749</v>
      </c>
      <c r="B8013" t="s">
        <v>5311</v>
      </c>
      <c r="C8013" t="s">
        <v>3340</v>
      </c>
      <c r="D8013" t="str">
        <f>HYPERLINK("http://service.sap.com/sap/support/notes/1677679","1677679")</f>
        <v>1677679</v>
      </c>
      <c r="E8013">
        <v>2</v>
      </c>
      <c r="F8013" t="s">
        <v>9409</v>
      </c>
    </row>
    <row r="8014" spans="1:6" x14ac:dyDescent="0.25">
      <c r="A8014" t="s">
        <v>7749</v>
      </c>
      <c r="B8014" t="s">
        <v>1258</v>
      </c>
      <c r="C8014" t="s">
        <v>1259</v>
      </c>
    </row>
    <row r="8015" spans="1:6" x14ac:dyDescent="0.25">
      <c r="A8015" t="s">
        <v>7749</v>
      </c>
      <c r="B8015" t="s">
        <v>1260</v>
      </c>
      <c r="C8015" t="s">
        <v>337</v>
      </c>
    </row>
    <row r="8016" spans="1:6" x14ac:dyDescent="0.25">
      <c r="A8016" t="s">
        <v>7749</v>
      </c>
      <c r="B8016" t="s">
        <v>1261</v>
      </c>
      <c r="C8016" t="s">
        <v>1262</v>
      </c>
      <c r="D8016" t="str">
        <f>HYPERLINK("http://service.sap.com/sap/support/notes/1691872","1691872")</f>
        <v>1691872</v>
      </c>
      <c r="E8016">
        <v>2</v>
      </c>
      <c r="F8016" t="s">
        <v>9410</v>
      </c>
    </row>
    <row r="8017" spans="1:6" x14ac:dyDescent="0.25">
      <c r="A8017" t="s">
        <v>7749</v>
      </c>
      <c r="B8017" t="s">
        <v>1261</v>
      </c>
      <c r="C8017" t="s">
        <v>1262</v>
      </c>
      <c r="D8017" t="str">
        <f>HYPERLINK("http://service.sap.com/sap/support/notes/1703874","1703874")</f>
        <v>1703874</v>
      </c>
      <c r="E8017">
        <v>2</v>
      </c>
      <c r="F8017" t="s">
        <v>9411</v>
      </c>
    </row>
    <row r="8018" spans="1:6" x14ac:dyDescent="0.25">
      <c r="A8018" t="s">
        <v>7749</v>
      </c>
      <c r="B8018" t="s">
        <v>1264</v>
      </c>
      <c r="C8018" t="s">
        <v>1265</v>
      </c>
      <c r="D8018" t="str">
        <f>HYPERLINK("http://service.sap.com/sap/support/notes/1699514","1699514")</f>
        <v>1699514</v>
      </c>
      <c r="E8018">
        <v>2</v>
      </c>
      <c r="F8018" t="s">
        <v>9412</v>
      </c>
    </row>
    <row r="8019" spans="1:6" x14ac:dyDescent="0.25">
      <c r="A8019" t="s">
        <v>7749</v>
      </c>
      <c r="B8019" t="s">
        <v>1264</v>
      </c>
      <c r="C8019" t="s">
        <v>1265</v>
      </c>
      <c r="D8019" t="str">
        <f>HYPERLINK("http://service.sap.com/sap/support/notes/1709142","1709142")</f>
        <v>1709142</v>
      </c>
      <c r="E8019">
        <v>3</v>
      </c>
      <c r="F8019" t="s">
        <v>9413</v>
      </c>
    </row>
    <row r="8020" spans="1:6" x14ac:dyDescent="0.25">
      <c r="A8020" t="s">
        <v>7749</v>
      </c>
      <c r="B8020" t="s">
        <v>1264</v>
      </c>
      <c r="C8020" t="s">
        <v>1265</v>
      </c>
      <c r="D8020" t="str">
        <f>HYPERLINK("http://service.sap.com/sap/support/notes/1722183","1722183")</f>
        <v>1722183</v>
      </c>
      <c r="E8020">
        <v>2</v>
      </c>
      <c r="F8020" t="s">
        <v>9414</v>
      </c>
    </row>
    <row r="8021" spans="1:6" x14ac:dyDescent="0.25">
      <c r="A8021" t="s">
        <v>7749</v>
      </c>
      <c r="B8021" t="s">
        <v>1264</v>
      </c>
      <c r="C8021" t="s">
        <v>1265</v>
      </c>
      <c r="D8021" t="str">
        <f>HYPERLINK("http://service.sap.com/sap/support/notes/1722184","1722184")</f>
        <v>1722184</v>
      </c>
      <c r="E8021">
        <v>3</v>
      </c>
      <c r="F8021" t="s">
        <v>9415</v>
      </c>
    </row>
    <row r="8022" spans="1:6" x14ac:dyDescent="0.25">
      <c r="A8022" t="s">
        <v>7749</v>
      </c>
      <c r="B8022" t="s">
        <v>1264</v>
      </c>
      <c r="C8022" t="s">
        <v>1265</v>
      </c>
      <c r="D8022" t="str">
        <f>HYPERLINK("http://service.sap.com/sap/support/notes/1722189","1722189")</f>
        <v>1722189</v>
      </c>
      <c r="E8022">
        <v>2</v>
      </c>
      <c r="F8022" t="s">
        <v>9416</v>
      </c>
    </row>
    <row r="8023" spans="1:6" x14ac:dyDescent="0.25">
      <c r="A8023" t="s">
        <v>7749</v>
      </c>
      <c r="B8023" t="s">
        <v>1268</v>
      </c>
      <c r="C8023" t="s">
        <v>1269</v>
      </c>
      <c r="D8023" t="str">
        <f>HYPERLINK("http://service.sap.com/sap/support/notes/1443853","1443853")</f>
        <v>1443853</v>
      </c>
      <c r="E8023">
        <v>6</v>
      </c>
      <c r="F8023" t="s">
        <v>9417</v>
      </c>
    </row>
    <row r="8024" spans="1:6" x14ac:dyDescent="0.25">
      <c r="A8024" t="s">
        <v>7749</v>
      </c>
      <c r="B8024" t="s">
        <v>1268</v>
      </c>
      <c r="C8024" t="s">
        <v>1269</v>
      </c>
      <c r="D8024" t="str">
        <f>HYPERLINK("http://service.sap.com/sap/support/notes/1691424","1691424")</f>
        <v>1691424</v>
      </c>
      <c r="E8024">
        <v>2</v>
      </c>
      <c r="F8024" t="s">
        <v>9418</v>
      </c>
    </row>
    <row r="8025" spans="1:6" x14ac:dyDescent="0.25">
      <c r="A8025" t="s">
        <v>7749</v>
      </c>
      <c r="B8025" t="s">
        <v>1268</v>
      </c>
      <c r="C8025" t="s">
        <v>1269</v>
      </c>
      <c r="D8025" t="str">
        <f>HYPERLINK("http://service.sap.com/sap/support/notes/1709870","1709870")</f>
        <v>1709870</v>
      </c>
      <c r="E8025">
        <v>2</v>
      </c>
      <c r="F8025" t="s">
        <v>9419</v>
      </c>
    </row>
    <row r="8026" spans="1:6" x14ac:dyDescent="0.25">
      <c r="A8026" t="s">
        <v>7749</v>
      </c>
      <c r="B8026" t="s">
        <v>1272</v>
      </c>
      <c r="C8026" t="s">
        <v>1273</v>
      </c>
      <c r="D8026" t="str">
        <f>HYPERLINK("http://service.sap.com/sap/support/notes/1692403","1692403")</f>
        <v>1692403</v>
      </c>
      <c r="E8026">
        <v>3</v>
      </c>
      <c r="F8026" t="s">
        <v>9420</v>
      </c>
    </row>
    <row r="8027" spans="1:6" x14ac:dyDescent="0.25">
      <c r="A8027" t="s">
        <v>7749</v>
      </c>
      <c r="B8027" t="s">
        <v>1272</v>
      </c>
      <c r="C8027" t="s">
        <v>1273</v>
      </c>
      <c r="D8027" t="str">
        <f>HYPERLINK("http://service.sap.com/sap/support/notes/1703621","1703621")</f>
        <v>1703621</v>
      </c>
      <c r="E8027">
        <v>3</v>
      </c>
      <c r="F8027" t="s">
        <v>9421</v>
      </c>
    </row>
    <row r="8028" spans="1:6" x14ac:dyDescent="0.25">
      <c r="A8028" t="s">
        <v>7749</v>
      </c>
      <c r="B8028" t="s">
        <v>1278</v>
      </c>
      <c r="C8028" t="s">
        <v>1279</v>
      </c>
      <c r="D8028" t="str">
        <f>HYPERLINK("http://service.sap.com/sap/support/notes/1724153","1724153")</f>
        <v>1724153</v>
      </c>
      <c r="E8028">
        <v>2</v>
      </c>
      <c r="F8028" t="s">
        <v>9422</v>
      </c>
    </row>
    <row r="8029" spans="1:6" x14ac:dyDescent="0.25">
      <c r="A8029" t="s">
        <v>7749</v>
      </c>
      <c r="B8029" t="s">
        <v>5354</v>
      </c>
      <c r="C8029" t="s">
        <v>5355</v>
      </c>
      <c r="D8029" t="str">
        <f>HYPERLINK("http://service.sap.com/sap/support/notes/1672899","1672899")</f>
        <v>1672899</v>
      </c>
      <c r="E8029">
        <v>1</v>
      </c>
      <c r="F8029" t="s">
        <v>9423</v>
      </c>
    </row>
    <row r="8030" spans="1:6" x14ac:dyDescent="0.25">
      <c r="A8030" t="s">
        <v>7749</v>
      </c>
      <c r="B8030" t="s">
        <v>5354</v>
      </c>
      <c r="C8030" t="s">
        <v>5355</v>
      </c>
      <c r="D8030" t="str">
        <f>HYPERLINK("http://service.sap.com/sap/support/notes/1693551","1693551")</f>
        <v>1693551</v>
      </c>
      <c r="E8030">
        <v>2</v>
      </c>
      <c r="F8030" t="s">
        <v>9424</v>
      </c>
    </row>
    <row r="8031" spans="1:6" x14ac:dyDescent="0.25">
      <c r="A8031" t="s">
        <v>7749</v>
      </c>
      <c r="B8031" t="s">
        <v>5354</v>
      </c>
      <c r="C8031" t="s">
        <v>5355</v>
      </c>
      <c r="D8031" t="str">
        <f>HYPERLINK("http://service.sap.com/sap/support/notes/1695185","1695185")</f>
        <v>1695185</v>
      </c>
      <c r="E8031">
        <v>1</v>
      </c>
      <c r="F8031" t="s">
        <v>9425</v>
      </c>
    </row>
    <row r="8032" spans="1:6" x14ac:dyDescent="0.25">
      <c r="A8032" t="s">
        <v>7749</v>
      </c>
      <c r="B8032" t="s">
        <v>5354</v>
      </c>
      <c r="C8032" t="s">
        <v>5355</v>
      </c>
      <c r="D8032" t="str">
        <f>HYPERLINK("http://service.sap.com/sap/support/notes/1712780","1712780")</f>
        <v>1712780</v>
      </c>
      <c r="E8032">
        <v>1</v>
      </c>
      <c r="F8032" t="s">
        <v>9426</v>
      </c>
    </row>
    <row r="8033" spans="1:6" x14ac:dyDescent="0.25">
      <c r="A8033" t="s">
        <v>7749</v>
      </c>
      <c r="B8033" t="s">
        <v>1281</v>
      </c>
      <c r="C8033" t="s">
        <v>1282</v>
      </c>
    </row>
    <row r="8034" spans="1:6" x14ac:dyDescent="0.25">
      <c r="A8034" t="s">
        <v>7749</v>
      </c>
      <c r="B8034" t="s">
        <v>5370</v>
      </c>
      <c r="C8034" t="s">
        <v>5371</v>
      </c>
      <c r="D8034" t="str">
        <f>HYPERLINK("http://service.sap.com/sap/support/notes/1705832","1705832")</f>
        <v>1705832</v>
      </c>
      <c r="E8034">
        <v>1</v>
      </c>
      <c r="F8034" t="s">
        <v>9427</v>
      </c>
    </row>
    <row r="8035" spans="1:6" x14ac:dyDescent="0.25">
      <c r="A8035" t="s">
        <v>7749</v>
      </c>
      <c r="B8035" t="s">
        <v>1284</v>
      </c>
      <c r="C8035" t="s">
        <v>1285</v>
      </c>
      <c r="D8035" t="str">
        <f>HYPERLINK("http://service.sap.com/sap/support/notes/1689946","1689946")</f>
        <v>1689946</v>
      </c>
      <c r="E8035">
        <v>1</v>
      </c>
      <c r="F8035" t="s">
        <v>9428</v>
      </c>
    </row>
    <row r="8036" spans="1:6" x14ac:dyDescent="0.25">
      <c r="A8036" t="s">
        <v>7749</v>
      </c>
      <c r="B8036" t="s">
        <v>1284</v>
      </c>
      <c r="C8036" t="s">
        <v>1285</v>
      </c>
      <c r="D8036" t="str">
        <f>HYPERLINK("http://service.sap.com/sap/support/notes/1704952","1704952")</f>
        <v>1704952</v>
      </c>
      <c r="E8036">
        <v>3</v>
      </c>
      <c r="F8036" t="s">
        <v>9429</v>
      </c>
    </row>
    <row r="8037" spans="1:6" x14ac:dyDescent="0.25">
      <c r="A8037" t="s">
        <v>7749</v>
      </c>
      <c r="B8037" t="s">
        <v>1284</v>
      </c>
      <c r="C8037" t="s">
        <v>1285</v>
      </c>
      <c r="D8037" t="str">
        <f>HYPERLINK("http://service.sap.com/sap/support/notes/1706584","1706584")</f>
        <v>1706584</v>
      </c>
      <c r="E8037">
        <v>1</v>
      </c>
      <c r="F8037" t="s">
        <v>9430</v>
      </c>
    </row>
    <row r="8038" spans="1:6" x14ac:dyDescent="0.25">
      <c r="A8038" t="s">
        <v>7749</v>
      </c>
      <c r="B8038" t="s">
        <v>1284</v>
      </c>
      <c r="C8038" t="s">
        <v>1285</v>
      </c>
      <c r="D8038" t="str">
        <f>HYPERLINK("http://service.sap.com/sap/support/notes/1708785","1708785")</f>
        <v>1708785</v>
      </c>
      <c r="E8038">
        <v>2</v>
      </c>
      <c r="F8038" t="s">
        <v>9431</v>
      </c>
    </row>
    <row r="8039" spans="1:6" x14ac:dyDescent="0.25">
      <c r="A8039" t="s">
        <v>7749</v>
      </c>
      <c r="B8039" t="s">
        <v>1284</v>
      </c>
      <c r="C8039" t="s">
        <v>1285</v>
      </c>
      <c r="D8039" t="str">
        <f>HYPERLINK("http://service.sap.com/sap/support/notes/1719529","1719529")</f>
        <v>1719529</v>
      </c>
      <c r="E8039">
        <v>2</v>
      </c>
      <c r="F8039" t="s">
        <v>9432</v>
      </c>
    </row>
    <row r="8040" spans="1:6" x14ac:dyDescent="0.25">
      <c r="A8040" t="s">
        <v>7749</v>
      </c>
      <c r="B8040" t="s">
        <v>5393</v>
      </c>
      <c r="C8040" t="s">
        <v>5394</v>
      </c>
      <c r="D8040" t="str">
        <f>HYPERLINK("http://service.sap.com/sap/support/notes/1709793","1709793")</f>
        <v>1709793</v>
      </c>
      <c r="E8040">
        <v>2</v>
      </c>
      <c r="F8040" t="s">
        <v>9433</v>
      </c>
    </row>
    <row r="8041" spans="1:6" x14ac:dyDescent="0.25">
      <c r="A8041" t="s">
        <v>7749</v>
      </c>
      <c r="B8041" t="s">
        <v>1287</v>
      </c>
      <c r="C8041" t="s">
        <v>1288</v>
      </c>
    </row>
    <row r="8042" spans="1:6" x14ac:dyDescent="0.25">
      <c r="A8042" t="s">
        <v>7749</v>
      </c>
      <c r="B8042" t="s">
        <v>5399</v>
      </c>
      <c r="C8042" t="s">
        <v>5400</v>
      </c>
      <c r="D8042" t="str">
        <f>HYPERLINK("http://service.sap.com/sap/support/notes/1704115","1704115")</f>
        <v>1704115</v>
      </c>
      <c r="E8042">
        <v>2</v>
      </c>
      <c r="F8042" t="s">
        <v>9434</v>
      </c>
    </row>
    <row r="8043" spans="1:6" x14ac:dyDescent="0.25">
      <c r="A8043" t="s">
        <v>7749</v>
      </c>
      <c r="B8043" t="s">
        <v>5399</v>
      </c>
      <c r="C8043" t="s">
        <v>5400</v>
      </c>
      <c r="D8043" t="str">
        <f>HYPERLINK("http://service.sap.com/sap/support/notes/1715965","1715965")</f>
        <v>1715965</v>
      </c>
      <c r="E8043">
        <v>3</v>
      </c>
      <c r="F8043" t="s">
        <v>9435</v>
      </c>
    </row>
    <row r="8044" spans="1:6" x14ac:dyDescent="0.25">
      <c r="A8044" t="s">
        <v>7749</v>
      </c>
      <c r="B8044" t="s">
        <v>1295</v>
      </c>
      <c r="C8044" t="s">
        <v>1296</v>
      </c>
    </row>
    <row r="8045" spans="1:6" x14ac:dyDescent="0.25">
      <c r="A8045" t="s">
        <v>7749</v>
      </c>
      <c r="B8045" t="s">
        <v>1300</v>
      </c>
      <c r="C8045" t="s">
        <v>1301</v>
      </c>
      <c r="D8045" t="str">
        <f>HYPERLINK("http://service.sap.com/sap/support/notes/1632065","1632065")</f>
        <v>1632065</v>
      </c>
      <c r="E8045">
        <v>5</v>
      </c>
      <c r="F8045" t="s">
        <v>9436</v>
      </c>
    </row>
    <row r="8046" spans="1:6" x14ac:dyDescent="0.25">
      <c r="A8046" t="s">
        <v>7749</v>
      </c>
      <c r="B8046" t="s">
        <v>1300</v>
      </c>
      <c r="C8046" t="s">
        <v>1301</v>
      </c>
      <c r="D8046" t="str">
        <f>HYPERLINK("http://service.sap.com/sap/support/notes/1677884","1677884")</f>
        <v>1677884</v>
      </c>
      <c r="E8046">
        <v>4</v>
      </c>
      <c r="F8046" t="s">
        <v>9437</v>
      </c>
    </row>
    <row r="8047" spans="1:6" x14ac:dyDescent="0.25">
      <c r="A8047" t="s">
        <v>7749</v>
      </c>
      <c r="B8047" t="s">
        <v>1300</v>
      </c>
      <c r="C8047" t="s">
        <v>1301</v>
      </c>
      <c r="D8047" t="str">
        <f>HYPERLINK("http://service.sap.com/sap/support/notes/1682849","1682849")</f>
        <v>1682849</v>
      </c>
      <c r="E8047">
        <v>5</v>
      </c>
      <c r="F8047" t="s">
        <v>9438</v>
      </c>
    </row>
    <row r="8048" spans="1:6" x14ac:dyDescent="0.25">
      <c r="A8048" t="s">
        <v>7749</v>
      </c>
      <c r="B8048" t="s">
        <v>1303</v>
      </c>
      <c r="C8048" t="s">
        <v>1304</v>
      </c>
      <c r="D8048" t="str">
        <f>HYPERLINK("http://service.sap.com/sap/support/notes/1694306","1694306")</f>
        <v>1694306</v>
      </c>
      <c r="E8048">
        <v>3</v>
      </c>
      <c r="F8048" t="s">
        <v>9439</v>
      </c>
    </row>
    <row r="8049" spans="1:6" x14ac:dyDescent="0.25">
      <c r="A8049" t="s">
        <v>7749</v>
      </c>
      <c r="B8049" t="s">
        <v>9440</v>
      </c>
      <c r="C8049" t="s">
        <v>9441</v>
      </c>
      <c r="D8049" t="str">
        <f>HYPERLINK("http://service.sap.com/sap/support/notes/1627501","1627501")</f>
        <v>1627501</v>
      </c>
      <c r="E8049">
        <v>2</v>
      </c>
      <c r="F8049" t="s">
        <v>9442</v>
      </c>
    </row>
    <row r="8050" spans="1:6" x14ac:dyDescent="0.25">
      <c r="A8050" t="s">
        <v>7749</v>
      </c>
      <c r="B8050" t="s">
        <v>1317</v>
      </c>
      <c r="C8050" t="s">
        <v>170</v>
      </c>
      <c r="D8050" t="str">
        <f>HYPERLINK("http://service.sap.com/sap/support/notes/1661537","1661537")</f>
        <v>1661537</v>
      </c>
      <c r="E8050">
        <v>3</v>
      </c>
      <c r="F8050" t="s">
        <v>9443</v>
      </c>
    </row>
    <row r="8051" spans="1:6" x14ac:dyDescent="0.25">
      <c r="A8051" t="s">
        <v>7749</v>
      </c>
      <c r="B8051" t="s">
        <v>1317</v>
      </c>
      <c r="C8051" t="s">
        <v>170</v>
      </c>
      <c r="D8051" t="str">
        <f>HYPERLINK("http://service.sap.com/sap/support/notes/1687309","1687309")</f>
        <v>1687309</v>
      </c>
      <c r="E8051">
        <v>3</v>
      </c>
      <c r="F8051" t="s">
        <v>9444</v>
      </c>
    </row>
    <row r="8052" spans="1:6" x14ac:dyDescent="0.25">
      <c r="A8052" t="s">
        <v>7749</v>
      </c>
      <c r="B8052" t="s">
        <v>1317</v>
      </c>
      <c r="C8052" t="s">
        <v>170</v>
      </c>
      <c r="D8052" t="str">
        <f>HYPERLINK("http://service.sap.com/sap/support/notes/1691693","1691693")</f>
        <v>1691693</v>
      </c>
      <c r="E8052">
        <v>1</v>
      </c>
      <c r="F8052" t="s">
        <v>9445</v>
      </c>
    </row>
    <row r="8053" spans="1:6" x14ac:dyDescent="0.25">
      <c r="A8053" t="s">
        <v>7749</v>
      </c>
      <c r="B8053" t="s">
        <v>1317</v>
      </c>
      <c r="C8053" t="s">
        <v>170</v>
      </c>
      <c r="D8053" t="str">
        <f>HYPERLINK("http://service.sap.com/sap/support/notes/1695578","1695578")</f>
        <v>1695578</v>
      </c>
      <c r="E8053">
        <v>2</v>
      </c>
      <c r="F8053" t="s">
        <v>9446</v>
      </c>
    </row>
    <row r="8054" spans="1:6" x14ac:dyDescent="0.25">
      <c r="A8054" t="s">
        <v>7749</v>
      </c>
      <c r="B8054" t="s">
        <v>1317</v>
      </c>
      <c r="C8054" t="s">
        <v>170</v>
      </c>
      <c r="D8054" t="str">
        <f>HYPERLINK("http://service.sap.com/sap/support/notes/1704163","1704163")</f>
        <v>1704163</v>
      </c>
      <c r="E8054">
        <v>1</v>
      </c>
      <c r="F8054" t="s">
        <v>9447</v>
      </c>
    </row>
    <row r="8055" spans="1:6" x14ac:dyDescent="0.25">
      <c r="A8055" t="s">
        <v>7749</v>
      </c>
      <c r="B8055" t="s">
        <v>1317</v>
      </c>
      <c r="C8055" t="s">
        <v>170</v>
      </c>
      <c r="D8055" t="str">
        <f>HYPERLINK("http://service.sap.com/sap/support/notes/1709589","1709589")</f>
        <v>1709589</v>
      </c>
      <c r="E8055">
        <v>1</v>
      </c>
      <c r="F8055" t="s">
        <v>9448</v>
      </c>
    </row>
    <row r="8056" spans="1:6" x14ac:dyDescent="0.25">
      <c r="A8056" t="s">
        <v>7749</v>
      </c>
      <c r="B8056" t="s">
        <v>1317</v>
      </c>
      <c r="C8056" t="s">
        <v>170</v>
      </c>
      <c r="D8056" t="str">
        <f>HYPERLINK("http://service.sap.com/sap/support/notes/1712639","1712639")</f>
        <v>1712639</v>
      </c>
      <c r="E8056">
        <v>1</v>
      </c>
      <c r="F8056" t="s">
        <v>9449</v>
      </c>
    </row>
    <row r="8057" spans="1:6" x14ac:dyDescent="0.25">
      <c r="A8057" t="s">
        <v>7749</v>
      </c>
      <c r="B8057" t="s">
        <v>1317</v>
      </c>
      <c r="C8057" t="s">
        <v>170</v>
      </c>
      <c r="D8057" t="str">
        <f>HYPERLINK("http://service.sap.com/sap/support/notes/1723095","1723095")</f>
        <v>1723095</v>
      </c>
      <c r="E8057">
        <v>1</v>
      </c>
      <c r="F8057" t="s">
        <v>9450</v>
      </c>
    </row>
    <row r="8058" spans="1:6" x14ac:dyDescent="0.25">
      <c r="A8058" t="s">
        <v>7749</v>
      </c>
      <c r="B8058" t="s">
        <v>1317</v>
      </c>
      <c r="C8058" t="s">
        <v>170</v>
      </c>
      <c r="D8058" t="str">
        <f>HYPERLINK("http://service.sap.com/sap/support/notes/1723245","1723245")</f>
        <v>1723245</v>
      </c>
      <c r="E8058">
        <v>1</v>
      </c>
      <c r="F8058" t="s">
        <v>9451</v>
      </c>
    </row>
    <row r="8059" spans="1:6" x14ac:dyDescent="0.25">
      <c r="A8059" t="s">
        <v>7749</v>
      </c>
      <c r="B8059" t="s">
        <v>5432</v>
      </c>
      <c r="C8059" t="s">
        <v>5433</v>
      </c>
      <c r="D8059" t="str">
        <f>HYPERLINK("http://service.sap.com/sap/support/notes/1645557","1645557")</f>
        <v>1645557</v>
      </c>
      <c r="E8059">
        <v>3</v>
      </c>
      <c r="F8059" t="s">
        <v>9452</v>
      </c>
    </row>
    <row r="8060" spans="1:6" x14ac:dyDescent="0.25">
      <c r="A8060" t="s">
        <v>7749</v>
      </c>
      <c r="B8060" t="s">
        <v>5432</v>
      </c>
      <c r="C8060" t="s">
        <v>5433</v>
      </c>
      <c r="D8060" t="str">
        <f>HYPERLINK("http://service.sap.com/sap/support/notes/1663865","1663865")</f>
        <v>1663865</v>
      </c>
      <c r="E8060">
        <v>2</v>
      </c>
      <c r="F8060" t="s">
        <v>9453</v>
      </c>
    </row>
    <row r="8061" spans="1:6" x14ac:dyDescent="0.25">
      <c r="A8061" t="s">
        <v>7749</v>
      </c>
      <c r="B8061" t="s">
        <v>5432</v>
      </c>
      <c r="C8061" t="s">
        <v>5433</v>
      </c>
      <c r="D8061" t="str">
        <f>HYPERLINK("http://service.sap.com/sap/support/notes/1683203","1683203")</f>
        <v>1683203</v>
      </c>
      <c r="E8061">
        <v>3</v>
      </c>
      <c r="F8061" t="s">
        <v>9454</v>
      </c>
    </row>
    <row r="8062" spans="1:6" x14ac:dyDescent="0.25">
      <c r="A8062" t="s">
        <v>7749</v>
      </c>
      <c r="B8062" t="s">
        <v>5432</v>
      </c>
      <c r="C8062" t="s">
        <v>5433</v>
      </c>
      <c r="D8062" t="str">
        <f>HYPERLINK("http://service.sap.com/sap/support/notes/1689157","1689157")</f>
        <v>1689157</v>
      </c>
      <c r="E8062">
        <v>3</v>
      </c>
      <c r="F8062" t="s">
        <v>9455</v>
      </c>
    </row>
    <row r="8063" spans="1:6" x14ac:dyDescent="0.25">
      <c r="A8063" t="s">
        <v>7749</v>
      </c>
      <c r="B8063" t="s">
        <v>5432</v>
      </c>
      <c r="C8063" t="s">
        <v>5433</v>
      </c>
      <c r="D8063" t="str">
        <f>HYPERLINK("http://service.sap.com/sap/support/notes/1691484","1691484")</f>
        <v>1691484</v>
      </c>
      <c r="E8063">
        <v>3</v>
      </c>
      <c r="F8063" t="s">
        <v>9456</v>
      </c>
    </row>
    <row r="8064" spans="1:6" x14ac:dyDescent="0.25">
      <c r="A8064" t="s">
        <v>7749</v>
      </c>
      <c r="B8064" t="s">
        <v>5432</v>
      </c>
      <c r="C8064" t="s">
        <v>5433</v>
      </c>
      <c r="D8064" t="str">
        <f>HYPERLINK("http://service.sap.com/sap/support/notes/1695115","1695115")</f>
        <v>1695115</v>
      </c>
      <c r="E8064">
        <v>1</v>
      </c>
      <c r="F8064" t="s">
        <v>9457</v>
      </c>
    </row>
    <row r="8065" spans="1:6" x14ac:dyDescent="0.25">
      <c r="A8065" t="s">
        <v>7749</v>
      </c>
      <c r="B8065" t="s">
        <v>5432</v>
      </c>
      <c r="C8065" t="s">
        <v>5433</v>
      </c>
      <c r="D8065" t="str">
        <f>HYPERLINK("http://service.sap.com/sap/support/notes/1701187","1701187")</f>
        <v>1701187</v>
      </c>
      <c r="E8065">
        <v>1</v>
      </c>
      <c r="F8065" t="s">
        <v>9458</v>
      </c>
    </row>
    <row r="8066" spans="1:6" x14ac:dyDescent="0.25">
      <c r="A8066" t="s">
        <v>7749</v>
      </c>
      <c r="B8066" t="s">
        <v>5432</v>
      </c>
      <c r="C8066" t="s">
        <v>5433</v>
      </c>
      <c r="D8066" t="str">
        <f>HYPERLINK("http://service.sap.com/sap/support/notes/1707204","1707204")</f>
        <v>1707204</v>
      </c>
      <c r="E8066">
        <v>3</v>
      </c>
      <c r="F8066" t="s">
        <v>9459</v>
      </c>
    </row>
    <row r="8067" spans="1:6" x14ac:dyDescent="0.25">
      <c r="A8067" t="s">
        <v>7749</v>
      </c>
      <c r="B8067" t="s">
        <v>5432</v>
      </c>
      <c r="C8067" t="s">
        <v>5433</v>
      </c>
      <c r="D8067" t="str">
        <f>HYPERLINK("http://service.sap.com/sap/support/notes/1708229","1708229")</f>
        <v>1708229</v>
      </c>
      <c r="E8067">
        <v>1</v>
      </c>
      <c r="F8067" t="s">
        <v>9460</v>
      </c>
    </row>
    <row r="8068" spans="1:6" x14ac:dyDescent="0.25">
      <c r="A8068" t="s">
        <v>7749</v>
      </c>
      <c r="B8068" t="s">
        <v>5432</v>
      </c>
      <c r="C8068" t="s">
        <v>5433</v>
      </c>
      <c r="D8068" t="str">
        <f>HYPERLINK("http://service.sap.com/sap/support/notes/1710224","1710224")</f>
        <v>1710224</v>
      </c>
      <c r="E8068">
        <v>1</v>
      </c>
      <c r="F8068" t="s">
        <v>9461</v>
      </c>
    </row>
    <row r="8069" spans="1:6" x14ac:dyDescent="0.25">
      <c r="A8069" t="s">
        <v>7749</v>
      </c>
      <c r="B8069" t="s">
        <v>5432</v>
      </c>
      <c r="C8069" t="s">
        <v>5433</v>
      </c>
      <c r="D8069" t="str">
        <f>HYPERLINK("http://service.sap.com/sap/support/notes/1710750","1710750")</f>
        <v>1710750</v>
      </c>
      <c r="E8069">
        <v>1</v>
      </c>
      <c r="F8069" t="s">
        <v>9462</v>
      </c>
    </row>
    <row r="8070" spans="1:6" x14ac:dyDescent="0.25">
      <c r="A8070" t="s">
        <v>7749</v>
      </c>
      <c r="B8070" t="s">
        <v>5432</v>
      </c>
      <c r="C8070" t="s">
        <v>5433</v>
      </c>
      <c r="D8070" t="str">
        <f>HYPERLINK("http://service.sap.com/sap/support/notes/1716125","1716125")</f>
        <v>1716125</v>
      </c>
      <c r="E8070">
        <v>1</v>
      </c>
      <c r="F8070" t="s">
        <v>9463</v>
      </c>
    </row>
    <row r="8071" spans="1:6" x14ac:dyDescent="0.25">
      <c r="A8071" t="s">
        <v>7749</v>
      </c>
      <c r="B8071" t="s">
        <v>5432</v>
      </c>
      <c r="C8071" t="s">
        <v>5433</v>
      </c>
      <c r="D8071" t="str">
        <f>HYPERLINK("http://service.sap.com/sap/support/notes/1716127","1716127")</f>
        <v>1716127</v>
      </c>
      <c r="E8071">
        <v>1</v>
      </c>
      <c r="F8071" t="s">
        <v>9464</v>
      </c>
    </row>
    <row r="8072" spans="1:6" x14ac:dyDescent="0.25">
      <c r="A8072" t="s">
        <v>7749</v>
      </c>
      <c r="B8072" t="s">
        <v>5432</v>
      </c>
      <c r="C8072" t="s">
        <v>5433</v>
      </c>
      <c r="D8072" t="str">
        <f>HYPERLINK("http://service.sap.com/sap/support/notes/1716408","1716408")</f>
        <v>1716408</v>
      </c>
      <c r="E8072">
        <v>1</v>
      </c>
      <c r="F8072" t="s">
        <v>9465</v>
      </c>
    </row>
    <row r="8073" spans="1:6" x14ac:dyDescent="0.25">
      <c r="A8073" t="s">
        <v>7749</v>
      </c>
      <c r="B8073" t="s">
        <v>5432</v>
      </c>
      <c r="C8073" t="s">
        <v>5433</v>
      </c>
      <c r="D8073" t="str">
        <f>HYPERLINK("http://service.sap.com/sap/support/notes/1716667","1716667")</f>
        <v>1716667</v>
      </c>
      <c r="E8073">
        <v>1</v>
      </c>
      <c r="F8073" t="s">
        <v>9466</v>
      </c>
    </row>
    <row r="8074" spans="1:6" x14ac:dyDescent="0.25">
      <c r="A8074" t="s">
        <v>7749</v>
      </c>
      <c r="B8074" t="s">
        <v>5432</v>
      </c>
      <c r="C8074" t="s">
        <v>5433</v>
      </c>
      <c r="D8074" t="str">
        <f>HYPERLINK("http://service.sap.com/sap/support/notes/1716885","1716885")</f>
        <v>1716885</v>
      </c>
      <c r="E8074">
        <v>1</v>
      </c>
      <c r="F8074" t="s">
        <v>9467</v>
      </c>
    </row>
    <row r="8075" spans="1:6" x14ac:dyDescent="0.25">
      <c r="A8075" t="s">
        <v>7749</v>
      </c>
      <c r="B8075" t="s">
        <v>1324</v>
      </c>
      <c r="C8075" t="s">
        <v>337</v>
      </c>
      <c r="D8075" t="str">
        <f>HYPERLINK("http://service.sap.com/sap/support/notes/1695921","1695921")</f>
        <v>1695921</v>
      </c>
      <c r="E8075">
        <v>1</v>
      </c>
      <c r="F8075" t="s">
        <v>9468</v>
      </c>
    </row>
    <row r="8076" spans="1:6" x14ac:dyDescent="0.25">
      <c r="A8076" t="s">
        <v>7749</v>
      </c>
      <c r="B8076" t="s">
        <v>1324</v>
      </c>
      <c r="C8076" t="s">
        <v>337</v>
      </c>
      <c r="D8076" t="str">
        <f>HYPERLINK("http://service.sap.com/sap/support/notes/1713948","1713948")</f>
        <v>1713948</v>
      </c>
      <c r="E8076">
        <v>1</v>
      </c>
      <c r="F8076" t="s">
        <v>9469</v>
      </c>
    </row>
    <row r="8077" spans="1:6" x14ac:dyDescent="0.25">
      <c r="A8077" t="s">
        <v>7749</v>
      </c>
      <c r="B8077" t="s">
        <v>9470</v>
      </c>
      <c r="C8077" t="s">
        <v>9471</v>
      </c>
      <c r="D8077" t="str">
        <f>HYPERLINK("http://service.sap.com/sap/support/notes/1704388","1704388")</f>
        <v>1704388</v>
      </c>
      <c r="E8077">
        <v>1</v>
      </c>
      <c r="F8077" t="s">
        <v>9472</v>
      </c>
    </row>
    <row r="8078" spans="1:6" x14ac:dyDescent="0.25">
      <c r="A8078" t="s">
        <v>7749</v>
      </c>
      <c r="B8078" t="s">
        <v>9470</v>
      </c>
      <c r="C8078" t="s">
        <v>9471</v>
      </c>
      <c r="D8078" t="str">
        <f>HYPERLINK("http://service.sap.com/sap/support/notes/1712578","1712578")</f>
        <v>1712578</v>
      </c>
      <c r="E8078">
        <v>1</v>
      </c>
      <c r="F8078" t="s">
        <v>9473</v>
      </c>
    </row>
    <row r="8079" spans="1:6" x14ac:dyDescent="0.25">
      <c r="A8079" t="s">
        <v>7749</v>
      </c>
      <c r="B8079" t="s">
        <v>9474</v>
      </c>
      <c r="C8079" t="s">
        <v>9475</v>
      </c>
      <c r="D8079" t="str">
        <f>HYPERLINK("http://service.sap.com/sap/support/notes/1694089","1694089")</f>
        <v>1694089</v>
      </c>
      <c r="E8079">
        <v>1</v>
      </c>
      <c r="F8079" t="s">
        <v>9476</v>
      </c>
    </row>
    <row r="8080" spans="1:6" x14ac:dyDescent="0.25">
      <c r="A8080" t="s">
        <v>7749</v>
      </c>
      <c r="B8080" t="s">
        <v>5454</v>
      </c>
      <c r="C8080" t="s">
        <v>5455</v>
      </c>
      <c r="D8080" t="str">
        <f>HYPERLINK("http://service.sap.com/sap/support/notes/1676482","1676482")</f>
        <v>1676482</v>
      </c>
      <c r="E8080">
        <v>4</v>
      </c>
      <c r="F8080" t="s">
        <v>9477</v>
      </c>
    </row>
    <row r="8081" spans="1:6" x14ac:dyDescent="0.25">
      <c r="A8081" t="s">
        <v>7749</v>
      </c>
      <c r="B8081" t="s">
        <v>1325</v>
      </c>
      <c r="C8081" t="s">
        <v>1326</v>
      </c>
      <c r="D8081" t="str">
        <f>HYPERLINK("http://service.sap.com/sap/support/notes/1690642","1690642")</f>
        <v>1690642</v>
      </c>
      <c r="E8081">
        <v>1</v>
      </c>
      <c r="F8081" t="s">
        <v>9478</v>
      </c>
    </row>
    <row r="8082" spans="1:6" x14ac:dyDescent="0.25">
      <c r="A8082" t="s">
        <v>7749</v>
      </c>
      <c r="B8082" t="s">
        <v>1329</v>
      </c>
      <c r="C8082" t="s">
        <v>1330</v>
      </c>
      <c r="D8082" t="str">
        <f>HYPERLINK("http://service.sap.com/sap/support/notes/1723905","1723905")</f>
        <v>1723905</v>
      </c>
      <c r="E8082">
        <v>1</v>
      </c>
      <c r="F8082" t="s">
        <v>9479</v>
      </c>
    </row>
    <row r="8083" spans="1:6" x14ac:dyDescent="0.25">
      <c r="A8083" t="s">
        <v>7749</v>
      </c>
      <c r="B8083" t="s">
        <v>1335</v>
      </c>
      <c r="C8083" t="s">
        <v>1336</v>
      </c>
      <c r="D8083" t="str">
        <f>HYPERLINK("http://service.sap.com/sap/support/notes/1617284","1617284")</f>
        <v>1617284</v>
      </c>
      <c r="E8083">
        <v>1</v>
      </c>
      <c r="F8083" t="s">
        <v>9480</v>
      </c>
    </row>
    <row r="8084" spans="1:6" x14ac:dyDescent="0.25">
      <c r="A8084" t="s">
        <v>7749</v>
      </c>
      <c r="B8084" t="s">
        <v>1335</v>
      </c>
      <c r="C8084" t="s">
        <v>1336</v>
      </c>
      <c r="D8084" t="str">
        <f>HYPERLINK("http://service.sap.com/sap/support/notes/1693547","1693547")</f>
        <v>1693547</v>
      </c>
      <c r="E8084">
        <v>1</v>
      </c>
      <c r="F8084" t="s">
        <v>9481</v>
      </c>
    </row>
    <row r="8085" spans="1:6" x14ac:dyDescent="0.25">
      <c r="A8085" t="s">
        <v>7749</v>
      </c>
      <c r="B8085" t="s">
        <v>1335</v>
      </c>
      <c r="C8085" t="s">
        <v>1336</v>
      </c>
      <c r="D8085" t="str">
        <f>HYPERLINK("http://service.sap.com/sap/support/notes/1709846","1709846")</f>
        <v>1709846</v>
      </c>
      <c r="E8085">
        <v>1</v>
      </c>
      <c r="F8085" t="s">
        <v>9482</v>
      </c>
    </row>
    <row r="8086" spans="1:6" x14ac:dyDescent="0.25">
      <c r="A8086" t="s">
        <v>7749</v>
      </c>
      <c r="B8086" t="s">
        <v>1338</v>
      </c>
      <c r="C8086" t="s">
        <v>1339</v>
      </c>
    </row>
    <row r="8087" spans="1:6" x14ac:dyDescent="0.25">
      <c r="A8087" t="s">
        <v>7749</v>
      </c>
      <c r="B8087" t="s">
        <v>1340</v>
      </c>
      <c r="C8087" t="s">
        <v>1341</v>
      </c>
      <c r="D8087" t="str">
        <f>HYPERLINK("http://service.sap.com/sap/support/notes/1703792","1703792")</f>
        <v>1703792</v>
      </c>
      <c r="E8087">
        <v>2</v>
      </c>
      <c r="F8087" t="s">
        <v>9483</v>
      </c>
    </row>
    <row r="8088" spans="1:6" x14ac:dyDescent="0.25">
      <c r="A8088" t="s">
        <v>7749</v>
      </c>
      <c r="B8088" t="s">
        <v>7498</v>
      </c>
      <c r="C8088" t="s">
        <v>7499</v>
      </c>
      <c r="D8088" t="str">
        <f>HYPERLINK("http://service.sap.com/sap/support/notes/1721468","1721468")</f>
        <v>1721468</v>
      </c>
      <c r="E8088">
        <v>1</v>
      </c>
      <c r="F8088" t="s">
        <v>9484</v>
      </c>
    </row>
    <row r="8089" spans="1:6" x14ac:dyDescent="0.25">
      <c r="A8089" t="s">
        <v>7749</v>
      </c>
      <c r="B8089" t="s">
        <v>1343</v>
      </c>
      <c r="C8089" t="s">
        <v>1344</v>
      </c>
      <c r="D8089" t="str">
        <f>HYPERLINK("http://service.sap.com/sap/support/notes/1675221","1675221")</f>
        <v>1675221</v>
      </c>
      <c r="E8089">
        <v>1</v>
      </c>
      <c r="F8089" t="s">
        <v>9485</v>
      </c>
    </row>
    <row r="8090" spans="1:6" x14ac:dyDescent="0.25">
      <c r="A8090" t="s">
        <v>7749</v>
      </c>
      <c r="B8090" t="s">
        <v>1343</v>
      </c>
      <c r="C8090" t="s">
        <v>1344</v>
      </c>
      <c r="D8090" t="str">
        <f>HYPERLINK("http://service.sap.com/sap/support/notes/1701638","1701638")</f>
        <v>1701638</v>
      </c>
      <c r="E8090">
        <v>2</v>
      </c>
      <c r="F8090" t="s">
        <v>9486</v>
      </c>
    </row>
    <row r="8091" spans="1:6" x14ac:dyDescent="0.25">
      <c r="A8091" t="s">
        <v>7749</v>
      </c>
      <c r="B8091" t="s">
        <v>1343</v>
      </c>
      <c r="C8091" t="s">
        <v>1344</v>
      </c>
      <c r="D8091" t="str">
        <f>HYPERLINK("http://service.sap.com/sap/support/notes/1716590","1716590")</f>
        <v>1716590</v>
      </c>
      <c r="E8091">
        <v>2</v>
      </c>
      <c r="F8091" t="s">
        <v>9487</v>
      </c>
    </row>
    <row r="8092" spans="1:6" x14ac:dyDescent="0.25">
      <c r="A8092" t="s">
        <v>7749</v>
      </c>
      <c r="B8092" t="s">
        <v>1343</v>
      </c>
      <c r="C8092" t="s">
        <v>1344</v>
      </c>
      <c r="D8092" t="str">
        <f>HYPERLINK("http://service.sap.com/sap/support/notes/1719039","1719039")</f>
        <v>1719039</v>
      </c>
      <c r="E8092">
        <v>5</v>
      </c>
      <c r="F8092" t="s">
        <v>9488</v>
      </c>
    </row>
    <row r="8093" spans="1:6" x14ac:dyDescent="0.25">
      <c r="A8093" t="s">
        <v>7749</v>
      </c>
      <c r="B8093" t="s">
        <v>9489</v>
      </c>
      <c r="C8093" t="s">
        <v>9490</v>
      </c>
      <c r="D8093" t="str">
        <f>HYPERLINK("http://service.sap.com/sap/support/notes/1716081","1716081")</f>
        <v>1716081</v>
      </c>
      <c r="E8093">
        <v>1</v>
      </c>
      <c r="F8093" t="s">
        <v>9491</v>
      </c>
    </row>
    <row r="8094" spans="1:6" x14ac:dyDescent="0.25">
      <c r="A8094" t="s">
        <v>7749</v>
      </c>
      <c r="B8094" t="s">
        <v>5483</v>
      </c>
      <c r="C8094" t="s">
        <v>5484</v>
      </c>
      <c r="D8094" t="str">
        <f>HYPERLINK("http://service.sap.com/sap/support/notes/1726586","1726586")</f>
        <v>1726586</v>
      </c>
      <c r="E8094">
        <v>1</v>
      </c>
      <c r="F8094" t="s">
        <v>9492</v>
      </c>
    </row>
    <row r="8095" spans="1:6" x14ac:dyDescent="0.25">
      <c r="A8095" t="s">
        <v>7749</v>
      </c>
      <c r="B8095" t="s">
        <v>1347</v>
      </c>
      <c r="C8095" t="s">
        <v>1348</v>
      </c>
      <c r="D8095" t="str">
        <f>HYPERLINK("http://service.sap.com/sap/support/notes/1680863","1680863")</f>
        <v>1680863</v>
      </c>
      <c r="E8095">
        <v>2</v>
      </c>
      <c r="F8095" t="s">
        <v>9493</v>
      </c>
    </row>
    <row r="8096" spans="1:6" x14ac:dyDescent="0.25">
      <c r="A8096" t="s">
        <v>7749</v>
      </c>
      <c r="B8096" t="s">
        <v>1347</v>
      </c>
      <c r="C8096" t="s">
        <v>1348</v>
      </c>
      <c r="D8096" t="str">
        <f>HYPERLINK("http://service.sap.com/sap/support/notes/1711570","1711570")</f>
        <v>1711570</v>
      </c>
      <c r="E8096">
        <v>3</v>
      </c>
      <c r="F8096" t="s">
        <v>9494</v>
      </c>
    </row>
    <row r="8097" spans="1:6" x14ac:dyDescent="0.25">
      <c r="A8097" t="s">
        <v>7749</v>
      </c>
      <c r="B8097" t="s">
        <v>1347</v>
      </c>
      <c r="C8097" t="s">
        <v>1348</v>
      </c>
      <c r="D8097" t="str">
        <f>HYPERLINK("http://service.sap.com/sap/support/notes/1716078","1716078")</f>
        <v>1716078</v>
      </c>
      <c r="E8097">
        <v>1</v>
      </c>
      <c r="F8097" t="s">
        <v>9495</v>
      </c>
    </row>
    <row r="8098" spans="1:6" x14ac:dyDescent="0.25">
      <c r="A8098" t="s">
        <v>7749</v>
      </c>
      <c r="B8098" t="s">
        <v>5490</v>
      </c>
      <c r="C8098" t="s">
        <v>5491</v>
      </c>
      <c r="D8098" t="str">
        <f>HYPERLINK("http://service.sap.com/sap/support/notes/1707828","1707828")</f>
        <v>1707828</v>
      </c>
      <c r="E8098">
        <v>1</v>
      </c>
      <c r="F8098" t="s">
        <v>9496</v>
      </c>
    </row>
    <row r="8099" spans="1:6" x14ac:dyDescent="0.25">
      <c r="A8099" t="s">
        <v>7749</v>
      </c>
      <c r="B8099" t="s">
        <v>1350</v>
      </c>
      <c r="C8099" t="s">
        <v>1351</v>
      </c>
    </row>
    <row r="8100" spans="1:6" x14ac:dyDescent="0.25">
      <c r="A8100" t="s">
        <v>7749</v>
      </c>
      <c r="B8100" t="s">
        <v>1352</v>
      </c>
      <c r="C8100" t="s">
        <v>117</v>
      </c>
    </row>
    <row r="8101" spans="1:6" x14ac:dyDescent="0.25">
      <c r="A8101" t="s">
        <v>7749</v>
      </c>
      <c r="B8101" t="s">
        <v>9497</v>
      </c>
      <c r="C8101" t="s">
        <v>9498</v>
      </c>
    </row>
    <row r="8102" spans="1:6" x14ac:dyDescent="0.25">
      <c r="A8102" t="s">
        <v>7749</v>
      </c>
      <c r="B8102" t="s">
        <v>9499</v>
      </c>
      <c r="C8102" t="s">
        <v>9500</v>
      </c>
      <c r="D8102" t="str">
        <f>HYPERLINK("http://service.sap.com/sap/support/notes/1581191","1581191")</f>
        <v>1581191</v>
      </c>
      <c r="E8102">
        <v>4</v>
      </c>
      <c r="F8102" t="s">
        <v>9501</v>
      </c>
    </row>
    <row r="8103" spans="1:6" x14ac:dyDescent="0.25">
      <c r="A8103" t="s">
        <v>7749</v>
      </c>
      <c r="B8103" t="s">
        <v>5499</v>
      </c>
      <c r="C8103" t="s">
        <v>5500</v>
      </c>
    </row>
    <row r="8104" spans="1:6" x14ac:dyDescent="0.25">
      <c r="A8104" t="s">
        <v>7749</v>
      </c>
      <c r="B8104" t="s">
        <v>5501</v>
      </c>
      <c r="C8104" t="s">
        <v>4401</v>
      </c>
      <c r="D8104" t="str">
        <f>HYPERLINK("http://service.sap.com/sap/support/notes/1705299","1705299")</f>
        <v>1705299</v>
      </c>
      <c r="E8104">
        <v>2</v>
      </c>
      <c r="F8104" t="s">
        <v>9502</v>
      </c>
    </row>
    <row r="8105" spans="1:6" x14ac:dyDescent="0.25">
      <c r="A8105" t="s">
        <v>7749</v>
      </c>
      <c r="B8105" t="s">
        <v>5509</v>
      </c>
      <c r="C8105" t="s">
        <v>5510</v>
      </c>
      <c r="D8105" t="str">
        <f>HYPERLINK("http://service.sap.com/sap/support/notes/1600242","1600242")</f>
        <v>1600242</v>
      </c>
      <c r="E8105">
        <v>3</v>
      </c>
      <c r="F8105" t="s">
        <v>9503</v>
      </c>
    </row>
    <row r="8106" spans="1:6" x14ac:dyDescent="0.25">
      <c r="A8106" t="s">
        <v>7749</v>
      </c>
      <c r="B8106" t="s">
        <v>5509</v>
      </c>
      <c r="C8106" t="s">
        <v>5510</v>
      </c>
      <c r="D8106" t="str">
        <f>HYPERLINK("http://service.sap.com/sap/support/notes/1641190","1641190")</f>
        <v>1641190</v>
      </c>
      <c r="E8106">
        <v>5</v>
      </c>
      <c r="F8106" t="s">
        <v>9504</v>
      </c>
    </row>
    <row r="8107" spans="1:6" x14ac:dyDescent="0.25">
      <c r="A8107" t="s">
        <v>7749</v>
      </c>
      <c r="B8107" t="s">
        <v>5509</v>
      </c>
      <c r="C8107" t="s">
        <v>5510</v>
      </c>
      <c r="D8107" t="str">
        <f>HYPERLINK("http://service.sap.com/sap/support/notes/1703179","1703179")</f>
        <v>1703179</v>
      </c>
      <c r="E8107">
        <v>2</v>
      </c>
      <c r="F8107" t="s">
        <v>9505</v>
      </c>
    </row>
    <row r="8108" spans="1:6" x14ac:dyDescent="0.25">
      <c r="A8108" t="s">
        <v>7749</v>
      </c>
      <c r="B8108" t="s">
        <v>5509</v>
      </c>
      <c r="C8108" t="s">
        <v>5510</v>
      </c>
      <c r="D8108" t="str">
        <f>HYPERLINK("http://service.sap.com/sap/support/notes/1718681","1718681")</f>
        <v>1718681</v>
      </c>
      <c r="E8108">
        <v>2</v>
      </c>
      <c r="F8108" t="s">
        <v>9505</v>
      </c>
    </row>
    <row r="8109" spans="1:6" x14ac:dyDescent="0.25">
      <c r="A8109" t="s">
        <v>7749</v>
      </c>
      <c r="B8109" t="s">
        <v>9506</v>
      </c>
      <c r="C8109" t="s">
        <v>9507</v>
      </c>
      <c r="D8109" t="str">
        <f>HYPERLINK("http://service.sap.com/sap/support/notes/1231959","1231959")</f>
        <v>1231959</v>
      </c>
      <c r="E8109">
        <v>9</v>
      </c>
      <c r="F8109" t="s">
        <v>9508</v>
      </c>
    </row>
    <row r="8110" spans="1:6" x14ac:dyDescent="0.25">
      <c r="A8110" t="s">
        <v>7749</v>
      </c>
      <c r="B8110" t="s">
        <v>9506</v>
      </c>
      <c r="C8110" t="s">
        <v>9507</v>
      </c>
      <c r="D8110" t="str">
        <f>HYPERLINK("http://service.sap.com/sap/support/notes/1674851","1674851")</f>
        <v>1674851</v>
      </c>
      <c r="E8110">
        <v>2</v>
      </c>
      <c r="F8110" t="s">
        <v>9509</v>
      </c>
    </row>
    <row r="8111" spans="1:6" x14ac:dyDescent="0.25">
      <c r="A8111" t="s">
        <v>7749</v>
      </c>
      <c r="B8111" t="s">
        <v>7505</v>
      </c>
      <c r="C8111" t="s">
        <v>7506</v>
      </c>
      <c r="D8111" t="str">
        <f>HYPERLINK("http://service.sap.com/sap/support/notes/1675663","1675663")</f>
        <v>1675663</v>
      </c>
      <c r="E8111">
        <v>2</v>
      </c>
      <c r="F8111" t="s">
        <v>9510</v>
      </c>
    </row>
    <row r="8112" spans="1:6" x14ac:dyDescent="0.25">
      <c r="A8112" t="s">
        <v>7749</v>
      </c>
      <c r="B8112" t="s">
        <v>7505</v>
      </c>
      <c r="C8112" t="s">
        <v>7506</v>
      </c>
      <c r="D8112" t="str">
        <f>HYPERLINK("http://service.sap.com/sap/support/notes/1723377","1723377")</f>
        <v>1723377</v>
      </c>
      <c r="E8112">
        <v>1</v>
      </c>
      <c r="F8112" t="s">
        <v>9511</v>
      </c>
    </row>
    <row r="8113" spans="1:6" x14ac:dyDescent="0.25">
      <c r="A8113" t="s">
        <v>7749</v>
      </c>
      <c r="B8113" t="s">
        <v>9512</v>
      </c>
      <c r="C8113" t="s">
        <v>9513</v>
      </c>
      <c r="D8113" t="str">
        <f>HYPERLINK("http://service.sap.com/sap/support/notes/1653432","1653432")</f>
        <v>1653432</v>
      </c>
      <c r="E8113">
        <v>3</v>
      </c>
      <c r="F8113" t="s">
        <v>9514</v>
      </c>
    </row>
    <row r="8114" spans="1:6" x14ac:dyDescent="0.25">
      <c r="A8114" t="s">
        <v>7749</v>
      </c>
      <c r="B8114" t="s">
        <v>9512</v>
      </c>
      <c r="C8114" t="s">
        <v>9513</v>
      </c>
      <c r="D8114" t="str">
        <f>HYPERLINK("http://service.sap.com/sap/support/notes/1706562","1706562")</f>
        <v>1706562</v>
      </c>
      <c r="E8114">
        <v>4</v>
      </c>
      <c r="F8114" t="s">
        <v>9515</v>
      </c>
    </row>
    <row r="8115" spans="1:6" x14ac:dyDescent="0.25">
      <c r="A8115" t="s">
        <v>7749</v>
      </c>
      <c r="B8115" t="s">
        <v>5519</v>
      </c>
      <c r="C8115" t="s">
        <v>5520</v>
      </c>
      <c r="D8115" t="str">
        <f>HYPERLINK("http://service.sap.com/sap/support/notes/1707345","1707345")</f>
        <v>1707345</v>
      </c>
      <c r="E8115">
        <v>5</v>
      </c>
      <c r="F8115" t="s">
        <v>9516</v>
      </c>
    </row>
    <row r="8116" spans="1:6" x14ac:dyDescent="0.25">
      <c r="A8116" t="s">
        <v>7749</v>
      </c>
      <c r="B8116" t="s">
        <v>7509</v>
      </c>
      <c r="C8116" t="s">
        <v>7510</v>
      </c>
    </row>
    <row r="8117" spans="1:6" x14ac:dyDescent="0.25">
      <c r="A8117" t="s">
        <v>7749</v>
      </c>
      <c r="B8117" t="s">
        <v>7511</v>
      </c>
      <c r="C8117" t="s">
        <v>7512</v>
      </c>
      <c r="D8117" t="str">
        <f>HYPERLINK("http://service.sap.com/sap/support/notes/1697721","1697721")</f>
        <v>1697721</v>
      </c>
      <c r="E8117">
        <v>2</v>
      </c>
      <c r="F8117" t="s">
        <v>9517</v>
      </c>
    </row>
    <row r="8118" spans="1:6" x14ac:dyDescent="0.25">
      <c r="A8118" t="s">
        <v>7749</v>
      </c>
      <c r="B8118" t="s">
        <v>7511</v>
      </c>
      <c r="C8118" t="s">
        <v>7512</v>
      </c>
      <c r="D8118" t="str">
        <f>HYPERLINK("http://service.sap.com/sap/support/notes/1705218","1705218")</f>
        <v>1705218</v>
      </c>
      <c r="E8118">
        <v>3</v>
      </c>
      <c r="F8118" t="s">
        <v>9518</v>
      </c>
    </row>
    <row r="8119" spans="1:6" x14ac:dyDescent="0.25">
      <c r="A8119" t="s">
        <v>7749</v>
      </c>
      <c r="B8119" t="s">
        <v>5539</v>
      </c>
      <c r="C8119" t="s">
        <v>5540</v>
      </c>
    </row>
    <row r="8120" spans="1:6" x14ac:dyDescent="0.25">
      <c r="A8120" t="s">
        <v>7749</v>
      </c>
      <c r="B8120" t="s">
        <v>9519</v>
      </c>
      <c r="C8120" t="s">
        <v>9520</v>
      </c>
    </row>
    <row r="8121" spans="1:6" x14ac:dyDescent="0.25">
      <c r="A8121" t="s">
        <v>7749</v>
      </c>
      <c r="B8121" t="s">
        <v>9521</v>
      </c>
      <c r="C8121" t="s">
        <v>9522</v>
      </c>
    </row>
    <row r="8122" spans="1:6" x14ac:dyDescent="0.25">
      <c r="A8122" t="s">
        <v>7749</v>
      </c>
      <c r="B8122" t="s">
        <v>9523</v>
      </c>
      <c r="C8122" t="s">
        <v>9524</v>
      </c>
      <c r="D8122" t="str">
        <f>HYPERLINK("http://service.sap.com/sap/support/notes/1706509","1706509")</f>
        <v>1706509</v>
      </c>
      <c r="E8122">
        <v>2</v>
      </c>
      <c r="F8122" t="s">
        <v>9525</v>
      </c>
    </row>
    <row r="8123" spans="1:6" x14ac:dyDescent="0.25">
      <c r="A8123" t="s">
        <v>7749</v>
      </c>
      <c r="B8123" t="s">
        <v>5541</v>
      </c>
      <c r="C8123" t="s">
        <v>5542</v>
      </c>
      <c r="D8123" t="str">
        <f>HYPERLINK("http://service.sap.com/sap/support/notes/1696894","1696894")</f>
        <v>1696894</v>
      </c>
      <c r="E8123">
        <v>1</v>
      </c>
      <c r="F8123" t="s">
        <v>7520</v>
      </c>
    </row>
    <row r="8124" spans="1:6" x14ac:dyDescent="0.25">
      <c r="A8124" t="s">
        <v>7749</v>
      </c>
      <c r="B8124" t="s">
        <v>5541</v>
      </c>
      <c r="C8124" t="s">
        <v>5542</v>
      </c>
      <c r="D8124" t="str">
        <f>HYPERLINK("http://service.sap.com/sap/support/notes/1700343","1700343")</f>
        <v>1700343</v>
      </c>
      <c r="E8124">
        <v>1</v>
      </c>
      <c r="F8124" t="s">
        <v>9526</v>
      </c>
    </row>
    <row r="8125" spans="1:6" x14ac:dyDescent="0.25">
      <c r="A8125" t="s">
        <v>7749</v>
      </c>
      <c r="B8125" t="s">
        <v>5541</v>
      </c>
      <c r="C8125" t="s">
        <v>5542</v>
      </c>
      <c r="D8125" t="str">
        <f>HYPERLINK("http://service.sap.com/sap/support/notes/1700842","1700842")</f>
        <v>1700842</v>
      </c>
      <c r="E8125">
        <v>1</v>
      </c>
      <c r="F8125" t="s">
        <v>9527</v>
      </c>
    </row>
    <row r="8126" spans="1:6" x14ac:dyDescent="0.25">
      <c r="A8126" t="s">
        <v>7749</v>
      </c>
      <c r="B8126" t="s">
        <v>5541</v>
      </c>
      <c r="C8126" t="s">
        <v>5542</v>
      </c>
      <c r="D8126" t="str">
        <f>HYPERLINK("http://service.sap.com/sap/support/notes/1701904","1701904")</f>
        <v>1701904</v>
      </c>
      <c r="E8126">
        <v>1</v>
      </c>
      <c r="F8126" t="s">
        <v>9528</v>
      </c>
    </row>
    <row r="8127" spans="1:6" x14ac:dyDescent="0.25">
      <c r="A8127" t="s">
        <v>7749</v>
      </c>
      <c r="B8127" t="s">
        <v>5541</v>
      </c>
      <c r="C8127" t="s">
        <v>5542</v>
      </c>
      <c r="D8127" t="str">
        <f>HYPERLINK("http://service.sap.com/sap/support/notes/1706192","1706192")</f>
        <v>1706192</v>
      </c>
      <c r="E8127">
        <v>1</v>
      </c>
      <c r="F8127" t="s">
        <v>9529</v>
      </c>
    </row>
    <row r="8128" spans="1:6" x14ac:dyDescent="0.25">
      <c r="A8128" t="s">
        <v>7749</v>
      </c>
      <c r="B8128" t="s">
        <v>5541</v>
      </c>
      <c r="C8128" t="s">
        <v>5542</v>
      </c>
      <c r="D8128" t="str">
        <f>HYPERLINK("http://service.sap.com/sap/support/notes/1706199","1706199")</f>
        <v>1706199</v>
      </c>
      <c r="E8128">
        <v>4</v>
      </c>
      <c r="F8128" t="s">
        <v>9530</v>
      </c>
    </row>
    <row r="8129" spans="1:6" x14ac:dyDescent="0.25">
      <c r="A8129" t="s">
        <v>7749</v>
      </c>
      <c r="B8129" t="s">
        <v>5541</v>
      </c>
      <c r="C8129" t="s">
        <v>5542</v>
      </c>
      <c r="D8129" t="str">
        <f>HYPERLINK("http://service.sap.com/sap/support/notes/1716067","1716067")</f>
        <v>1716067</v>
      </c>
      <c r="E8129">
        <v>1</v>
      </c>
      <c r="F8129" t="s">
        <v>9531</v>
      </c>
    </row>
    <row r="8130" spans="1:6" x14ac:dyDescent="0.25">
      <c r="A8130" t="s">
        <v>7749</v>
      </c>
      <c r="B8130" t="s">
        <v>5541</v>
      </c>
      <c r="C8130" t="s">
        <v>5542</v>
      </c>
      <c r="D8130" t="str">
        <f>HYPERLINK("http://service.sap.com/sap/support/notes/1718215","1718215")</f>
        <v>1718215</v>
      </c>
      <c r="E8130">
        <v>1</v>
      </c>
      <c r="F8130" t="s">
        <v>9532</v>
      </c>
    </row>
    <row r="8131" spans="1:6" x14ac:dyDescent="0.25">
      <c r="A8131" t="s">
        <v>7749</v>
      </c>
      <c r="B8131" t="s">
        <v>5541</v>
      </c>
      <c r="C8131" t="s">
        <v>5542</v>
      </c>
      <c r="D8131" t="str">
        <f>HYPERLINK("http://service.sap.com/sap/support/notes/1723004","1723004")</f>
        <v>1723004</v>
      </c>
      <c r="E8131">
        <v>1</v>
      </c>
      <c r="F8131" t="s">
        <v>9533</v>
      </c>
    </row>
    <row r="8132" spans="1:6" x14ac:dyDescent="0.25">
      <c r="A8132" t="s">
        <v>7749</v>
      </c>
      <c r="B8132" t="s">
        <v>5541</v>
      </c>
      <c r="C8132" t="s">
        <v>5542</v>
      </c>
      <c r="D8132" t="str">
        <f>HYPERLINK("http://service.sap.com/sap/support/notes/1725421","1725421")</f>
        <v>1725421</v>
      </c>
      <c r="E8132">
        <v>3</v>
      </c>
      <c r="F8132" t="s">
        <v>9534</v>
      </c>
    </row>
    <row r="8133" spans="1:6" x14ac:dyDescent="0.25">
      <c r="A8133" t="s">
        <v>7749</v>
      </c>
      <c r="B8133" t="s">
        <v>5541</v>
      </c>
      <c r="C8133" t="s">
        <v>5542</v>
      </c>
      <c r="D8133" t="str">
        <f>HYPERLINK("http://service.sap.com/sap/support/notes/1725517","1725517")</f>
        <v>1725517</v>
      </c>
      <c r="E8133">
        <v>2</v>
      </c>
      <c r="F8133" t="s">
        <v>9535</v>
      </c>
    </row>
    <row r="8134" spans="1:6" x14ac:dyDescent="0.25">
      <c r="A8134" t="s">
        <v>7749</v>
      </c>
      <c r="B8134" t="s">
        <v>5541</v>
      </c>
      <c r="C8134" t="s">
        <v>5542</v>
      </c>
      <c r="D8134" t="str">
        <f>HYPERLINK("http://service.sap.com/sap/support/notes/1727016","1727016")</f>
        <v>1727016</v>
      </c>
      <c r="E8134">
        <v>1</v>
      </c>
      <c r="F8134" t="s">
        <v>9536</v>
      </c>
    </row>
    <row r="8135" spans="1:6" x14ac:dyDescent="0.25">
      <c r="A8135" t="s">
        <v>7749</v>
      </c>
      <c r="B8135" t="s">
        <v>5552</v>
      </c>
      <c r="C8135" t="s">
        <v>5553</v>
      </c>
      <c r="D8135" t="str">
        <f>HYPERLINK("http://service.sap.com/sap/support/notes/1636064","1636064")</f>
        <v>1636064</v>
      </c>
      <c r="E8135">
        <v>1</v>
      </c>
      <c r="F8135" t="s">
        <v>5554</v>
      </c>
    </row>
    <row r="8136" spans="1:6" x14ac:dyDescent="0.25">
      <c r="A8136" t="s">
        <v>7749</v>
      </c>
      <c r="B8136" t="s">
        <v>5552</v>
      </c>
      <c r="C8136" t="s">
        <v>5553</v>
      </c>
      <c r="D8136" t="str">
        <f>HYPERLINK("http://service.sap.com/sap/support/notes/1701728","1701728")</f>
        <v>1701728</v>
      </c>
      <c r="E8136">
        <v>1</v>
      </c>
      <c r="F8136" t="s">
        <v>9537</v>
      </c>
    </row>
    <row r="8137" spans="1:6" x14ac:dyDescent="0.25">
      <c r="A8137" t="s">
        <v>7749</v>
      </c>
      <c r="B8137" t="s">
        <v>5552</v>
      </c>
      <c r="C8137" t="s">
        <v>5553</v>
      </c>
      <c r="D8137" t="str">
        <f>HYPERLINK("http://service.sap.com/sap/support/notes/1705454","1705454")</f>
        <v>1705454</v>
      </c>
      <c r="E8137">
        <v>1</v>
      </c>
      <c r="F8137" t="s">
        <v>9538</v>
      </c>
    </row>
    <row r="8138" spans="1:6" x14ac:dyDescent="0.25">
      <c r="A8138" t="s">
        <v>7749</v>
      </c>
      <c r="B8138" t="s">
        <v>5552</v>
      </c>
      <c r="C8138" t="s">
        <v>5553</v>
      </c>
      <c r="D8138" t="str">
        <f>HYPERLINK("http://service.sap.com/sap/support/notes/1713328","1713328")</f>
        <v>1713328</v>
      </c>
      <c r="E8138">
        <v>2</v>
      </c>
      <c r="F8138" t="s">
        <v>9539</v>
      </c>
    </row>
    <row r="8139" spans="1:6" x14ac:dyDescent="0.25">
      <c r="A8139" t="s">
        <v>7749</v>
      </c>
      <c r="B8139" t="s">
        <v>5552</v>
      </c>
      <c r="C8139" t="s">
        <v>5553</v>
      </c>
      <c r="D8139" t="str">
        <f>HYPERLINK("http://service.sap.com/sap/support/notes/1715708","1715708")</f>
        <v>1715708</v>
      </c>
      <c r="E8139">
        <v>1</v>
      </c>
      <c r="F8139" t="s">
        <v>9540</v>
      </c>
    </row>
    <row r="8140" spans="1:6" x14ac:dyDescent="0.25">
      <c r="A8140" t="s">
        <v>7749</v>
      </c>
      <c r="B8140" t="s">
        <v>5552</v>
      </c>
      <c r="C8140" t="s">
        <v>5553</v>
      </c>
      <c r="D8140" t="str">
        <f>HYPERLINK("http://service.sap.com/sap/support/notes/1723855","1723855")</f>
        <v>1723855</v>
      </c>
      <c r="E8140">
        <v>2</v>
      </c>
      <c r="F8140" t="s">
        <v>9541</v>
      </c>
    </row>
    <row r="8141" spans="1:6" x14ac:dyDescent="0.25">
      <c r="A8141" t="s">
        <v>7749</v>
      </c>
      <c r="B8141" t="s">
        <v>9542</v>
      </c>
      <c r="C8141" t="s">
        <v>9543</v>
      </c>
    </row>
    <row r="8142" spans="1:6" x14ac:dyDescent="0.25">
      <c r="A8142" t="s">
        <v>7749</v>
      </c>
      <c r="B8142" t="s">
        <v>9544</v>
      </c>
      <c r="C8142" t="s">
        <v>9545</v>
      </c>
    </row>
    <row r="8143" spans="1:6" x14ac:dyDescent="0.25">
      <c r="A8143" t="s">
        <v>7749</v>
      </c>
      <c r="B8143" t="s">
        <v>9546</v>
      </c>
      <c r="C8143" t="s">
        <v>632</v>
      </c>
      <c r="D8143" t="str">
        <f>HYPERLINK("http://service.sap.com/sap/support/notes/1704773","1704773")</f>
        <v>1704773</v>
      </c>
      <c r="E8143">
        <v>1</v>
      </c>
      <c r="F8143" t="s">
        <v>9547</v>
      </c>
    </row>
    <row r="8144" spans="1:6" x14ac:dyDescent="0.25">
      <c r="A8144" t="s">
        <v>7749</v>
      </c>
      <c r="B8144" t="s">
        <v>1356</v>
      </c>
      <c r="C8144" t="s">
        <v>9548</v>
      </c>
      <c r="D8144" t="str">
        <f>HYPERLINK("http://service.sap.com/sap/support/notes/1717933","1717933")</f>
        <v>1717933</v>
      </c>
      <c r="E8144">
        <v>1</v>
      </c>
      <c r="F8144" t="s">
        <v>9549</v>
      </c>
    </row>
    <row r="8145" spans="1:6" x14ac:dyDescent="0.25">
      <c r="A8145" t="s">
        <v>7749</v>
      </c>
      <c r="B8145" t="s">
        <v>5563</v>
      </c>
      <c r="C8145" t="s">
        <v>9550</v>
      </c>
      <c r="D8145" t="str">
        <f>HYPERLINK("http://service.sap.com/sap/support/notes/1710375","1710375")</f>
        <v>1710375</v>
      </c>
      <c r="E8145">
        <v>1</v>
      </c>
      <c r="F8145" t="s">
        <v>9551</v>
      </c>
    </row>
    <row r="8146" spans="1:6" x14ac:dyDescent="0.25">
      <c r="A8146" t="s">
        <v>7749</v>
      </c>
      <c r="B8146" t="s">
        <v>5568</v>
      </c>
      <c r="C8146" t="s">
        <v>5569</v>
      </c>
    </row>
    <row r="8147" spans="1:6" x14ac:dyDescent="0.25">
      <c r="A8147" t="s">
        <v>7749</v>
      </c>
      <c r="B8147" t="s">
        <v>5570</v>
      </c>
      <c r="C8147" t="s">
        <v>5571</v>
      </c>
      <c r="D8147" t="str">
        <f>HYPERLINK("http://service.sap.com/sap/support/notes/1659983","1659983")</f>
        <v>1659983</v>
      </c>
      <c r="E8147">
        <v>1</v>
      </c>
      <c r="F8147" t="s">
        <v>7535</v>
      </c>
    </row>
    <row r="8148" spans="1:6" x14ac:dyDescent="0.25">
      <c r="A8148" t="s">
        <v>7749</v>
      </c>
      <c r="B8148" t="s">
        <v>5570</v>
      </c>
      <c r="C8148" t="s">
        <v>5571</v>
      </c>
      <c r="D8148" t="str">
        <f>HYPERLINK("http://service.sap.com/sap/support/notes/1701040","1701040")</f>
        <v>1701040</v>
      </c>
      <c r="E8148">
        <v>1</v>
      </c>
      <c r="F8148" t="s">
        <v>9552</v>
      </c>
    </row>
    <row r="8149" spans="1:6" x14ac:dyDescent="0.25">
      <c r="A8149" t="s">
        <v>7749</v>
      </c>
      <c r="B8149" t="s">
        <v>5570</v>
      </c>
      <c r="C8149" t="s">
        <v>5571</v>
      </c>
      <c r="D8149" t="str">
        <f>HYPERLINK("http://service.sap.com/sap/support/notes/1703892","1703892")</f>
        <v>1703892</v>
      </c>
      <c r="E8149">
        <v>1</v>
      </c>
      <c r="F8149" t="s">
        <v>9553</v>
      </c>
    </row>
    <row r="8150" spans="1:6" x14ac:dyDescent="0.25">
      <c r="A8150" t="s">
        <v>7749</v>
      </c>
      <c r="B8150" t="s">
        <v>5570</v>
      </c>
      <c r="C8150" t="s">
        <v>5571</v>
      </c>
      <c r="D8150" t="str">
        <f>HYPERLINK("http://service.sap.com/sap/support/notes/1708077","1708077")</f>
        <v>1708077</v>
      </c>
      <c r="E8150">
        <v>1</v>
      </c>
      <c r="F8150" t="s">
        <v>9554</v>
      </c>
    </row>
    <row r="8151" spans="1:6" x14ac:dyDescent="0.25">
      <c r="A8151" t="s">
        <v>7749</v>
      </c>
      <c r="B8151" t="s">
        <v>5575</v>
      </c>
      <c r="C8151" t="s">
        <v>5576</v>
      </c>
      <c r="D8151" t="str">
        <f>HYPERLINK("http://service.sap.com/sap/support/notes/1681954","1681954")</f>
        <v>1681954</v>
      </c>
      <c r="E8151">
        <v>6</v>
      </c>
      <c r="F8151" t="s">
        <v>9555</v>
      </c>
    </row>
    <row r="8152" spans="1:6" x14ac:dyDescent="0.25">
      <c r="A8152" t="s">
        <v>7749</v>
      </c>
      <c r="B8152" t="s">
        <v>5575</v>
      </c>
      <c r="C8152" t="s">
        <v>5576</v>
      </c>
      <c r="D8152" t="str">
        <f>HYPERLINK("http://service.sap.com/sap/support/notes/1700494","1700494")</f>
        <v>1700494</v>
      </c>
      <c r="E8152">
        <v>5</v>
      </c>
      <c r="F8152" t="s">
        <v>9556</v>
      </c>
    </row>
    <row r="8153" spans="1:6" x14ac:dyDescent="0.25">
      <c r="A8153" t="s">
        <v>7749</v>
      </c>
      <c r="B8153" t="s">
        <v>5575</v>
      </c>
      <c r="C8153" t="s">
        <v>5576</v>
      </c>
      <c r="D8153" t="str">
        <f>HYPERLINK("http://service.sap.com/sap/support/notes/1714990","1714990")</f>
        <v>1714990</v>
      </c>
      <c r="E8153">
        <v>3</v>
      </c>
      <c r="F8153" t="s">
        <v>9557</v>
      </c>
    </row>
    <row r="8154" spans="1:6" x14ac:dyDescent="0.25">
      <c r="A8154" t="s">
        <v>7749</v>
      </c>
      <c r="B8154" t="s">
        <v>5579</v>
      </c>
      <c r="C8154" t="s">
        <v>5580</v>
      </c>
      <c r="D8154" t="str">
        <f>HYPERLINK("http://service.sap.com/sap/support/notes/1719868","1719868")</f>
        <v>1719868</v>
      </c>
      <c r="E8154">
        <v>1</v>
      </c>
      <c r="F8154" t="s">
        <v>9558</v>
      </c>
    </row>
    <row r="8155" spans="1:6" x14ac:dyDescent="0.25">
      <c r="A8155" t="s">
        <v>7749</v>
      </c>
      <c r="B8155" t="s">
        <v>1358</v>
      </c>
      <c r="C8155" t="s">
        <v>1359</v>
      </c>
      <c r="D8155" t="str">
        <f>HYPERLINK("http://service.sap.com/sap/support/notes/1575991","1575991")</f>
        <v>1575991</v>
      </c>
      <c r="E8155">
        <v>3</v>
      </c>
      <c r="F8155" t="s">
        <v>9559</v>
      </c>
    </row>
    <row r="8156" spans="1:6" x14ac:dyDescent="0.25">
      <c r="A8156" t="s">
        <v>7749</v>
      </c>
      <c r="B8156" t="s">
        <v>7541</v>
      </c>
      <c r="C8156" t="s">
        <v>7542</v>
      </c>
      <c r="D8156" t="str">
        <f>HYPERLINK("http://service.sap.com/sap/support/notes/1694071","1694071")</f>
        <v>1694071</v>
      </c>
      <c r="E8156">
        <v>1</v>
      </c>
      <c r="F8156" t="s">
        <v>9560</v>
      </c>
    </row>
    <row r="8157" spans="1:6" x14ac:dyDescent="0.25">
      <c r="A8157" t="s">
        <v>7749</v>
      </c>
      <c r="B8157" t="s">
        <v>39</v>
      </c>
      <c r="C8157" t="s">
        <v>40</v>
      </c>
    </row>
    <row r="8158" spans="1:6" x14ac:dyDescent="0.25">
      <c r="A8158" t="s">
        <v>7749</v>
      </c>
      <c r="B8158" t="s">
        <v>1368</v>
      </c>
      <c r="C8158" t="s">
        <v>1369</v>
      </c>
    </row>
    <row r="8159" spans="1:6" x14ac:dyDescent="0.25">
      <c r="A8159" t="s">
        <v>7749</v>
      </c>
      <c r="B8159" t="s">
        <v>1370</v>
      </c>
      <c r="C8159" t="s">
        <v>1371</v>
      </c>
      <c r="D8159" t="str">
        <f>HYPERLINK("http://service.sap.com/sap/support/notes/1344872","1344872")</f>
        <v>1344872</v>
      </c>
      <c r="E8159">
        <v>1</v>
      </c>
      <c r="F8159" t="s">
        <v>5585</v>
      </c>
    </row>
    <row r="8160" spans="1:6" x14ac:dyDescent="0.25">
      <c r="A8160" t="s">
        <v>7749</v>
      </c>
      <c r="B8160" t="s">
        <v>1370</v>
      </c>
      <c r="C8160" t="s">
        <v>1371</v>
      </c>
      <c r="D8160" t="str">
        <f>HYPERLINK("http://service.sap.com/sap/support/notes/1644039","1644039")</f>
        <v>1644039</v>
      </c>
      <c r="E8160">
        <v>4</v>
      </c>
      <c r="F8160" t="s">
        <v>9561</v>
      </c>
    </row>
    <row r="8161" spans="1:6" x14ac:dyDescent="0.25">
      <c r="A8161" t="s">
        <v>7749</v>
      </c>
      <c r="B8161" t="s">
        <v>1370</v>
      </c>
      <c r="C8161" t="s">
        <v>1371</v>
      </c>
      <c r="D8161" t="str">
        <f>HYPERLINK("http://service.sap.com/sap/support/notes/1684958","1684958")</f>
        <v>1684958</v>
      </c>
      <c r="E8161">
        <v>2</v>
      </c>
      <c r="F8161" t="s">
        <v>9562</v>
      </c>
    </row>
    <row r="8162" spans="1:6" x14ac:dyDescent="0.25">
      <c r="A8162" t="s">
        <v>7749</v>
      </c>
      <c r="B8162" t="s">
        <v>1370</v>
      </c>
      <c r="C8162" t="s">
        <v>1371</v>
      </c>
      <c r="D8162" t="str">
        <f>HYPERLINK("http://service.sap.com/sap/support/notes/1687877","1687877")</f>
        <v>1687877</v>
      </c>
      <c r="E8162">
        <v>3</v>
      </c>
      <c r="F8162" t="s">
        <v>9563</v>
      </c>
    </row>
    <row r="8163" spans="1:6" x14ac:dyDescent="0.25">
      <c r="A8163" t="s">
        <v>7749</v>
      </c>
      <c r="B8163" t="s">
        <v>1370</v>
      </c>
      <c r="C8163" t="s">
        <v>1371</v>
      </c>
      <c r="D8163" t="str">
        <f>HYPERLINK("http://service.sap.com/sap/support/notes/1702248","1702248")</f>
        <v>1702248</v>
      </c>
      <c r="E8163">
        <v>1</v>
      </c>
      <c r="F8163" t="s">
        <v>9564</v>
      </c>
    </row>
    <row r="8164" spans="1:6" x14ac:dyDescent="0.25">
      <c r="A8164" t="s">
        <v>7749</v>
      </c>
      <c r="B8164" t="s">
        <v>1370</v>
      </c>
      <c r="C8164" t="s">
        <v>1371</v>
      </c>
      <c r="D8164" t="str">
        <f>HYPERLINK("http://service.sap.com/sap/support/notes/1703850","1703850")</f>
        <v>1703850</v>
      </c>
      <c r="E8164">
        <v>1</v>
      </c>
      <c r="F8164" t="s">
        <v>9565</v>
      </c>
    </row>
    <row r="8165" spans="1:6" x14ac:dyDescent="0.25">
      <c r="A8165" t="s">
        <v>7749</v>
      </c>
      <c r="B8165" t="s">
        <v>1372</v>
      </c>
      <c r="C8165" t="s">
        <v>1373</v>
      </c>
      <c r="D8165" t="str">
        <f>HYPERLINK("http://service.sap.com/sap/support/notes/1678549","1678549")</f>
        <v>1678549</v>
      </c>
      <c r="E8165">
        <v>6</v>
      </c>
      <c r="F8165" t="s">
        <v>9566</v>
      </c>
    </row>
    <row r="8166" spans="1:6" x14ac:dyDescent="0.25">
      <c r="A8166" t="s">
        <v>7749</v>
      </c>
      <c r="B8166" t="s">
        <v>1372</v>
      </c>
      <c r="C8166" t="s">
        <v>1373</v>
      </c>
      <c r="D8166" t="str">
        <f>HYPERLINK("http://service.sap.com/sap/support/notes/1688941","1688941")</f>
        <v>1688941</v>
      </c>
      <c r="E8166">
        <v>2</v>
      </c>
      <c r="F8166" t="s">
        <v>9567</v>
      </c>
    </row>
    <row r="8167" spans="1:6" x14ac:dyDescent="0.25">
      <c r="A8167" t="s">
        <v>7749</v>
      </c>
      <c r="B8167" t="s">
        <v>1372</v>
      </c>
      <c r="C8167" t="s">
        <v>1373</v>
      </c>
      <c r="D8167" t="str">
        <f>HYPERLINK("http://service.sap.com/sap/support/notes/1692801","1692801")</f>
        <v>1692801</v>
      </c>
      <c r="E8167">
        <v>2</v>
      </c>
      <c r="F8167" t="s">
        <v>9568</v>
      </c>
    </row>
    <row r="8168" spans="1:6" x14ac:dyDescent="0.25">
      <c r="A8168" t="s">
        <v>7749</v>
      </c>
      <c r="B8168" t="s">
        <v>1372</v>
      </c>
      <c r="C8168" t="s">
        <v>1373</v>
      </c>
      <c r="D8168" t="str">
        <f>HYPERLINK("http://service.sap.com/sap/support/notes/1710656","1710656")</f>
        <v>1710656</v>
      </c>
      <c r="E8168">
        <v>2</v>
      </c>
      <c r="F8168" t="s">
        <v>9569</v>
      </c>
    </row>
    <row r="8169" spans="1:6" x14ac:dyDescent="0.25">
      <c r="A8169" t="s">
        <v>7749</v>
      </c>
      <c r="B8169" t="s">
        <v>7559</v>
      </c>
      <c r="C8169" t="s">
        <v>7560</v>
      </c>
      <c r="D8169" t="str">
        <f>HYPERLINK("http://service.sap.com/sap/support/notes/1686487","1686487")</f>
        <v>1686487</v>
      </c>
      <c r="E8169">
        <v>2</v>
      </c>
      <c r="F8169" t="s">
        <v>9570</v>
      </c>
    </row>
    <row r="8170" spans="1:6" x14ac:dyDescent="0.25">
      <c r="A8170" t="s">
        <v>7749</v>
      </c>
      <c r="B8170" t="s">
        <v>7559</v>
      </c>
      <c r="C8170" t="s">
        <v>7560</v>
      </c>
      <c r="D8170" t="str">
        <f>HYPERLINK("http://service.sap.com/sap/support/notes/1690180","1690180")</f>
        <v>1690180</v>
      </c>
      <c r="E8170">
        <v>2</v>
      </c>
      <c r="F8170" t="s">
        <v>9571</v>
      </c>
    </row>
    <row r="8171" spans="1:6" x14ac:dyDescent="0.25">
      <c r="A8171" t="s">
        <v>7749</v>
      </c>
      <c r="B8171" t="s">
        <v>7559</v>
      </c>
      <c r="C8171" t="s">
        <v>7560</v>
      </c>
      <c r="D8171" t="str">
        <f>HYPERLINK("http://service.sap.com/sap/support/notes/1700541","1700541")</f>
        <v>1700541</v>
      </c>
      <c r="E8171">
        <v>2</v>
      </c>
      <c r="F8171" t="s">
        <v>9572</v>
      </c>
    </row>
    <row r="8172" spans="1:6" x14ac:dyDescent="0.25">
      <c r="A8172" t="s">
        <v>7749</v>
      </c>
      <c r="B8172" t="s">
        <v>1379</v>
      </c>
      <c r="C8172" t="s">
        <v>1380</v>
      </c>
      <c r="D8172" t="str">
        <f>HYPERLINK("http://service.sap.com/sap/support/notes/1596860","1596860")</f>
        <v>1596860</v>
      </c>
      <c r="E8172">
        <v>3</v>
      </c>
      <c r="F8172" t="s">
        <v>9573</v>
      </c>
    </row>
    <row r="8173" spans="1:6" x14ac:dyDescent="0.25">
      <c r="A8173" t="s">
        <v>7749</v>
      </c>
      <c r="B8173" t="s">
        <v>1379</v>
      </c>
      <c r="C8173" t="s">
        <v>1380</v>
      </c>
      <c r="D8173" t="str">
        <f>HYPERLINK("http://service.sap.com/sap/support/notes/1630699","1630699")</f>
        <v>1630699</v>
      </c>
      <c r="E8173">
        <v>3</v>
      </c>
      <c r="F8173" t="s">
        <v>9574</v>
      </c>
    </row>
    <row r="8174" spans="1:6" x14ac:dyDescent="0.25">
      <c r="A8174" t="s">
        <v>7749</v>
      </c>
      <c r="B8174" t="s">
        <v>1379</v>
      </c>
      <c r="C8174" t="s">
        <v>1380</v>
      </c>
      <c r="D8174" t="str">
        <f>HYPERLINK("http://service.sap.com/sap/support/notes/1679386","1679386")</f>
        <v>1679386</v>
      </c>
      <c r="E8174">
        <v>1</v>
      </c>
      <c r="F8174" t="s">
        <v>9575</v>
      </c>
    </row>
    <row r="8175" spans="1:6" x14ac:dyDescent="0.25">
      <c r="A8175" t="s">
        <v>7749</v>
      </c>
      <c r="B8175" t="s">
        <v>1379</v>
      </c>
      <c r="C8175" t="s">
        <v>1380</v>
      </c>
      <c r="D8175" t="str">
        <f>HYPERLINK("http://service.sap.com/sap/support/notes/1679459","1679459")</f>
        <v>1679459</v>
      </c>
      <c r="E8175">
        <v>1</v>
      </c>
      <c r="F8175" t="s">
        <v>9576</v>
      </c>
    </row>
    <row r="8176" spans="1:6" x14ac:dyDescent="0.25">
      <c r="A8176" t="s">
        <v>7749</v>
      </c>
      <c r="B8176" t="s">
        <v>1379</v>
      </c>
      <c r="C8176" t="s">
        <v>1380</v>
      </c>
      <c r="D8176" t="str">
        <f>HYPERLINK("http://service.sap.com/sap/support/notes/1683835","1683835")</f>
        <v>1683835</v>
      </c>
      <c r="E8176">
        <v>1</v>
      </c>
      <c r="F8176" t="s">
        <v>9577</v>
      </c>
    </row>
    <row r="8177" spans="1:6" x14ac:dyDescent="0.25">
      <c r="A8177" t="s">
        <v>7749</v>
      </c>
      <c r="B8177" t="s">
        <v>1379</v>
      </c>
      <c r="C8177" t="s">
        <v>1380</v>
      </c>
      <c r="D8177" t="str">
        <f>HYPERLINK("http://service.sap.com/sap/support/notes/1690348","1690348")</f>
        <v>1690348</v>
      </c>
      <c r="E8177">
        <v>3</v>
      </c>
      <c r="F8177" t="s">
        <v>9578</v>
      </c>
    </row>
    <row r="8178" spans="1:6" x14ac:dyDescent="0.25">
      <c r="A8178" t="s">
        <v>7749</v>
      </c>
      <c r="B8178" t="s">
        <v>1379</v>
      </c>
      <c r="C8178" t="s">
        <v>1380</v>
      </c>
      <c r="D8178" t="str">
        <f>HYPERLINK("http://service.sap.com/sap/support/notes/1694374","1694374")</f>
        <v>1694374</v>
      </c>
      <c r="E8178">
        <v>3</v>
      </c>
      <c r="F8178" t="s">
        <v>9579</v>
      </c>
    </row>
    <row r="8179" spans="1:6" x14ac:dyDescent="0.25">
      <c r="A8179" t="s">
        <v>7749</v>
      </c>
      <c r="B8179" t="s">
        <v>1379</v>
      </c>
      <c r="C8179" t="s">
        <v>1380</v>
      </c>
      <c r="D8179" t="str">
        <f>HYPERLINK("http://service.sap.com/sap/support/notes/1697554","1697554")</f>
        <v>1697554</v>
      </c>
      <c r="E8179">
        <v>1</v>
      </c>
      <c r="F8179" t="s">
        <v>9580</v>
      </c>
    </row>
    <row r="8180" spans="1:6" x14ac:dyDescent="0.25">
      <c r="A8180" t="s">
        <v>7749</v>
      </c>
      <c r="B8180" t="s">
        <v>1379</v>
      </c>
      <c r="C8180" t="s">
        <v>1380</v>
      </c>
      <c r="D8180" t="str">
        <f>HYPERLINK("http://service.sap.com/sap/support/notes/1698684","1698684")</f>
        <v>1698684</v>
      </c>
      <c r="E8180">
        <v>2</v>
      </c>
      <c r="F8180" t="s">
        <v>9581</v>
      </c>
    </row>
    <row r="8181" spans="1:6" x14ac:dyDescent="0.25">
      <c r="A8181" t="s">
        <v>7749</v>
      </c>
      <c r="B8181" t="s">
        <v>1379</v>
      </c>
      <c r="C8181" t="s">
        <v>1380</v>
      </c>
      <c r="D8181" t="str">
        <f>HYPERLINK("http://service.sap.com/sap/support/notes/1699985","1699985")</f>
        <v>1699985</v>
      </c>
      <c r="E8181">
        <v>3</v>
      </c>
      <c r="F8181" t="s">
        <v>9582</v>
      </c>
    </row>
    <row r="8182" spans="1:6" x14ac:dyDescent="0.25">
      <c r="A8182" t="s">
        <v>7749</v>
      </c>
      <c r="B8182" t="s">
        <v>1379</v>
      </c>
      <c r="C8182" t="s">
        <v>1380</v>
      </c>
      <c r="D8182" t="str">
        <f>HYPERLINK("http://service.sap.com/sap/support/notes/1699986","1699986")</f>
        <v>1699986</v>
      </c>
      <c r="E8182">
        <v>1</v>
      </c>
      <c r="F8182" t="s">
        <v>9583</v>
      </c>
    </row>
    <row r="8183" spans="1:6" x14ac:dyDescent="0.25">
      <c r="A8183" t="s">
        <v>7749</v>
      </c>
      <c r="B8183" t="s">
        <v>1379</v>
      </c>
      <c r="C8183" t="s">
        <v>1380</v>
      </c>
      <c r="D8183" t="str">
        <f>HYPERLINK("http://service.sap.com/sap/support/notes/1705322","1705322")</f>
        <v>1705322</v>
      </c>
      <c r="E8183">
        <v>2</v>
      </c>
      <c r="F8183" t="s">
        <v>9584</v>
      </c>
    </row>
    <row r="8184" spans="1:6" x14ac:dyDescent="0.25">
      <c r="A8184" t="s">
        <v>7749</v>
      </c>
      <c r="B8184" t="s">
        <v>1379</v>
      </c>
      <c r="C8184" t="s">
        <v>1380</v>
      </c>
      <c r="D8184" t="str">
        <f>HYPERLINK("http://service.sap.com/sap/support/notes/1706052","1706052")</f>
        <v>1706052</v>
      </c>
      <c r="E8184">
        <v>3</v>
      </c>
      <c r="F8184" t="s">
        <v>9585</v>
      </c>
    </row>
    <row r="8185" spans="1:6" x14ac:dyDescent="0.25">
      <c r="A8185" t="s">
        <v>7749</v>
      </c>
      <c r="B8185" t="s">
        <v>1379</v>
      </c>
      <c r="C8185" t="s">
        <v>1380</v>
      </c>
      <c r="D8185" t="str">
        <f>HYPERLINK("http://service.sap.com/sap/support/notes/1708107","1708107")</f>
        <v>1708107</v>
      </c>
      <c r="E8185">
        <v>1</v>
      </c>
      <c r="F8185" t="s">
        <v>9586</v>
      </c>
    </row>
    <row r="8186" spans="1:6" x14ac:dyDescent="0.25">
      <c r="A8186" t="s">
        <v>7749</v>
      </c>
      <c r="B8186" t="s">
        <v>1379</v>
      </c>
      <c r="C8186" t="s">
        <v>1380</v>
      </c>
      <c r="D8186" t="str">
        <f>HYPERLINK("http://service.sap.com/sap/support/notes/1713435","1713435")</f>
        <v>1713435</v>
      </c>
      <c r="E8186">
        <v>1</v>
      </c>
      <c r="F8186" t="s">
        <v>9587</v>
      </c>
    </row>
    <row r="8187" spans="1:6" x14ac:dyDescent="0.25">
      <c r="A8187" t="s">
        <v>7749</v>
      </c>
      <c r="B8187" t="s">
        <v>1379</v>
      </c>
      <c r="C8187" t="s">
        <v>1380</v>
      </c>
      <c r="D8187" t="str">
        <f>HYPERLINK("http://service.sap.com/sap/support/notes/1713458","1713458")</f>
        <v>1713458</v>
      </c>
      <c r="E8187">
        <v>1</v>
      </c>
      <c r="F8187" t="s">
        <v>9588</v>
      </c>
    </row>
    <row r="8188" spans="1:6" x14ac:dyDescent="0.25">
      <c r="A8188" t="s">
        <v>7749</v>
      </c>
      <c r="B8188" t="s">
        <v>1379</v>
      </c>
      <c r="C8188" t="s">
        <v>1380</v>
      </c>
      <c r="D8188" t="str">
        <f>HYPERLINK("http://service.sap.com/sap/support/notes/1714116","1714116")</f>
        <v>1714116</v>
      </c>
      <c r="E8188">
        <v>1</v>
      </c>
      <c r="F8188" t="s">
        <v>9589</v>
      </c>
    </row>
    <row r="8189" spans="1:6" x14ac:dyDescent="0.25">
      <c r="A8189" t="s">
        <v>7749</v>
      </c>
      <c r="B8189" t="s">
        <v>1379</v>
      </c>
      <c r="C8189" t="s">
        <v>1380</v>
      </c>
      <c r="D8189" t="str">
        <f>HYPERLINK("http://service.sap.com/sap/support/notes/1714117","1714117")</f>
        <v>1714117</v>
      </c>
      <c r="E8189">
        <v>1</v>
      </c>
      <c r="F8189" t="s">
        <v>9590</v>
      </c>
    </row>
    <row r="8190" spans="1:6" x14ac:dyDescent="0.25">
      <c r="A8190" t="s">
        <v>7749</v>
      </c>
      <c r="B8190" t="s">
        <v>1379</v>
      </c>
      <c r="C8190" t="s">
        <v>1380</v>
      </c>
      <c r="D8190" t="str">
        <f>HYPERLINK("http://service.sap.com/sap/support/notes/1718564","1718564")</f>
        <v>1718564</v>
      </c>
      <c r="E8190">
        <v>1</v>
      </c>
      <c r="F8190" t="s">
        <v>9591</v>
      </c>
    </row>
    <row r="8191" spans="1:6" x14ac:dyDescent="0.25">
      <c r="A8191" t="s">
        <v>7749</v>
      </c>
      <c r="B8191" t="s">
        <v>1379</v>
      </c>
      <c r="C8191" t="s">
        <v>1380</v>
      </c>
      <c r="D8191" t="str">
        <f>HYPERLINK("http://service.sap.com/sap/support/notes/1720361","1720361")</f>
        <v>1720361</v>
      </c>
      <c r="E8191">
        <v>1</v>
      </c>
      <c r="F8191" t="s">
        <v>9592</v>
      </c>
    </row>
    <row r="8192" spans="1:6" x14ac:dyDescent="0.25">
      <c r="A8192" t="s">
        <v>7749</v>
      </c>
      <c r="B8192" t="s">
        <v>1379</v>
      </c>
      <c r="C8192" t="s">
        <v>1380</v>
      </c>
      <c r="D8192" t="str">
        <f>HYPERLINK("http://service.sap.com/sap/support/notes/1722320","1722320")</f>
        <v>1722320</v>
      </c>
      <c r="E8192">
        <v>1</v>
      </c>
      <c r="F8192" t="s">
        <v>9593</v>
      </c>
    </row>
    <row r="8193" spans="1:6" x14ac:dyDescent="0.25">
      <c r="A8193" t="s">
        <v>7749</v>
      </c>
      <c r="B8193" t="s">
        <v>1379</v>
      </c>
      <c r="C8193" t="s">
        <v>1380</v>
      </c>
      <c r="D8193" t="str">
        <f>HYPERLINK("http://service.sap.com/sap/support/notes/1723415","1723415")</f>
        <v>1723415</v>
      </c>
      <c r="E8193">
        <v>1</v>
      </c>
      <c r="F8193" t="s">
        <v>9594</v>
      </c>
    </row>
    <row r="8194" spans="1:6" x14ac:dyDescent="0.25">
      <c r="A8194" t="s">
        <v>7749</v>
      </c>
      <c r="B8194" t="s">
        <v>1379</v>
      </c>
      <c r="C8194" t="s">
        <v>1380</v>
      </c>
      <c r="D8194" t="str">
        <f>HYPERLINK("http://service.sap.com/sap/support/notes/1724394","1724394")</f>
        <v>1724394</v>
      </c>
      <c r="E8194">
        <v>1</v>
      </c>
      <c r="F8194" t="s">
        <v>9595</v>
      </c>
    </row>
    <row r="8195" spans="1:6" x14ac:dyDescent="0.25">
      <c r="A8195" t="s">
        <v>7749</v>
      </c>
      <c r="B8195" t="s">
        <v>1379</v>
      </c>
      <c r="C8195" t="s">
        <v>1380</v>
      </c>
      <c r="D8195" t="str">
        <f>HYPERLINK("http://service.sap.com/sap/support/notes/1725584","1725584")</f>
        <v>1725584</v>
      </c>
      <c r="E8195">
        <v>1</v>
      </c>
      <c r="F8195" t="s">
        <v>9596</v>
      </c>
    </row>
    <row r="8196" spans="1:6" x14ac:dyDescent="0.25">
      <c r="A8196" t="s">
        <v>7749</v>
      </c>
      <c r="B8196" t="s">
        <v>5622</v>
      </c>
      <c r="C8196" t="s">
        <v>5623</v>
      </c>
      <c r="D8196" t="str">
        <f>HYPERLINK("http://service.sap.com/sap/support/notes/1687624","1687624")</f>
        <v>1687624</v>
      </c>
      <c r="E8196">
        <v>2</v>
      </c>
      <c r="F8196" t="s">
        <v>9597</v>
      </c>
    </row>
    <row r="8197" spans="1:6" x14ac:dyDescent="0.25">
      <c r="A8197" t="s">
        <v>7749</v>
      </c>
      <c r="B8197" t="s">
        <v>5622</v>
      </c>
      <c r="C8197" t="s">
        <v>5623</v>
      </c>
      <c r="D8197" t="str">
        <f>HYPERLINK("http://service.sap.com/sap/support/notes/1702609","1702609")</f>
        <v>1702609</v>
      </c>
      <c r="E8197">
        <v>1</v>
      </c>
      <c r="F8197" t="s">
        <v>9598</v>
      </c>
    </row>
    <row r="8198" spans="1:6" x14ac:dyDescent="0.25">
      <c r="A8198" t="s">
        <v>7749</v>
      </c>
      <c r="B8198" t="s">
        <v>5622</v>
      </c>
      <c r="C8198" t="s">
        <v>5623</v>
      </c>
      <c r="D8198" t="str">
        <f>HYPERLINK("http://service.sap.com/sap/support/notes/1717247","1717247")</f>
        <v>1717247</v>
      </c>
      <c r="E8198">
        <v>1</v>
      </c>
      <c r="F8198" t="s">
        <v>9599</v>
      </c>
    </row>
    <row r="8199" spans="1:6" x14ac:dyDescent="0.25">
      <c r="A8199" t="s">
        <v>7749</v>
      </c>
      <c r="B8199" t="s">
        <v>1382</v>
      </c>
      <c r="C8199" t="s">
        <v>141</v>
      </c>
      <c r="D8199" t="str">
        <f>HYPERLINK("http://service.sap.com/sap/support/notes/1679024","1679024")</f>
        <v>1679024</v>
      </c>
      <c r="E8199">
        <v>3</v>
      </c>
      <c r="F8199" t="s">
        <v>9600</v>
      </c>
    </row>
    <row r="8200" spans="1:6" x14ac:dyDescent="0.25">
      <c r="A8200" t="s">
        <v>7749</v>
      </c>
      <c r="B8200" t="s">
        <v>1382</v>
      </c>
      <c r="C8200" t="s">
        <v>141</v>
      </c>
      <c r="D8200" t="str">
        <f>HYPERLINK("http://service.sap.com/sap/support/notes/1685187","1685187")</f>
        <v>1685187</v>
      </c>
      <c r="E8200">
        <v>3</v>
      </c>
      <c r="F8200" t="s">
        <v>9601</v>
      </c>
    </row>
    <row r="8201" spans="1:6" x14ac:dyDescent="0.25">
      <c r="A8201" t="s">
        <v>7749</v>
      </c>
      <c r="B8201" t="s">
        <v>1382</v>
      </c>
      <c r="C8201" t="s">
        <v>141</v>
      </c>
      <c r="D8201" t="str">
        <f>HYPERLINK("http://service.sap.com/sap/support/notes/1697999","1697999")</f>
        <v>1697999</v>
      </c>
      <c r="E8201">
        <v>1</v>
      </c>
      <c r="F8201" t="s">
        <v>9602</v>
      </c>
    </row>
    <row r="8202" spans="1:6" x14ac:dyDescent="0.25">
      <c r="A8202" t="s">
        <v>7749</v>
      </c>
      <c r="B8202" t="s">
        <v>1382</v>
      </c>
      <c r="C8202" t="s">
        <v>141</v>
      </c>
      <c r="D8202" t="str">
        <f>HYPERLINK("http://service.sap.com/sap/support/notes/1699283","1699283")</f>
        <v>1699283</v>
      </c>
      <c r="E8202">
        <v>1</v>
      </c>
      <c r="F8202" t="s">
        <v>9603</v>
      </c>
    </row>
    <row r="8203" spans="1:6" x14ac:dyDescent="0.25">
      <c r="A8203" t="s">
        <v>7749</v>
      </c>
      <c r="B8203" t="s">
        <v>1382</v>
      </c>
      <c r="C8203" t="s">
        <v>141</v>
      </c>
      <c r="D8203" t="str">
        <f>HYPERLINK("http://service.sap.com/sap/support/notes/1699580","1699580")</f>
        <v>1699580</v>
      </c>
      <c r="E8203">
        <v>3</v>
      </c>
      <c r="F8203" t="s">
        <v>9604</v>
      </c>
    </row>
    <row r="8204" spans="1:6" x14ac:dyDescent="0.25">
      <c r="A8204" t="s">
        <v>7749</v>
      </c>
      <c r="B8204" t="s">
        <v>1382</v>
      </c>
      <c r="C8204" t="s">
        <v>141</v>
      </c>
      <c r="D8204" t="str">
        <f>HYPERLINK("http://service.sap.com/sap/support/notes/1706673","1706673")</f>
        <v>1706673</v>
      </c>
      <c r="E8204">
        <v>2</v>
      </c>
      <c r="F8204" t="s">
        <v>9605</v>
      </c>
    </row>
    <row r="8205" spans="1:6" x14ac:dyDescent="0.25">
      <c r="A8205" t="s">
        <v>7749</v>
      </c>
      <c r="B8205" t="s">
        <v>1382</v>
      </c>
      <c r="C8205" t="s">
        <v>141</v>
      </c>
      <c r="D8205" t="str">
        <f>HYPERLINK("http://service.sap.com/sap/support/notes/1723396","1723396")</f>
        <v>1723396</v>
      </c>
      <c r="E8205">
        <v>2</v>
      </c>
      <c r="F8205" t="s">
        <v>9606</v>
      </c>
    </row>
    <row r="8206" spans="1:6" x14ac:dyDescent="0.25">
      <c r="A8206" t="s">
        <v>7749</v>
      </c>
      <c r="B8206" t="s">
        <v>1382</v>
      </c>
      <c r="C8206" t="s">
        <v>141</v>
      </c>
      <c r="D8206" t="str">
        <f>HYPERLINK("http://service.sap.com/sap/support/notes/1724550","1724550")</f>
        <v>1724550</v>
      </c>
      <c r="E8206">
        <v>1</v>
      </c>
      <c r="F8206" t="s">
        <v>9607</v>
      </c>
    </row>
    <row r="8207" spans="1:6" x14ac:dyDescent="0.25">
      <c r="A8207" t="s">
        <v>7749</v>
      </c>
      <c r="B8207" t="s">
        <v>1385</v>
      </c>
      <c r="C8207" t="s">
        <v>1386</v>
      </c>
      <c r="D8207" t="str">
        <f>HYPERLINK("http://service.sap.com/sap/support/notes/1693289","1693289")</f>
        <v>1693289</v>
      </c>
      <c r="E8207">
        <v>2</v>
      </c>
      <c r="F8207" t="s">
        <v>9608</v>
      </c>
    </row>
    <row r="8208" spans="1:6" x14ac:dyDescent="0.25">
      <c r="A8208" t="s">
        <v>7749</v>
      </c>
      <c r="B8208" t="s">
        <v>1385</v>
      </c>
      <c r="C8208" t="s">
        <v>1386</v>
      </c>
      <c r="D8208" t="str">
        <f>HYPERLINK("http://service.sap.com/sap/support/notes/1695913","1695913")</f>
        <v>1695913</v>
      </c>
      <c r="E8208">
        <v>2</v>
      </c>
      <c r="F8208" t="s">
        <v>9609</v>
      </c>
    </row>
    <row r="8209" spans="1:6" x14ac:dyDescent="0.25">
      <c r="A8209" t="s">
        <v>7749</v>
      </c>
      <c r="B8209" t="s">
        <v>1385</v>
      </c>
      <c r="C8209" t="s">
        <v>1386</v>
      </c>
      <c r="D8209" t="str">
        <f>HYPERLINK("http://service.sap.com/sap/support/notes/1704109","1704109")</f>
        <v>1704109</v>
      </c>
      <c r="E8209">
        <v>2</v>
      </c>
      <c r="F8209" t="s">
        <v>9610</v>
      </c>
    </row>
    <row r="8210" spans="1:6" x14ac:dyDescent="0.25">
      <c r="A8210" t="s">
        <v>7749</v>
      </c>
      <c r="B8210" t="s">
        <v>1385</v>
      </c>
      <c r="C8210" t="s">
        <v>1386</v>
      </c>
      <c r="D8210" t="str">
        <f>HYPERLINK("http://service.sap.com/sap/support/notes/1704412","1704412")</f>
        <v>1704412</v>
      </c>
      <c r="E8210">
        <v>1</v>
      </c>
      <c r="F8210" t="s">
        <v>9611</v>
      </c>
    </row>
    <row r="8211" spans="1:6" x14ac:dyDescent="0.25">
      <c r="A8211" t="s">
        <v>7749</v>
      </c>
      <c r="B8211" t="s">
        <v>1385</v>
      </c>
      <c r="C8211" t="s">
        <v>1386</v>
      </c>
      <c r="D8211" t="str">
        <f>HYPERLINK("http://service.sap.com/sap/support/notes/1704465","1704465")</f>
        <v>1704465</v>
      </c>
      <c r="E8211">
        <v>1</v>
      </c>
      <c r="F8211" t="s">
        <v>9612</v>
      </c>
    </row>
    <row r="8212" spans="1:6" x14ac:dyDescent="0.25">
      <c r="A8212" t="s">
        <v>7749</v>
      </c>
      <c r="B8212" t="s">
        <v>1385</v>
      </c>
      <c r="C8212" t="s">
        <v>1386</v>
      </c>
      <c r="D8212" t="str">
        <f>HYPERLINK("http://service.sap.com/sap/support/notes/1704705","1704705")</f>
        <v>1704705</v>
      </c>
      <c r="E8212">
        <v>1</v>
      </c>
      <c r="F8212" t="s">
        <v>9613</v>
      </c>
    </row>
    <row r="8213" spans="1:6" x14ac:dyDescent="0.25">
      <c r="A8213" t="s">
        <v>7749</v>
      </c>
      <c r="B8213" t="s">
        <v>1385</v>
      </c>
      <c r="C8213" t="s">
        <v>1386</v>
      </c>
      <c r="D8213" t="str">
        <f>HYPERLINK("http://service.sap.com/sap/support/notes/1705016","1705016")</f>
        <v>1705016</v>
      </c>
      <c r="E8213">
        <v>1</v>
      </c>
      <c r="F8213" t="s">
        <v>9614</v>
      </c>
    </row>
    <row r="8214" spans="1:6" x14ac:dyDescent="0.25">
      <c r="A8214" t="s">
        <v>7749</v>
      </c>
      <c r="B8214" t="s">
        <v>1385</v>
      </c>
      <c r="C8214" t="s">
        <v>1386</v>
      </c>
      <c r="D8214" t="str">
        <f>HYPERLINK("http://service.sap.com/sap/support/notes/1706766","1706766")</f>
        <v>1706766</v>
      </c>
      <c r="E8214">
        <v>1</v>
      </c>
      <c r="F8214" t="s">
        <v>9615</v>
      </c>
    </row>
    <row r="8215" spans="1:6" x14ac:dyDescent="0.25">
      <c r="A8215" t="s">
        <v>7749</v>
      </c>
      <c r="B8215" t="s">
        <v>1385</v>
      </c>
      <c r="C8215" t="s">
        <v>1386</v>
      </c>
      <c r="D8215" t="str">
        <f>HYPERLINK("http://service.sap.com/sap/support/notes/1708398","1708398")</f>
        <v>1708398</v>
      </c>
      <c r="E8215">
        <v>1</v>
      </c>
      <c r="F8215" t="s">
        <v>9616</v>
      </c>
    </row>
    <row r="8216" spans="1:6" x14ac:dyDescent="0.25">
      <c r="A8216" t="s">
        <v>7749</v>
      </c>
      <c r="B8216" t="s">
        <v>1385</v>
      </c>
      <c r="C8216" t="s">
        <v>1386</v>
      </c>
      <c r="D8216" t="str">
        <f>HYPERLINK("http://service.sap.com/sap/support/notes/1710983","1710983")</f>
        <v>1710983</v>
      </c>
      <c r="E8216">
        <v>1</v>
      </c>
      <c r="F8216" t="s">
        <v>9617</v>
      </c>
    </row>
    <row r="8217" spans="1:6" x14ac:dyDescent="0.25">
      <c r="A8217" t="s">
        <v>7749</v>
      </c>
      <c r="B8217" t="s">
        <v>1385</v>
      </c>
      <c r="C8217" t="s">
        <v>1386</v>
      </c>
      <c r="D8217" t="str">
        <f>HYPERLINK("http://service.sap.com/sap/support/notes/1711273","1711273")</f>
        <v>1711273</v>
      </c>
      <c r="E8217">
        <v>3</v>
      </c>
      <c r="F8217" t="s">
        <v>9618</v>
      </c>
    </row>
    <row r="8218" spans="1:6" x14ac:dyDescent="0.25">
      <c r="A8218" t="s">
        <v>7749</v>
      </c>
      <c r="B8218" t="s">
        <v>1385</v>
      </c>
      <c r="C8218" t="s">
        <v>1386</v>
      </c>
      <c r="D8218" t="str">
        <f>HYPERLINK("http://service.sap.com/sap/support/notes/1714931","1714931")</f>
        <v>1714931</v>
      </c>
      <c r="E8218">
        <v>2</v>
      </c>
      <c r="F8218" t="s">
        <v>9619</v>
      </c>
    </row>
    <row r="8219" spans="1:6" x14ac:dyDescent="0.25">
      <c r="A8219" t="s">
        <v>7749</v>
      </c>
      <c r="B8219" t="s">
        <v>1385</v>
      </c>
      <c r="C8219" t="s">
        <v>1386</v>
      </c>
      <c r="D8219" t="str">
        <f>HYPERLINK("http://service.sap.com/sap/support/notes/1715926","1715926")</f>
        <v>1715926</v>
      </c>
      <c r="E8219">
        <v>1</v>
      </c>
      <c r="F8219" t="s">
        <v>9620</v>
      </c>
    </row>
    <row r="8220" spans="1:6" x14ac:dyDescent="0.25">
      <c r="A8220" t="s">
        <v>7749</v>
      </c>
      <c r="B8220" t="s">
        <v>1385</v>
      </c>
      <c r="C8220" t="s">
        <v>1386</v>
      </c>
      <c r="D8220" t="str">
        <f>HYPERLINK("http://service.sap.com/sap/support/notes/1721673","1721673")</f>
        <v>1721673</v>
      </c>
      <c r="E8220">
        <v>1</v>
      </c>
      <c r="F8220" t="s">
        <v>9621</v>
      </c>
    </row>
    <row r="8221" spans="1:6" x14ac:dyDescent="0.25">
      <c r="A8221" t="s">
        <v>7749</v>
      </c>
      <c r="B8221" t="s">
        <v>1385</v>
      </c>
      <c r="C8221" t="s">
        <v>1386</v>
      </c>
      <c r="D8221" t="str">
        <f>HYPERLINK("http://service.sap.com/sap/support/notes/1722805","1722805")</f>
        <v>1722805</v>
      </c>
      <c r="E8221">
        <v>1</v>
      </c>
      <c r="F8221" t="s">
        <v>9622</v>
      </c>
    </row>
    <row r="8222" spans="1:6" x14ac:dyDescent="0.25">
      <c r="A8222" t="s">
        <v>7749</v>
      </c>
      <c r="B8222" t="s">
        <v>1385</v>
      </c>
      <c r="C8222" t="s">
        <v>1386</v>
      </c>
      <c r="D8222" t="str">
        <f>HYPERLINK("http://service.sap.com/sap/support/notes/1722876","1722876")</f>
        <v>1722876</v>
      </c>
      <c r="E8222">
        <v>1</v>
      </c>
      <c r="F8222" t="s">
        <v>9623</v>
      </c>
    </row>
    <row r="8223" spans="1:6" x14ac:dyDescent="0.25">
      <c r="A8223" t="s">
        <v>7749</v>
      </c>
      <c r="B8223" t="s">
        <v>1385</v>
      </c>
      <c r="C8223" t="s">
        <v>1386</v>
      </c>
      <c r="D8223" t="str">
        <f>HYPERLINK("http://service.sap.com/sap/support/notes/1725697","1725697")</f>
        <v>1725697</v>
      </c>
      <c r="E8223">
        <v>1</v>
      </c>
      <c r="F8223" t="s">
        <v>9624</v>
      </c>
    </row>
    <row r="8224" spans="1:6" x14ac:dyDescent="0.25">
      <c r="A8224" t="s">
        <v>7749</v>
      </c>
      <c r="B8224" t="s">
        <v>1397</v>
      </c>
      <c r="C8224" t="s">
        <v>1398</v>
      </c>
      <c r="D8224" t="str">
        <f>HYPERLINK("http://service.sap.com/sap/support/notes/1707168","1707168")</f>
        <v>1707168</v>
      </c>
      <c r="E8224">
        <v>1</v>
      </c>
      <c r="F8224" t="s">
        <v>9625</v>
      </c>
    </row>
    <row r="8225" spans="1:6" x14ac:dyDescent="0.25">
      <c r="A8225" t="s">
        <v>7749</v>
      </c>
      <c r="B8225" t="s">
        <v>1397</v>
      </c>
      <c r="C8225" t="s">
        <v>1398</v>
      </c>
      <c r="D8225" t="str">
        <f>HYPERLINK("http://service.sap.com/sap/support/notes/1711453","1711453")</f>
        <v>1711453</v>
      </c>
      <c r="E8225">
        <v>3</v>
      </c>
      <c r="F8225" t="s">
        <v>9626</v>
      </c>
    </row>
    <row r="8226" spans="1:6" x14ac:dyDescent="0.25">
      <c r="A8226" t="s">
        <v>7749</v>
      </c>
      <c r="B8226" t="s">
        <v>1397</v>
      </c>
      <c r="C8226" t="s">
        <v>1398</v>
      </c>
      <c r="D8226" t="str">
        <f>HYPERLINK("http://service.sap.com/sap/support/notes/1716892","1716892")</f>
        <v>1716892</v>
      </c>
      <c r="E8226">
        <v>1</v>
      </c>
      <c r="F8226" t="s">
        <v>9627</v>
      </c>
    </row>
    <row r="8227" spans="1:6" x14ac:dyDescent="0.25">
      <c r="A8227" t="s">
        <v>7749</v>
      </c>
      <c r="B8227" t="s">
        <v>1407</v>
      </c>
      <c r="C8227" t="s">
        <v>1408</v>
      </c>
      <c r="D8227" t="str">
        <f>HYPERLINK("http://service.sap.com/sap/support/notes/1676983","1676983")</f>
        <v>1676983</v>
      </c>
      <c r="E8227">
        <v>2</v>
      </c>
      <c r="F8227" t="s">
        <v>9628</v>
      </c>
    </row>
    <row r="8228" spans="1:6" x14ac:dyDescent="0.25">
      <c r="A8228" t="s">
        <v>7749</v>
      </c>
      <c r="B8228" t="s">
        <v>1407</v>
      </c>
      <c r="C8228" t="s">
        <v>1408</v>
      </c>
      <c r="D8228" t="str">
        <f>HYPERLINK("http://service.sap.com/sap/support/notes/1678019","1678019")</f>
        <v>1678019</v>
      </c>
      <c r="E8228">
        <v>1</v>
      </c>
      <c r="F8228" t="s">
        <v>9629</v>
      </c>
    </row>
    <row r="8229" spans="1:6" x14ac:dyDescent="0.25">
      <c r="A8229" t="s">
        <v>7749</v>
      </c>
      <c r="B8229" t="s">
        <v>1407</v>
      </c>
      <c r="C8229" t="s">
        <v>1408</v>
      </c>
      <c r="D8229" t="str">
        <f>HYPERLINK("http://service.sap.com/sap/support/notes/1678335","1678335")</f>
        <v>1678335</v>
      </c>
      <c r="E8229">
        <v>1</v>
      </c>
      <c r="F8229" t="s">
        <v>9630</v>
      </c>
    </row>
    <row r="8230" spans="1:6" x14ac:dyDescent="0.25">
      <c r="A8230" t="s">
        <v>7749</v>
      </c>
      <c r="B8230" t="s">
        <v>1407</v>
      </c>
      <c r="C8230" t="s">
        <v>1408</v>
      </c>
      <c r="D8230" t="str">
        <f>HYPERLINK("http://service.sap.com/sap/support/notes/1683634","1683634")</f>
        <v>1683634</v>
      </c>
      <c r="E8230">
        <v>1</v>
      </c>
      <c r="F8230" t="s">
        <v>9631</v>
      </c>
    </row>
    <row r="8231" spans="1:6" x14ac:dyDescent="0.25">
      <c r="A8231" t="s">
        <v>7749</v>
      </c>
      <c r="B8231" t="s">
        <v>1407</v>
      </c>
      <c r="C8231" t="s">
        <v>1408</v>
      </c>
      <c r="D8231" t="str">
        <f>HYPERLINK("http://service.sap.com/sap/support/notes/1685324","1685324")</f>
        <v>1685324</v>
      </c>
      <c r="E8231">
        <v>1</v>
      </c>
      <c r="F8231" t="s">
        <v>9632</v>
      </c>
    </row>
    <row r="8232" spans="1:6" x14ac:dyDescent="0.25">
      <c r="A8232" t="s">
        <v>7749</v>
      </c>
      <c r="B8232" t="s">
        <v>1407</v>
      </c>
      <c r="C8232" t="s">
        <v>1408</v>
      </c>
      <c r="D8232" t="str">
        <f>HYPERLINK("http://service.sap.com/sap/support/notes/1691495","1691495")</f>
        <v>1691495</v>
      </c>
      <c r="E8232">
        <v>4</v>
      </c>
      <c r="F8232" t="s">
        <v>9633</v>
      </c>
    </row>
    <row r="8233" spans="1:6" x14ac:dyDescent="0.25">
      <c r="A8233" t="s">
        <v>7749</v>
      </c>
      <c r="B8233" t="s">
        <v>1407</v>
      </c>
      <c r="C8233" t="s">
        <v>1408</v>
      </c>
      <c r="D8233" t="str">
        <f>HYPERLINK("http://service.sap.com/sap/support/notes/1694397","1694397")</f>
        <v>1694397</v>
      </c>
      <c r="E8233">
        <v>3</v>
      </c>
      <c r="F8233" t="s">
        <v>9634</v>
      </c>
    </row>
    <row r="8234" spans="1:6" x14ac:dyDescent="0.25">
      <c r="A8234" t="s">
        <v>7749</v>
      </c>
      <c r="B8234" t="s">
        <v>1407</v>
      </c>
      <c r="C8234" t="s">
        <v>1408</v>
      </c>
      <c r="D8234" t="str">
        <f>HYPERLINK("http://service.sap.com/sap/support/notes/1694867","1694867")</f>
        <v>1694867</v>
      </c>
      <c r="E8234">
        <v>1</v>
      </c>
      <c r="F8234" t="s">
        <v>9635</v>
      </c>
    </row>
    <row r="8235" spans="1:6" x14ac:dyDescent="0.25">
      <c r="A8235" t="s">
        <v>7749</v>
      </c>
      <c r="B8235" t="s">
        <v>1407</v>
      </c>
      <c r="C8235" t="s">
        <v>1408</v>
      </c>
      <c r="D8235" t="str">
        <f>HYPERLINK("http://service.sap.com/sap/support/notes/1699041","1699041")</f>
        <v>1699041</v>
      </c>
      <c r="E8235">
        <v>1</v>
      </c>
      <c r="F8235" t="s">
        <v>9636</v>
      </c>
    </row>
    <row r="8236" spans="1:6" x14ac:dyDescent="0.25">
      <c r="A8236" t="s">
        <v>7749</v>
      </c>
      <c r="B8236" t="s">
        <v>1407</v>
      </c>
      <c r="C8236" t="s">
        <v>1408</v>
      </c>
      <c r="D8236" t="str">
        <f>HYPERLINK("http://service.sap.com/sap/support/notes/1701336","1701336")</f>
        <v>1701336</v>
      </c>
      <c r="E8236">
        <v>2</v>
      </c>
      <c r="F8236" t="s">
        <v>9637</v>
      </c>
    </row>
    <row r="8237" spans="1:6" x14ac:dyDescent="0.25">
      <c r="A8237" t="s">
        <v>7749</v>
      </c>
      <c r="B8237" t="s">
        <v>1407</v>
      </c>
      <c r="C8237" t="s">
        <v>1408</v>
      </c>
      <c r="D8237" t="str">
        <f>HYPERLINK("http://service.sap.com/sap/support/notes/1701389","1701389")</f>
        <v>1701389</v>
      </c>
      <c r="E8237">
        <v>4</v>
      </c>
      <c r="F8237" t="s">
        <v>9638</v>
      </c>
    </row>
    <row r="8238" spans="1:6" x14ac:dyDescent="0.25">
      <c r="A8238" t="s">
        <v>7749</v>
      </c>
      <c r="B8238" t="s">
        <v>1407</v>
      </c>
      <c r="C8238" t="s">
        <v>1408</v>
      </c>
      <c r="D8238" t="str">
        <f>HYPERLINK("http://service.sap.com/sap/support/notes/1707607","1707607")</f>
        <v>1707607</v>
      </c>
      <c r="E8238">
        <v>1</v>
      </c>
      <c r="F8238" t="s">
        <v>9639</v>
      </c>
    </row>
    <row r="8239" spans="1:6" x14ac:dyDescent="0.25">
      <c r="A8239" t="s">
        <v>7749</v>
      </c>
      <c r="B8239" t="s">
        <v>1407</v>
      </c>
      <c r="C8239" t="s">
        <v>1408</v>
      </c>
      <c r="D8239" t="str">
        <f>HYPERLINK("http://service.sap.com/sap/support/notes/1713145","1713145")</f>
        <v>1713145</v>
      </c>
      <c r="E8239">
        <v>1</v>
      </c>
      <c r="F8239" t="s">
        <v>9640</v>
      </c>
    </row>
    <row r="8240" spans="1:6" x14ac:dyDescent="0.25">
      <c r="A8240" t="s">
        <v>7749</v>
      </c>
      <c r="B8240" t="s">
        <v>1407</v>
      </c>
      <c r="C8240" t="s">
        <v>1408</v>
      </c>
      <c r="D8240" t="str">
        <f>HYPERLINK("http://service.sap.com/sap/support/notes/1718142","1718142")</f>
        <v>1718142</v>
      </c>
      <c r="E8240">
        <v>3</v>
      </c>
      <c r="F8240" t="s">
        <v>9641</v>
      </c>
    </row>
    <row r="8241" spans="1:6" x14ac:dyDescent="0.25">
      <c r="A8241" t="s">
        <v>7749</v>
      </c>
      <c r="B8241" t="s">
        <v>5765</v>
      </c>
      <c r="C8241" t="s">
        <v>3170</v>
      </c>
      <c r="D8241" t="str">
        <f>HYPERLINK("http://service.sap.com/sap/support/notes/1636323","1636323")</f>
        <v>1636323</v>
      </c>
      <c r="E8241">
        <v>2</v>
      </c>
      <c r="F8241" t="s">
        <v>9642</v>
      </c>
    </row>
    <row r="8242" spans="1:6" x14ac:dyDescent="0.25">
      <c r="A8242" t="s">
        <v>7749</v>
      </c>
      <c r="B8242" t="s">
        <v>5765</v>
      </c>
      <c r="C8242" t="s">
        <v>3170</v>
      </c>
      <c r="D8242" t="str">
        <f>HYPERLINK("http://service.sap.com/sap/support/notes/1704037","1704037")</f>
        <v>1704037</v>
      </c>
      <c r="E8242">
        <v>2</v>
      </c>
      <c r="F8242" t="s">
        <v>9643</v>
      </c>
    </row>
    <row r="8243" spans="1:6" x14ac:dyDescent="0.25">
      <c r="A8243" t="s">
        <v>7749</v>
      </c>
      <c r="B8243" t="s">
        <v>5765</v>
      </c>
      <c r="C8243" t="s">
        <v>3170</v>
      </c>
      <c r="D8243" t="str">
        <f>HYPERLINK("http://service.sap.com/sap/support/notes/1709937","1709937")</f>
        <v>1709937</v>
      </c>
      <c r="E8243">
        <v>2</v>
      </c>
      <c r="F8243" t="s">
        <v>9644</v>
      </c>
    </row>
    <row r="8244" spans="1:6" x14ac:dyDescent="0.25">
      <c r="A8244" t="s">
        <v>7749</v>
      </c>
      <c r="B8244" t="s">
        <v>1416</v>
      </c>
      <c r="C8244" t="s">
        <v>1417</v>
      </c>
      <c r="D8244" t="str">
        <f>HYPERLINK("http://service.sap.com/sap/support/notes/1710674","1710674")</f>
        <v>1710674</v>
      </c>
      <c r="E8244">
        <v>5</v>
      </c>
      <c r="F8244" t="s">
        <v>9645</v>
      </c>
    </row>
    <row r="8245" spans="1:6" x14ac:dyDescent="0.25">
      <c r="A8245" t="s">
        <v>7749</v>
      </c>
      <c r="B8245" t="s">
        <v>1419</v>
      </c>
      <c r="C8245" t="s">
        <v>1420</v>
      </c>
    </row>
    <row r="8246" spans="1:6" x14ac:dyDescent="0.25">
      <c r="A8246" t="s">
        <v>7749</v>
      </c>
      <c r="B8246" t="s">
        <v>7609</v>
      </c>
      <c r="C8246" t="s">
        <v>7610</v>
      </c>
      <c r="D8246" t="str">
        <f>HYPERLINK("http://service.sap.com/sap/support/notes/1718475","1718475")</f>
        <v>1718475</v>
      </c>
      <c r="E8246">
        <v>1</v>
      </c>
      <c r="F8246" t="s">
        <v>9646</v>
      </c>
    </row>
    <row r="8247" spans="1:6" x14ac:dyDescent="0.25">
      <c r="A8247" t="s">
        <v>7749</v>
      </c>
      <c r="B8247" t="s">
        <v>5780</v>
      </c>
      <c r="C8247" t="s">
        <v>132</v>
      </c>
      <c r="D8247" t="str">
        <f>HYPERLINK("http://service.sap.com/sap/support/notes/1694958","1694958")</f>
        <v>1694958</v>
      </c>
      <c r="E8247">
        <v>5</v>
      </c>
      <c r="F8247" t="s">
        <v>7617</v>
      </c>
    </row>
    <row r="8248" spans="1:6" x14ac:dyDescent="0.25">
      <c r="A8248" t="s">
        <v>7749</v>
      </c>
      <c r="B8248" t="s">
        <v>5780</v>
      </c>
      <c r="C8248" t="s">
        <v>132</v>
      </c>
      <c r="D8248" t="str">
        <f>HYPERLINK("http://service.sap.com/sap/support/notes/1696173","1696173")</f>
        <v>1696173</v>
      </c>
      <c r="E8248">
        <v>3</v>
      </c>
      <c r="F8248" t="s">
        <v>9647</v>
      </c>
    </row>
    <row r="8249" spans="1:6" x14ac:dyDescent="0.25">
      <c r="A8249" t="s">
        <v>7749</v>
      </c>
      <c r="B8249" t="s">
        <v>5780</v>
      </c>
      <c r="C8249" t="s">
        <v>132</v>
      </c>
      <c r="D8249" t="str">
        <f>HYPERLINK("http://service.sap.com/sap/support/notes/1698712","1698712")</f>
        <v>1698712</v>
      </c>
      <c r="E8249">
        <v>2</v>
      </c>
      <c r="F8249" t="s">
        <v>9648</v>
      </c>
    </row>
    <row r="8250" spans="1:6" x14ac:dyDescent="0.25">
      <c r="A8250" t="s">
        <v>7749</v>
      </c>
      <c r="B8250" t="s">
        <v>5780</v>
      </c>
      <c r="C8250" t="s">
        <v>132</v>
      </c>
      <c r="D8250" t="str">
        <f>HYPERLINK("http://service.sap.com/sap/support/notes/1707789","1707789")</f>
        <v>1707789</v>
      </c>
      <c r="E8250">
        <v>3</v>
      </c>
      <c r="F8250" t="s">
        <v>9649</v>
      </c>
    </row>
    <row r="8251" spans="1:6" x14ac:dyDescent="0.25">
      <c r="A8251" t="s">
        <v>7749</v>
      </c>
      <c r="B8251" t="s">
        <v>5780</v>
      </c>
      <c r="C8251" t="s">
        <v>132</v>
      </c>
      <c r="D8251" t="str">
        <f>HYPERLINK("http://service.sap.com/sap/support/notes/1709449","1709449")</f>
        <v>1709449</v>
      </c>
      <c r="E8251">
        <v>5</v>
      </c>
      <c r="F8251" t="s">
        <v>9650</v>
      </c>
    </row>
    <row r="8252" spans="1:6" x14ac:dyDescent="0.25">
      <c r="A8252" t="s">
        <v>7749</v>
      </c>
      <c r="B8252" t="s">
        <v>5780</v>
      </c>
      <c r="C8252" t="s">
        <v>132</v>
      </c>
      <c r="D8252" t="str">
        <f>HYPERLINK("http://service.sap.com/sap/support/notes/1710562","1710562")</f>
        <v>1710562</v>
      </c>
      <c r="E8252">
        <v>2</v>
      </c>
      <c r="F8252" t="s">
        <v>9651</v>
      </c>
    </row>
    <row r="8253" spans="1:6" x14ac:dyDescent="0.25">
      <c r="A8253" t="s">
        <v>7749</v>
      </c>
      <c r="B8253" t="s">
        <v>5780</v>
      </c>
      <c r="C8253" t="s">
        <v>132</v>
      </c>
      <c r="D8253" t="str">
        <f>HYPERLINK("http://service.sap.com/sap/support/notes/1710706","1710706")</f>
        <v>1710706</v>
      </c>
      <c r="E8253">
        <v>2</v>
      </c>
      <c r="F8253" t="s">
        <v>9652</v>
      </c>
    </row>
    <row r="8254" spans="1:6" x14ac:dyDescent="0.25">
      <c r="A8254" t="s">
        <v>7749</v>
      </c>
      <c r="B8254" t="s">
        <v>5780</v>
      </c>
      <c r="C8254" t="s">
        <v>132</v>
      </c>
      <c r="D8254" t="str">
        <f>HYPERLINK("http://service.sap.com/sap/support/notes/1710795","1710795")</f>
        <v>1710795</v>
      </c>
      <c r="E8254">
        <v>3</v>
      </c>
      <c r="F8254" t="s">
        <v>9653</v>
      </c>
    </row>
    <row r="8255" spans="1:6" x14ac:dyDescent="0.25">
      <c r="A8255" t="s">
        <v>7749</v>
      </c>
      <c r="B8255" t="s">
        <v>5780</v>
      </c>
      <c r="C8255" t="s">
        <v>132</v>
      </c>
      <c r="D8255" t="str">
        <f>HYPERLINK("http://service.sap.com/sap/support/notes/1712218","1712218")</f>
        <v>1712218</v>
      </c>
      <c r="E8255">
        <v>2</v>
      </c>
      <c r="F8255" t="s">
        <v>9654</v>
      </c>
    </row>
    <row r="8256" spans="1:6" x14ac:dyDescent="0.25">
      <c r="A8256" t="s">
        <v>7749</v>
      </c>
      <c r="B8256" t="s">
        <v>5780</v>
      </c>
      <c r="C8256" t="s">
        <v>132</v>
      </c>
      <c r="D8256" t="str">
        <f>HYPERLINK("http://service.sap.com/sap/support/notes/1715496","1715496")</f>
        <v>1715496</v>
      </c>
      <c r="E8256">
        <v>4</v>
      </c>
      <c r="F8256" t="s">
        <v>9655</v>
      </c>
    </row>
    <row r="8257" spans="1:6" x14ac:dyDescent="0.25">
      <c r="A8257" t="s">
        <v>7749</v>
      </c>
      <c r="B8257" t="s">
        <v>5780</v>
      </c>
      <c r="C8257" t="s">
        <v>132</v>
      </c>
      <c r="D8257" t="str">
        <f>HYPERLINK("http://service.sap.com/sap/support/notes/1719371","1719371")</f>
        <v>1719371</v>
      </c>
      <c r="E8257">
        <v>1</v>
      </c>
      <c r="F8257" t="s">
        <v>9656</v>
      </c>
    </row>
    <row r="8258" spans="1:6" x14ac:dyDescent="0.25">
      <c r="A8258" t="s">
        <v>7749</v>
      </c>
      <c r="B8258" t="s">
        <v>1421</v>
      </c>
      <c r="C8258" t="s">
        <v>1422</v>
      </c>
      <c r="D8258" t="str">
        <f>HYPERLINK("http://service.sap.com/sap/support/notes/1686953","1686953")</f>
        <v>1686953</v>
      </c>
      <c r="E8258">
        <v>2</v>
      </c>
      <c r="F8258" t="s">
        <v>9657</v>
      </c>
    </row>
    <row r="8259" spans="1:6" x14ac:dyDescent="0.25">
      <c r="A8259" t="s">
        <v>7749</v>
      </c>
      <c r="B8259" t="s">
        <v>1421</v>
      </c>
      <c r="C8259" t="s">
        <v>1422</v>
      </c>
      <c r="D8259" t="str">
        <f>HYPERLINK("http://service.sap.com/sap/support/notes/1702034","1702034")</f>
        <v>1702034</v>
      </c>
      <c r="E8259">
        <v>1</v>
      </c>
      <c r="F8259" t="s">
        <v>9658</v>
      </c>
    </row>
    <row r="8260" spans="1:6" x14ac:dyDescent="0.25">
      <c r="A8260" t="s">
        <v>7749</v>
      </c>
      <c r="B8260" t="s">
        <v>1421</v>
      </c>
      <c r="C8260" t="s">
        <v>1422</v>
      </c>
      <c r="D8260" t="str">
        <f>HYPERLINK("http://service.sap.com/sap/support/notes/1702043","1702043")</f>
        <v>1702043</v>
      </c>
      <c r="E8260">
        <v>3</v>
      </c>
      <c r="F8260" t="s">
        <v>9659</v>
      </c>
    </row>
    <row r="8261" spans="1:6" x14ac:dyDescent="0.25">
      <c r="A8261" t="s">
        <v>7749</v>
      </c>
      <c r="B8261" t="s">
        <v>1421</v>
      </c>
      <c r="C8261" t="s">
        <v>1422</v>
      </c>
      <c r="D8261" t="str">
        <f>HYPERLINK("http://service.sap.com/sap/support/notes/1702996","1702996")</f>
        <v>1702996</v>
      </c>
      <c r="E8261">
        <v>1</v>
      </c>
      <c r="F8261" t="s">
        <v>9660</v>
      </c>
    </row>
    <row r="8262" spans="1:6" x14ac:dyDescent="0.25">
      <c r="A8262" t="s">
        <v>7749</v>
      </c>
      <c r="B8262" t="s">
        <v>1421</v>
      </c>
      <c r="C8262" t="s">
        <v>1422</v>
      </c>
      <c r="D8262" t="str">
        <f>HYPERLINK("http://service.sap.com/sap/support/notes/1719696","1719696")</f>
        <v>1719696</v>
      </c>
      <c r="E8262">
        <v>1</v>
      </c>
      <c r="F8262" t="s">
        <v>9661</v>
      </c>
    </row>
    <row r="8263" spans="1:6" x14ac:dyDescent="0.25">
      <c r="A8263" t="s">
        <v>7749</v>
      </c>
      <c r="B8263" t="s">
        <v>1421</v>
      </c>
      <c r="C8263" t="s">
        <v>1422</v>
      </c>
      <c r="D8263" t="str">
        <f>HYPERLINK("http://service.sap.com/sap/support/notes/1725358","1725358")</f>
        <v>1725358</v>
      </c>
      <c r="E8263">
        <v>1</v>
      </c>
      <c r="F8263" t="s">
        <v>9662</v>
      </c>
    </row>
    <row r="8264" spans="1:6" x14ac:dyDescent="0.25">
      <c r="A8264" t="s">
        <v>7749</v>
      </c>
      <c r="B8264" t="s">
        <v>1421</v>
      </c>
      <c r="C8264" t="s">
        <v>1422</v>
      </c>
      <c r="D8264" t="str">
        <f>HYPERLINK("http://service.sap.com/sap/support/notes/1727792","1727792")</f>
        <v>1727792</v>
      </c>
      <c r="E8264">
        <v>1</v>
      </c>
      <c r="F8264" t="s">
        <v>9663</v>
      </c>
    </row>
    <row r="8265" spans="1:6" x14ac:dyDescent="0.25">
      <c r="A8265" t="s">
        <v>7749</v>
      </c>
      <c r="B8265" t="s">
        <v>9664</v>
      </c>
      <c r="C8265" t="s">
        <v>9665</v>
      </c>
      <c r="D8265" t="str">
        <f>HYPERLINK("http://service.sap.com/sap/support/notes/1628522","1628522")</f>
        <v>1628522</v>
      </c>
      <c r="E8265">
        <v>6</v>
      </c>
      <c r="F8265" t="s">
        <v>9666</v>
      </c>
    </row>
    <row r="8266" spans="1:6" x14ac:dyDescent="0.25">
      <c r="A8266" t="s">
        <v>7749</v>
      </c>
      <c r="B8266" t="s">
        <v>5796</v>
      </c>
      <c r="C8266" t="s">
        <v>5797</v>
      </c>
      <c r="D8266" t="str">
        <f>HYPERLINK("http://service.sap.com/sap/support/notes/1660239","1660239")</f>
        <v>1660239</v>
      </c>
      <c r="E8266">
        <v>1</v>
      </c>
      <c r="F8266" t="s">
        <v>5804</v>
      </c>
    </row>
    <row r="8267" spans="1:6" x14ac:dyDescent="0.25">
      <c r="A8267" t="s">
        <v>7749</v>
      </c>
      <c r="B8267" t="s">
        <v>5796</v>
      </c>
      <c r="C8267" t="s">
        <v>5797</v>
      </c>
      <c r="D8267" t="str">
        <f>HYPERLINK("http://service.sap.com/sap/support/notes/1687268","1687268")</f>
        <v>1687268</v>
      </c>
      <c r="E8267">
        <v>6</v>
      </c>
      <c r="F8267" t="s">
        <v>9667</v>
      </c>
    </row>
    <row r="8268" spans="1:6" x14ac:dyDescent="0.25">
      <c r="A8268" t="s">
        <v>7749</v>
      </c>
      <c r="B8268" t="s">
        <v>5796</v>
      </c>
      <c r="C8268" t="s">
        <v>5797</v>
      </c>
      <c r="D8268" t="str">
        <f>HYPERLINK("http://service.sap.com/sap/support/notes/1688180","1688180")</f>
        <v>1688180</v>
      </c>
      <c r="E8268">
        <v>4</v>
      </c>
      <c r="F8268" t="s">
        <v>9668</v>
      </c>
    </row>
    <row r="8269" spans="1:6" x14ac:dyDescent="0.25">
      <c r="A8269" t="s">
        <v>7749</v>
      </c>
      <c r="B8269" t="s">
        <v>5796</v>
      </c>
      <c r="C8269" t="s">
        <v>5797</v>
      </c>
      <c r="D8269" t="str">
        <f>HYPERLINK("http://service.sap.com/sap/support/notes/1691717","1691717")</f>
        <v>1691717</v>
      </c>
      <c r="E8269">
        <v>1</v>
      </c>
      <c r="F8269" t="s">
        <v>9669</v>
      </c>
    </row>
    <row r="8270" spans="1:6" x14ac:dyDescent="0.25">
      <c r="A8270" t="s">
        <v>7749</v>
      </c>
      <c r="B8270" t="s">
        <v>5796</v>
      </c>
      <c r="C8270" t="s">
        <v>5797</v>
      </c>
      <c r="D8270" t="str">
        <f>HYPERLINK("http://service.sap.com/sap/support/notes/1703510","1703510")</f>
        <v>1703510</v>
      </c>
      <c r="E8270">
        <v>1</v>
      </c>
      <c r="F8270" t="s">
        <v>9670</v>
      </c>
    </row>
    <row r="8271" spans="1:6" x14ac:dyDescent="0.25">
      <c r="A8271" t="s">
        <v>7749</v>
      </c>
      <c r="B8271" t="s">
        <v>5796</v>
      </c>
      <c r="C8271" t="s">
        <v>5797</v>
      </c>
      <c r="D8271" t="str">
        <f>HYPERLINK("http://service.sap.com/sap/support/notes/1707382","1707382")</f>
        <v>1707382</v>
      </c>
      <c r="E8271">
        <v>9</v>
      </c>
      <c r="F8271" t="s">
        <v>9671</v>
      </c>
    </row>
    <row r="8272" spans="1:6" x14ac:dyDescent="0.25">
      <c r="A8272" t="s">
        <v>7749</v>
      </c>
      <c r="B8272" t="s">
        <v>5796</v>
      </c>
      <c r="C8272" t="s">
        <v>5797</v>
      </c>
      <c r="D8272" t="str">
        <f>HYPERLINK("http://service.sap.com/sap/support/notes/1722200","1722200")</f>
        <v>1722200</v>
      </c>
      <c r="E8272">
        <v>2</v>
      </c>
      <c r="F8272" t="s">
        <v>9672</v>
      </c>
    </row>
    <row r="8273" spans="1:6" x14ac:dyDescent="0.25">
      <c r="A8273" t="s">
        <v>7749</v>
      </c>
      <c r="B8273" t="s">
        <v>5807</v>
      </c>
      <c r="C8273" t="s">
        <v>5808</v>
      </c>
      <c r="D8273" t="str">
        <f>HYPERLINK("http://service.sap.com/sap/support/notes/1713856","1713856")</f>
        <v>1713856</v>
      </c>
      <c r="E8273">
        <v>2</v>
      </c>
      <c r="F8273" t="s">
        <v>9673</v>
      </c>
    </row>
    <row r="8274" spans="1:6" x14ac:dyDescent="0.25">
      <c r="A8274" t="s">
        <v>7749</v>
      </c>
      <c r="B8274" t="s">
        <v>5809</v>
      </c>
      <c r="C8274" t="s">
        <v>132</v>
      </c>
      <c r="D8274" t="str">
        <f>HYPERLINK("http://service.sap.com/sap/support/notes/1661695","1661695")</f>
        <v>1661695</v>
      </c>
      <c r="E8274">
        <v>13</v>
      </c>
      <c r="F8274" t="s">
        <v>9674</v>
      </c>
    </row>
    <row r="8275" spans="1:6" x14ac:dyDescent="0.25">
      <c r="A8275" t="s">
        <v>7749</v>
      </c>
      <c r="B8275" t="s">
        <v>1432</v>
      </c>
      <c r="C8275" t="s">
        <v>1433</v>
      </c>
      <c r="D8275" t="str">
        <f>HYPERLINK("http://service.sap.com/sap/support/notes/1561997","1561997")</f>
        <v>1561997</v>
      </c>
      <c r="E8275">
        <v>5</v>
      </c>
      <c r="F8275" t="s">
        <v>9675</v>
      </c>
    </row>
    <row r="8276" spans="1:6" x14ac:dyDescent="0.25">
      <c r="A8276" t="s">
        <v>7749</v>
      </c>
      <c r="B8276" t="s">
        <v>1434</v>
      </c>
      <c r="C8276" t="s">
        <v>1435</v>
      </c>
      <c r="D8276" t="str">
        <f>HYPERLINK("http://service.sap.com/sap/support/notes/1640173","1640173")</f>
        <v>1640173</v>
      </c>
      <c r="E8276">
        <v>1</v>
      </c>
      <c r="F8276" t="s">
        <v>9676</v>
      </c>
    </row>
    <row r="8277" spans="1:6" x14ac:dyDescent="0.25">
      <c r="A8277" t="s">
        <v>7749</v>
      </c>
      <c r="B8277" t="s">
        <v>1434</v>
      </c>
      <c r="C8277" t="s">
        <v>1435</v>
      </c>
      <c r="D8277" t="str">
        <f>HYPERLINK("http://service.sap.com/sap/support/notes/1660555","1660555")</f>
        <v>1660555</v>
      </c>
      <c r="E8277">
        <v>2</v>
      </c>
      <c r="F8277" t="s">
        <v>9677</v>
      </c>
    </row>
    <row r="8278" spans="1:6" x14ac:dyDescent="0.25">
      <c r="A8278" t="s">
        <v>7749</v>
      </c>
      <c r="B8278" t="s">
        <v>1434</v>
      </c>
      <c r="C8278" t="s">
        <v>1435</v>
      </c>
      <c r="D8278" t="str">
        <f>HYPERLINK("http://service.sap.com/sap/support/notes/1687944","1687944")</f>
        <v>1687944</v>
      </c>
      <c r="E8278">
        <v>3</v>
      </c>
      <c r="F8278" t="s">
        <v>9678</v>
      </c>
    </row>
    <row r="8279" spans="1:6" x14ac:dyDescent="0.25">
      <c r="A8279" t="s">
        <v>7749</v>
      </c>
      <c r="B8279" t="s">
        <v>1434</v>
      </c>
      <c r="C8279" t="s">
        <v>1435</v>
      </c>
      <c r="D8279" t="str">
        <f>HYPERLINK("http://service.sap.com/sap/support/notes/1695696","1695696")</f>
        <v>1695696</v>
      </c>
      <c r="E8279">
        <v>3</v>
      </c>
      <c r="F8279" t="s">
        <v>9679</v>
      </c>
    </row>
    <row r="8280" spans="1:6" x14ac:dyDescent="0.25">
      <c r="A8280" t="s">
        <v>7749</v>
      </c>
      <c r="B8280" t="s">
        <v>1434</v>
      </c>
      <c r="C8280" t="s">
        <v>1435</v>
      </c>
      <c r="D8280" t="str">
        <f>HYPERLINK("http://service.sap.com/sap/support/notes/1716089","1716089")</f>
        <v>1716089</v>
      </c>
      <c r="E8280">
        <v>3</v>
      </c>
      <c r="F8280" t="s">
        <v>9680</v>
      </c>
    </row>
    <row r="8281" spans="1:6" x14ac:dyDescent="0.25">
      <c r="A8281" t="s">
        <v>7749</v>
      </c>
      <c r="B8281" t="s">
        <v>1434</v>
      </c>
      <c r="C8281" t="s">
        <v>1435</v>
      </c>
      <c r="D8281" t="str">
        <f>HYPERLINK("http://service.sap.com/sap/support/notes/1724872","1724872")</f>
        <v>1724872</v>
      </c>
      <c r="E8281">
        <v>1</v>
      </c>
      <c r="F8281" t="s">
        <v>9681</v>
      </c>
    </row>
    <row r="8282" spans="1:6" x14ac:dyDescent="0.25">
      <c r="A8282" t="s">
        <v>7749</v>
      </c>
      <c r="B8282" t="s">
        <v>1441</v>
      </c>
      <c r="C8282" t="s">
        <v>1442</v>
      </c>
      <c r="D8282" t="str">
        <f>HYPERLINK("http://service.sap.com/sap/support/notes/1627982","1627982")</f>
        <v>1627982</v>
      </c>
      <c r="E8282">
        <v>3</v>
      </c>
      <c r="F8282" t="s">
        <v>9682</v>
      </c>
    </row>
    <row r="8283" spans="1:6" x14ac:dyDescent="0.25">
      <c r="A8283" t="s">
        <v>7749</v>
      </c>
      <c r="B8283" t="s">
        <v>1441</v>
      </c>
      <c r="C8283" t="s">
        <v>1442</v>
      </c>
      <c r="D8283" t="str">
        <f>HYPERLINK("http://service.sap.com/sap/support/notes/1669512","1669512")</f>
        <v>1669512</v>
      </c>
      <c r="E8283">
        <v>7</v>
      </c>
      <c r="F8283" t="s">
        <v>9683</v>
      </c>
    </row>
    <row r="8284" spans="1:6" x14ac:dyDescent="0.25">
      <c r="A8284" t="s">
        <v>7749</v>
      </c>
      <c r="B8284" t="s">
        <v>1441</v>
      </c>
      <c r="C8284" t="s">
        <v>1442</v>
      </c>
      <c r="D8284" t="str">
        <f>HYPERLINK("http://service.sap.com/sap/support/notes/1674607","1674607")</f>
        <v>1674607</v>
      </c>
      <c r="E8284">
        <v>5</v>
      </c>
      <c r="F8284" t="s">
        <v>9684</v>
      </c>
    </row>
    <row r="8285" spans="1:6" x14ac:dyDescent="0.25">
      <c r="A8285" t="s">
        <v>7749</v>
      </c>
      <c r="B8285" t="s">
        <v>1441</v>
      </c>
      <c r="C8285" t="s">
        <v>1442</v>
      </c>
      <c r="D8285" t="str">
        <f>HYPERLINK("http://service.sap.com/sap/support/notes/1686185","1686185")</f>
        <v>1686185</v>
      </c>
      <c r="E8285">
        <v>4</v>
      </c>
      <c r="F8285" t="s">
        <v>9685</v>
      </c>
    </row>
    <row r="8286" spans="1:6" x14ac:dyDescent="0.25">
      <c r="A8286" t="s">
        <v>7749</v>
      </c>
      <c r="B8286" t="s">
        <v>1441</v>
      </c>
      <c r="C8286" t="s">
        <v>1442</v>
      </c>
      <c r="D8286" t="str">
        <f>HYPERLINK("http://service.sap.com/sap/support/notes/1693024","1693024")</f>
        <v>1693024</v>
      </c>
      <c r="E8286">
        <v>4</v>
      </c>
      <c r="F8286" t="s">
        <v>9686</v>
      </c>
    </row>
    <row r="8287" spans="1:6" x14ac:dyDescent="0.25">
      <c r="A8287" t="s">
        <v>7749</v>
      </c>
      <c r="B8287" t="s">
        <v>1441</v>
      </c>
      <c r="C8287" t="s">
        <v>1442</v>
      </c>
      <c r="D8287" t="str">
        <f>HYPERLINK("http://service.sap.com/sap/support/notes/1706543","1706543")</f>
        <v>1706543</v>
      </c>
      <c r="E8287">
        <v>2</v>
      </c>
      <c r="F8287" t="s">
        <v>9687</v>
      </c>
    </row>
    <row r="8288" spans="1:6" x14ac:dyDescent="0.25">
      <c r="A8288" t="s">
        <v>7749</v>
      </c>
      <c r="B8288" t="s">
        <v>1441</v>
      </c>
      <c r="C8288" t="s">
        <v>1442</v>
      </c>
      <c r="D8288" t="str">
        <f>HYPERLINK("http://service.sap.com/sap/support/notes/1707875","1707875")</f>
        <v>1707875</v>
      </c>
      <c r="E8288">
        <v>2</v>
      </c>
      <c r="F8288" t="s">
        <v>9688</v>
      </c>
    </row>
    <row r="8289" spans="1:6" x14ac:dyDescent="0.25">
      <c r="A8289" t="s">
        <v>7749</v>
      </c>
      <c r="B8289" t="s">
        <v>1441</v>
      </c>
      <c r="C8289" t="s">
        <v>1442</v>
      </c>
      <c r="D8289" t="str">
        <f>HYPERLINK("http://service.sap.com/sap/support/notes/1710936","1710936")</f>
        <v>1710936</v>
      </c>
      <c r="E8289">
        <v>2</v>
      </c>
      <c r="F8289" t="s">
        <v>9689</v>
      </c>
    </row>
    <row r="8290" spans="1:6" x14ac:dyDescent="0.25">
      <c r="A8290" t="s">
        <v>7749</v>
      </c>
      <c r="B8290" t="s">
        <v>1441</v>
      </c>
      <c r="C8290" t="s">
        <v>1442</v>
      </c>
      <c r="D8290" t="str">
        <f>HYPERLINK("http://service.sap.com/sap/support/notes/1712238","1712238")</f>
        <v>1712238</v>
      </c>
      <c r="E8290">
        <v>3</v>
      </c>
      <c r="F8290" t="s">
        <v>9690</v>
      </c>
    </row>
    <row r="8291" spans="1:6" x14ac:dyDescent="0.25">
      <c r="A8291" t="s">
        <v>7749</v>
      </c>
      <c r="B8291" t="s">
        <v>1441</v>
      </c>
      <c r="C8291" t="s">
        <v>1442</v>
      </c>
      <c r="D8291" t="str">
        <f>HYPERLINK("http://service.sap.com/sap/support/notes/1714949","1714949")</f>
        <v>1714949</v>
      </c>
      <c r="E8291">
        <v>3</v>
      </c>
      <c r="F8291" t="s">
        <v>9691</v>
      </c>
    </row>
    <row r="8292" spans="1:6" x14ac:dyDescent="0.25">
      <c r="A8292" t="s">
        <v>7749</v>
      </c>
      <c r="B8292" t="s">
        <v>1450</v>
      </c>
      <c r="C8292" t="s">
        <v>1451</v>
      </c>
      <c r="D8292" t="str">
        <f>HYPERLINK("http://service.sap.com/sap/support/notes/1652519","1652519")</f>
        <v>1652519</v>
      </c>
      <c r="E8292">
        <v>1</v>
      </c>
      <c r="F8292" t="s">
        <v>9692</v>
      </c>
    </row>
    <row r="8293" spans="1:6" x14ac:dyDescent="0.25">
      <c r="A8293" t="s">
        <v>7749</v>
      </c>
      <c r="B8293" t="s">
        <v>1450</v>
      </c>
      <c r="C8293" t="s">
        <v>1451</v>
      </c>
      <c r="D8293" t="str">
        <f>HYPERLINK("http://service.sap.com/sap/support/notes/1674141","1674141")</f>
        <v>1674141</v>
      </c>
      <c r="E8293">
        <v>2</v>
      </c>
      <c r="F8293" t="s">
        <v>9693</v>
      </c>
    </row>
    <row r="8294" spans="1:6" x14ac:dyDescent="0.25">
      <c r="A8294" t="s">
        <v>7749</v>
      </c>
      <c r="B8294" t="s">
        <v>1450</v>
      </c>
      <c r="C8294" t="s">
        <v>1451</v>
      </c>
      <c r="D8294" t="str">
        <f>HYPERLINK("http://service.sap.com/sap/support/notes/1680749","1680749")</f>
        <v>1680749</v>
      </c>
      <c r="E8294">
        <v>4</v>
      </c>
      <c r="F8294" t="s">
        <v>9694</v>
      </c>
    </row>
    <row r="8295" spans="1:6" x14ac:dyDescent="0.25">
      <c r="A8295" t="s">
        <v>7749</v>
      </c>
      <c r="B8295" t="s">
        <v>5885</v>
      </c>
      <c r="C8295" t="s">
        <v>5886</v>
      </c>
      <c r="D8295" t="str">
        <f>HYPERLINK("http://service.sap.com/sap/support/notes/1699831","1699831")</f>
        <v>1699831</v>
      </c>
      <c r="E8295">
        <v>3</v>
      </c>
      <c r="F8295" t="s">
        <v>9695</v>
      </c>
    </row>
    <row r="8296" spans="1:6" x14ac:dyDescent="0.25">
      <c r="A8296" t="s">
        <v>7749</v>
      </c>
      <c r="B8296" t="s">
        <v>1463</v>
      </c>
      <c r="C8296" t="s">
        <v>1464</v>
      </c>
      <c r="D8296" t="str">
        <f>HYPERLINK("http://service.sap.com/sap/support/notes/1698905","1698905")</f>
        <v>1698905</v>
      </c>
      <c r="E8296">
        <v>1</v>
      </c>
      <c r="F8296" t="s">
        <v>9696</v>
      </c>
    </row>
    <row r="8297" spans="1:6" x14ac:dyDescent="0.25">
      <c r="A8297" t="s">
        <v>7749</v>
      </c>
      <c r="B8297" t="s">
        <v>1463</v>
      </c>
      <c r="C8297" t="s">
        <v>1464</v>
      </c>
      <c r="D8297" t="str">
        <f>HYPERLINK("http://service.sap.com/sap/support/notes/1717962","1717962")</f>
        <v>1717962</v>
      </c>
      <c r="E8297">
        <v>1</v>
      </c>
      <c r="F8297" t="s">
        <v>9697</v>
      </c>
    </row>
    <row r="8298" spans="1:6" x14ac:dyDescent="0.25">
      <c r="A8298" t="s">
        <v>7749</v>
      </c>
      <c r="B8298" t="s">
        <v>9698</v>
      </c>
      <c r="C8298" t="s">
        <v>134</v>
      </c>
      <c r="D8298" t="str">
        <f>HYPERLINK("http://service.sap.com/sap/support/notes/1566382","1566382")</f>
        <v>1566382</v>
      </c>
      <c r="E8298">
        <v>13</v>
      </c>
      <c r="F8298" t="s">
        <v>9699</v>
      </c>
    </row>
    <row r="8299" spans="1:6" x14ac:dyDescent="0.25">
      <c r="A8299" t="s">
        <v>7749</v>
      </c>
      <c r="B8299" t="s">
        <v>9698</v>
      </c>
      <c r="C8299" t="s">
        <v>134</v>
      </c>
      <c r="D8299" t="str">
        <f>HYPERLINK("http://service.sap.com/sap/support/notes/1604131","1604131")</f>
        <v>1604131</v>
      </c>
      <c r="E8299">
        <v>5</v>
      </c>
      <c r="F8299" t="s">
        <v>9700</v>
      </c>
    </row>
    <row r="8300" spans="1:6" x14ac:dyDescent="0.25">
      <c r="A8300" t="s">
        <v>7749</v>
      </c>
      <c r="B8300" t="s">
        <v>7651</v>
      </c>
      <c r="C8300" t="s">
        <v>7652</v>
      </c>
      <c r="D8300" t="str">
        <f>HYPERLINK("http://service.sap.com/sap/support/notes/1603440","1603440")</f>
        <v>1603440</v>
      </c>
      <c r="E8300">
        <v>4</v>
      </c>
      <c r="F8300" t="s">
        <v>9701</v>
      </c>
    </row>
    <row r="8301" spans="1:6" x14ac:dyDescent="0.25">
      <c r="A8301" t="s">
        <v>7749</v>
      </c>
      <c r="B8301" t="s">
        <v>7651</v>
      </c>
      <c r="C8301" t="s">
        <v>7652</v>
      </c>
      <c r="D8301" t="str">
        <f>HYPERLINK("http://service.sap.com/sap/support/notes/1694381","1694381")</f>
        <v>1694381</v>
      </c>
      <c r="E8301">
        <v>1</v>
      </c>
      <c r="F8301" t="s">
        <v>9702</v>
      </c>
    </row>
    <row r="8302" spans="1:6" x14ac:dyDescent="0.25">
      <c r="A8302" t="s">
        <v>7749</v>
      </c>
      <c r="B8302" t="s">
        <v>9703</v>
      </c>
      <c r="C8302" t="s">
        <v>9704</v>
      </c>
    </row>
    <row r="8303" spans="1:6" x14ac:dyDescent="0.25">
      <c r="A8303" t="s">
        <v>7749</v>
      </c>
      <c r="B8303" t="s">
        <v>9705</v>
      </c>
      <c r="C8303" t="s">
        <v>132</v>
      </c>
      <c r="D8303" t="str">
        <f>HYPERLINK("http://service.sap.com/sap/support/notes/1718198","1718198")</f>
        <v>1718198</v>
      </c>
      <c r="E8303">
        <v>1</v>
      </c>
      <c r="F8303" t="s">
        <v>9706</v>
      </c>
    </row>
    <row r="8304" spans="1:6" x14ac:dyDescent="0.25">
      <c r="A8304" t="s">
        <v>7749</v>
      </c>
      <c r="B8304" t="s">
        <v>1467</v>
      </c>
      <c r="C8304" t="s">
        <v>1468</v>
      </c>
      <c r="D8304" t="str">
        <f>HYPERLINK("http://service.sap.com/sap/support/notes/1689614","1689614")</f>
        <v>1689614</v>
      </c>
      <c r="E8304">
        <v>6</v>
      </c>
      <c r="F8304" t="s">
        <v>9707</v>
      </c>
    </row>
    <row r="8305" spans="1:6" x14ac:dyDescent="0.25">
      <c r="A8305" t="s">
        <v>7749</v>
      </c>
      <c r="B8305" t="s">
        <v>1467</v>
      </c>
      <c r="C8305" t="s">
        <v>1468</v>
      </c>
      <c r="D8305" t="str">
        <f>HYPERLINK("http://service.sap.com/sap/support/notes/1691489","1691489")</f>
        <v>1691489</v>
      </c>
      <c r="E8305">
        <v>2</v>
      </c>
      <c r="F8305" t="s">
        <v>9708</v>
      </c>
    </row>
    <row r="8306" spans="1:6" x14ac:dyDescent="0.25">
      <c r="A8306" t="s">
        <v>7749</v>
      </c>
      <c r="B8306" t="s">
        <v>1467</v>
      </c>
      <c r="C8306" t="s">
        <v>1468</v>
      </c>
      <c r="D8306" t="str">
        <f>HYPERLINK("http://service.sap.com/sap/support/notes/1700228","1700228")</f>
        <v>1700228</v>
      </c>
      <c r="E8306">
        <v>5</v>
      </c>
      <c r="F8306" t="s">
        <v>9709</v>
      </c>
    </row>
    <row r="8307" spans="1:6" x14ac:dyDescent="0.25">
      <c r="A8307" t="s">
        <v>7749</v>
      </c>
      <c r="B8307" t="s">
        <v>5905</v>
      </c>
      <c r="C8307" t="s">
        <v>5906</v>
      </c>
      <c r="D8307" t="str">
        <f>HYPERLINK("http://service.sap.com/sap/support/notes/1665036","1665036")</f>
        <v>1665036</v>
      </c>
      <c r="E8307">
        <v>1</v>
      </c>
      <c r="F8307" t="s">
        <v>9710</v>
      </c>
    </row>
    <row r="8308" spans="1:6" x14ac:dyDescent="0.25">
      <c r="A8308" t="s">
        <v>7749</v>
      </c>
      <c r="B8308" t="s">
        <v>5905</v>
      </c>
      <c r="C8308" t="s">
        <v>5906</v>
      </c>
      <c r="D8308" t="str">
        <f>HYPERLINK("http://service.sap.com/sap/support/notes/1689305","1689305")</f>
        <v>1689305</v>
      </c>
      <c r="E8308">
        <v>1</v>
      </c>
      <c r="F8308" t="s">
        <v>9711</v>
      </c>
    </row>
    <row r="8309" spans="1:6" x14ac:dyDescent="0.25">
      <c r="A8309" t="s">
        <v>7749</v>
      </c>
      <c r="B8309" t="s">
        <v>1475</v>
      </c>
      <c r="C8309" t="s">
        <v>1476</v>
      </c>
      <c r="D8309" t="str">
        <f>HYPERLINK("http://service.sap.com/sap/support/notes/1626116","1626116")</f>
        <v>1626116</v>
      </c>
      <c r="E8309">
        <v>6</v>
      </c>
      <c r="F8309" t="s">
        <v>9712</v>
      </c>
    </row>
    <row r="8310" spans="1:6" x14ac:dyDescent="0.25">
      <c r="A8310" t="s">
        <v>7749</v>
      </c>
      <c r="B8310" t="s">
        <v>1475</v>
      </c>
      <c r="C8310" t="s">
        <v>1476</v>
      </c>
      <c r="D8310" t="str">
        <f>HYPERLINK("http://service.sap.com/sap/support/notes/1632509","1632509")</f>
        <v>1632509</v>
      </c>
      <c r="E8310">
        <v>4</v>
      </c>
      <c r="F8310" t="s">
        <v>9713</v>
      </c>
    </row>
    <row r="8311" spans="1:6" x14ac:dyDescent="0.25">
      <c r="A8311" t="s">
        <v>7749</v>
      </c>
      <c r="B8311" t="s">
        <v>1475</v>
      </c>
      <c r="C8311" t="s">
        <v>1476</v>
      </c>
      <c r="D8311" t="str">
        <f>HYPERLINK("http://service.sap.com/sap/support/notes/1662083","1662083")</f>
        <v>1662083</v>
      </c>
      <c r="E8311">
        <v>2</v>
      </c>
      <c r="F8311" t="s">
        <v>9714</v>
      </c>
    </row>
    <row r="8312" spans="1:6" x14ac:dyDescent="0.25">
      <c r="A8312" t="s">
        <v>7749</v>
      </c>
      <c r="B8312" t="s">
        <v>1475</v>
      </c>
      <c r="C8312" t="s">
        <v>1476</v>
      </c>
      <c r="D8312" t="str">
        <f>HYPERLINK("http://service.sap.com/sap/support/notes/1663272","1663272")</f>
        <v>1663272</v>
      </c>
      <c r="E8312">
        <v>3</v>
      </c>
      <c r="F8312" t="s">
        <v>9715</v>
      </c>
    </row>
    <row r="8313" spans="1:6" x14ac:dyDescent="0.25">
      <c r="A8313" t="s">
        <v>7749</v>
      </c>
      <c r="B8313" t="s">
        <v>1475</v>
      </c>
      <c r="C8313" t="s">
        <v>1476</v>
      </c>
      <c r="D8313" t="str">
        <f>HYPERLINK("http://service.sap.com/sap/support/notes/1682024","1682024")</f>
        <v>1682024</v>
      </c>
      <c r="E8313">
        <v>3</v>
      </c>
      <c r="F8313" t="s">
        <v>9716</v>
      </c>
    </row>
    <row r="8314" spans="1:6" x14ac:dyDescent="0.25">
      <c r="A8314" t="s">
        <v>7749</v>
      </c>
      <c r="B8314" t="s">
        <v>1475</v>
      </c>
      <c r="C8314" t="s">
        <v>1476</v>
      </c>
      <c r="D8314" t="str">
        <f>HYPERLINK("http://service.sap.com/sap/support/notes/1693028","1693028")</f>
        <v>1693028</v>
      </c>
      <c r="E8314">
        <v>23</v>
      </c>
      <c r="F8314" t="s">
        <v>9717</v>
      </c>
    </row>
    <row r="8315" spans="1:6" x14ac:dyDescent="0.25">
      <c r="A8315" t="s">
        <v>7749</v>
      </c>
      <c r="B8315" t="s">
        <v>1475</v>
      </c>
      <c r="C8315" t="s">
        <v>1476</v>
      </c>
      <c r="D8315" t="str">
        <f>HYPERLINK("http://service.sap.com/sap/support/notes/1701807","1701807")</f>
        <v>1701807</v>
      </c>
      <c r="E8315">
        <v>2</v>
      </c>
      <c r="F8315" t="s">
        <v>7672</v>
      </c>
    </row>
    <row r="8316" spans="1:6" x14ac:dyDescent="0.25">
      <c r="A8316" t="s">
        <v>7749</v>
      </c>
      <c r="B8316" t="s">
        <v>1475</v>
      </c>
      <c r="C8316" t="s">
        <v>1476</v>
      </c>
      <c r="D8316" t="str">
        <f>HYPERLINK("http://service.sap.com/sap/support/notes/1702606","1702606")</f>
        <v>1702606</v>
      </c>
      <c r="E8316">
        <v>5</v>
      </c>
      <c r="F8316" t="s">
        <v>9718</v>
      </c>
    </row>
    <row r="8317" spans="1:6" x14ac:dyDescent="0.25">
      <c r="A8317" t="s">
        <v>7749</v>
      </c>
      <c r="B8317" t="s">
        <v>1475</v>
      </c>
      <c r="C8317" t="s">
        <v>1476</v>
      </c>
      <c r="D8317" t="str">
        <f>HYPERLINK("http://service.sap.com/sap/support/notes/1706856","1706856")</f>
        <v>1706856</v>
      </c>
      <c r="E8317">
        <v>11</v>
      </c>
      <c r="F8317" t="s">
        <v>9719</v>
      </c>
    </row>
    <row r="8318" spans="1:6" x14ac:dyDescent="0.25">
      <c r="A8318" t="s">
        <v>7749</v>
      </c>
      <c r="B8318" t="s">
        <v>1475</v>
      </c>
      <c r="C8318" t="s">
        <v>1476</v>
      </c>
      <c r="D8318" t="str">
        <f>HYPERLINK("http://service.sap.com/sap/support/notes/1714074","1714074")</f>
        <v>1714074</v>
      </c>
      <c r="E8318">
        <v>1</v>
      </c>
      <c r="F8318" t="s">
        <v>9720</v>
      </c>
    </row>
    <row r="8319" spans="1:6" x14ac:dyDescent="0.25">
      <c r="A8319" t="s">
        <v>7749</v>
      </c>
      <c r="B8319" t="s">
        <v>1475</v>
      </c>
      <c r="C8319" t="s">
        <v>1476</v>
      </c>
      <c r="D8319" t="str">
        <f>HYPERLINK("http://service.sap.com/sap/support/notes/1716520","1716520")</f>
        <v>1716520</v>
      </c>
      <c r="E8319">
        <v>3</v>
      </c>
      <c r="F8319" t="s">
        <v>9721</v>
      </c>
    </row>
    <row r="8320" spans="1:6" x14ac:dyDescent="0.25">
      <c r="A8320" t="s">
        <v>7749</v>
      </c>
      <c r="B8320" t="s">
        <v>1478</v>
      </c>
      <c r="C8320" t="s">
        <v>134</v>
      </c>
      <c r="D8320" t="str">
        <f>HYPERLINK("http://service.sap.com/sap/support/notes/1597513","1597513")</f>
        <v>1597513</v>
      </c>
      <c r="E8320">
        <v>1</v>
      </c>
      <c r="F8320" t="s">
        <v>9722</v>
      </c>
    </row>
    <row r="8321" spans="1:6" x14ac:dyDescent="0.25">
      <c r="A8321" t="s">
        <v>7749</v>
      </c>
      <c r="B8321" t="s">
        <v>1478</v>
      </c>
      <c r="C8321" t="s">
        <v>134</v>
      </c>
      <c r="D8321" t="str">
        <f>HYPERLINK("http://service.sap.com/sap/support/notes/1694977","1694977")</f>
        <v>1694977</v>
      </c>
      <c r="E8321">
        <v>14</v>
      </c>
      <c r="F8321" t="s">
        <v>9723</v>
      </c>
    </row>
    <row r="8322" spans="1:6" x14ac:dyDescent="0.25">
      <c r="A8322" t="s">
        <v>7749</v>
      </c>
      <c r="B8322" t="s">
        <v>1478</v>
      </c>
      <c r="C8322" t="s">
        <v>134</v>
      </c>
      <c r="D8322" t="str">
        <f>HYPERLINK("http://service.sap.com/sap/support/notes/1708463","1708463")</f>
        <v>1708463</v>
      </c>
      <c r="E8322">
        <v>9</v>
      </c>
      <c r="F8322" t="s">
        <v>9724</v>
      </c>
    </row>
    <row r="8323" spans="1:6" x14ac:dyDescent="0.25">
      <c r="A8323" t="s">
        <v>7749</v>
      </c>
      <c r="B8323" t="s">
        <v>1478</v>
      </c>
      <c r="C8323" t="s">
        <v>134</v>
      </c>
      <c r="D8323" t="str">
        <f>HYPERLINK("http://service.sap.com/sap/support/notes/1725353","1725353")</f>
        <v>1725353</v>
      </c>
      <c r="E8323">
        <v>3</v>
      </c>
      <c r="F8323" t="s">
        <v>9725</v>
      </c>
    </row>
    <row r="8324" spans="1:6" x14ac:dyDescent="0.25">
      <c r="A8324" t="s">
        <v>7749</v>
      </c>
      <c r="B8324" t="s">
        <v>9726</v>
      </c>
      <c r="C8324" t="s">
        <v>9727</v>
      </c>
      <c r="D8324" t="str">
        <f>HYPERLINK("http://service.sap.com/sap/support/notes/1683781","1683781")</f>
        <v>1683781</v>
      </c>
      <c r="E8324">
        <v>1</v>
      </c>
      <c r="F8324" t="s">
        <v>9728</v>
      </c>
    </row>
    <row r="8325" spans="1:6" x14ac:dyDescent="0.25">
      <c r="A8325" t="s">
        <v>7749</v>
      </c>
      <c r="B8325" t="s">
        <v>1484</v>
      </c>
      <c r="C8325" t="s">
        <v>1485</v>
      </c>
      <c r="D8325" t="str">
        <f>HYPERLINK("http://service.sap.com/sap/support/notes/1689325","1689325")</f>
        <v>1689325</v>
      </c>
      <c r="E8325">
        <v>2</v>
      </c>
      <c r="F8325" t="s">
        <v>9729</v>
      </c>
    </row>
    <row r="8326" spans="1:6" x14ac:dyDescent="0.25">
      <c r="A8326" t="s">
        <v>7749</v>
      </c>
      <c r="B8326" t="s">
        <v>1484</v>
      </c>
      <c r="C8326" t="s">
        <v>1485</v>
      </c>
      <c r="D8326" t="str">
        <f>HYPERLINK("http://service.sap.com/sap/support/notes/1720704","1720704")</f>
        <v>1720704</v>
      </c>
      <c r="E8326">
        <v>1</v>
      </c>
      <c r="F8326" t="s">
        <v>9730</v>
      </c>
    </row>
    <row r="8327" spans="1:6" x14ac:dyDescent="0.25">
      <c r="A8327" t="s">
        <v>7749</v>
      </c>
      <c r="B8327" t="s">
        <v>1486</v>
      </c>
      <c r="C8327" t="s">
        <v>132</v>
      </c>
      <c r="D8327" t="str">
        <f>HYPERLINK("http://service.sap.com/sap/support/notes/1122397","1122397")</f>
        <v>1122397</v>
      </c>
      <c r="E8327">
        <v>7</v>
      </c>
      <c r="F8327" t="s">
        <v>9731</v>
      </c>
    </row>
    <row r="8328" spans="1:6" x14ac:dyDescent="0.25">
      <c r="A8328" t="s">
        <v>7749</v>
      </c>
      <c r="B8328" t="s">
        <v>1486</v>
      </c>
      <c r="C8328" t="s">
        <v>132</v>
      </c>
      <c r="D8328" t="str">
        <f>HYPERLINK("http://service.sap.com/sap/support/notes/1665128","1665128")</f>
        <v>1665128</v>
      </c>
      <c r="E8328">
        <v>9</v>
      </c>
      <c r="F8328" t="s">
        <v>9732</v>
      </c>
    </row>
    <row r="8329" spans="1:6" x14ac:dyDescent="0.25">
      <c r="A8329" t="s">
        <v>7749</v>
      </c>
      <c r="B8329" t="s">
        <v>1486</v>
      </c>
      <c r="C8329" t="s">
        <v>132</v>
      </c>
      <c r="D8329" t="str">
        <f>HYPERLINK("http://service.sap.com/sap/support/notes/1673932","1673932")</f>
        <v>1673932</v>
      </c>
      <c r="E8329">
        <v>5</v>
      </c>
      <c r="F8329" t="s">
        <v>9733</v>
      </c>
    </row>
    <row r="8330" spans="1:6" x14ac:dyDescent="0.25">
      <c r="A8330" t="s">
        <v>7749</v>
      </c>
      <c r="B8330" t="s">
        <v>1486</v>
      </c>
      <c r="C8330" t="s">
        <v>132</v>
      </c>
      <c r="D8330" t="str">
        <f>HYPERLINK("http://service.sap.com/sap/support/notes/1686772","1686772")</f>
        <v>1686772</v>
      </c>
      <c r="E8330">
        <v>4</v>
      </c>
      <c r="F8330" t="s">
        <v>9734</v>
      </c>
    </row>
    <row r="8331" spans="1:6" x14ac:dyDescent="0.25">
      <c r="A8331" t="s">
        <v>7749</v>
      </c>
      <c r="B8331" t="s">
        <v>1486</v>
      </c>
      <c r="C8331" t="s">
        <v>132</v>
      </c>
      <c r="D8331" t="str">
        <f>HYPERLINK("http://service.sap.com/sap/support/notes/1691844","1691844")</f>
        <v>1691844</v>
      </c>
      <c r="E8331">
        <v>4</v>
      </c>
      <c r="F8331" t="s">
        <v>9735</v>
      </c>
    </row>
    <row r="8332" spans="1:6" x14ac:dyDescent="0.25">
      <c r="A8332" t="s">
        <v>7749</v>
      </c>
      <c r="B8332" t="s">
        <v>1486</v>
      </c>
      <c r="C8332" t="s">
        <v>132</v>
      </c>
      <c r="D8332" t="str">
        <f>HYPERLINK("http://service.sap.com/sap/support/notes/1695097","1695097")</f>
        <v>1695097</v>
      </c>
      <c r="E8332">
        <v>9</v>
      </c>
      <c r="F8332" t="s">
        <v>9736</v>
      </c>
    </row>
    <row r="8333" spans="1:6" x14ac:dyDescent="0.25">
      <c r="A8333" t="s">
        <v>7749</v>
      </c>
      <c r="B8333" t="s">
        <v>1486</v>
      </c>
      <c r="C8333" t="s">
        <v>132</v>
      </c>
      <c r="D8333" t="str">
        <f>HYPERLINK("http://service.sap.com/sap/support/notes/1697706","1697706")</f>
        <v>1697706</v>
      </c>
      <c r="E8333">
        <v>2</v>
      </c>
      <c r="F8333" t="s">
        <v>9737</v>
      </c>
    </row>
    <row r="8334" spans="1:6" x14ac:dyDescent="0.25">
      <c r="A8334" t="s">
        <v>7749</v>
      </c>
      <c r="B8334" t="s">
        <v>1486</v>
      </c>
      <c r="C8334" t="s">
        <v>132</v>
      </c>
      <c r="D8334" t="str">
        <f>HYPERLINK("http://service.sap.com/sap/support/notes/1698383","1698383")</f>
        <v>1698383</v>
      </c>
      <c r="E8334">
        <v>4</v>
      </c>
      <c r="F8334" t="s">
        <v>9738</v>
      </c>
    </row>
    <row r="8335" spans="1:6" x14ac:dyDescent="0.25">
      <c r="A8335" t="s">
        <v>7749</v>
      </c>
      <c r="B8335" t="s">
        <v>1486</v>
      </c>
      <c r="C8335" t="s">
        <v>132</v>
      </c>
      <c r="D8335" t="str">
        <f>HYPERLINK("http://service.sap.com/sap/support/notes/1698384","1698384")</f>
        <v>1698384</v>
      </c>
      <c r="E8335">
        <v>3</v>
      </c>
      <c r="F8335" t="s">
        <v>9738</v>
      </c>
    </row>
    <row r="8336" spans="1:6" x14ac:dyDescent="0.25">
      <c r="A8336" t="s">
        <v>7749</v>
      </c>
      <c r="B8336" t="s">
        <v>1486</v>
      </c>
      <c r="C8336" t="s">
        <v>132</v>
      </c>
      <c r="D8336" t="str">
        <f>HYPERLINK("http://service.sap.com/sap/support/notes/1698776","1698776")</f>
        <v>1698776</v>
      </c>
      <c r="E8336">
        <v>1</v>
      </c>
      <c r="F8336" t="s">
        <v>9739</v>
      </c>
    </row>
    <row r="8337" spans="1:6" x14ac:dyDescent="0.25">
      <c r="A8337" t="s">
        <v>7749</v>
      </c>
      <c r="B8337" t="s">
        <v>1486</v>
      </c>
      <c r="C8337" t="s">
        <v>132</v>
      </c>
      <c r="D8337" t="str">
        <f>HYPERLINK("http://service.sap.com/sap/support/notes/1698779","1698779")</f>
        <v>1698779</v>
      </c>
      <c r="E8337">
        <v>2</v>
      </c>
      <c r="F8337" t="s">
        <v>9740</v>
      </c>
    </row>
    <row r="8338" spans="1:6" x14ac:dyDescent="0.25">
      <c r="A8338" t="s">
        <v>7749</v>
      </c>
      <c r="B8338" t="s">
        <v>1486</v>
      </c>
      <c r="C8338" t="s">
        <v>132</v>
      </c>
      <c r="D8338" t="str">
        <f>HYPERLINK("http://service.sap.com/sap/support/notes/1699249","1699249")</f>
        <v>1699249</v>
      </c>
      <c r="E8338">
        <v>1</v>
      </c>
      <c r="F8338" t="s">
        <v>9741</v>
      </c>
    </row>
    <row r="8339" spans="1:6" x14ac:dyDescent="0.25">
      <c r="A8339" t="s">
        <v>7749</v>
      </c>
      <c r="B8339" t="s">
        <v>1486</v>
      </c>
      <c r="C8339" t="s">
        <v>132</v>
      </c>
      <c r="D8339" t="str">
        <f>HYPERLINK("http://service.sap.com/sap/support/notes/1701510","1701510")</f>
        <v>1701510</v>
      </c>
      <c r="E8339">
        <v>2</v>
      </c>
      <c r="F8339" t="s">
        <v>9742</v>
      </c>
    </row>
    <row r="8340" spans="1:6" x14ac:dyDescent="0.25">
      <c r="A8340" t="s">
        <v>7749</v>
      </c>
      <c r="B8340" t="s">
        <v>1486</v>
      </c>
      <c r="C8340" t="s">
        <v>132</v>
      </c>
      <c r="D8340" t="str">
        <f>HYPERLINK("http://service.sap.com/sap/support/notes/1701776","1701776")</f>
        <v>1701776</v>
      </c>
      <c r="E8340">
        <v>1</v>
      </c>
      <c r="F8340" t="s">
        <v>9743</v>
      </c>
    </row>
    <row r="8341" spans="1:6" x14ac:dyDescent="0.25">
      <c r="A8341" t="s">
        <v>7749</v>
      </c>
      <c r="B8341" t="s">
        <v>1486</v>
      </c>
      <c r="C8341" t="s">
        <v>132</v>
      </c>
      <c r="D8341" t="str">
        <f>HYPERLINK("http://service.sap.com/sap/support/notes/1702144","1702144")</f>
        <v>1702144</v>
      </c>
      <c r="E8341">
        <v>3</v>
      </c>
      <c r="F8341" t="s">
        <v>9744</v>
      </c>
    </row>
    <row r="8342" spans="1:6" x14ac:dyDescent="0.25">
      <c r="A8342" t="s">
        <v>7749</v>
      </c>
      <c r="B8342" t="s">
        <v>1486</v>
      </c>
      <c r="C8342" t="s">
        <v>132</v>
      </c>
      <c r="D8342" t="str">
        <f>HYPERLINK("http://service.sap.com/sap/support/notes/1702300","1702300")</f>
        <v>1702300</v>
      </c>
      <c r="E8342">
        <v>1</v>
      </c>
      <c r="F8342" t="s">
        <v>9745</v>
      </c>
    </row>
    <row r="8343" spans="1:6" x14ac:dyDescent="0.25">
      <c r="A8343" t="s">
        <v>7749</v>
      </c>
      <c r="B8343" t="s">
        <v>1486</v>
      </c>
      <c r="C8343" t="s">
        <v>132</v>
      </c>
      <c r="D8343" t="str">
        <f>HYPERLINK("http://service.sap.com/sap/support/notes/1702760","1702760")</f>
        <v>1702760</v>
      </c>
      <c r="E8343">
        <v>1</v>
      </c>
      <c r="F8343" t="s">
        <v>9746</v>
      </c>
    </row>
    <row r="8344" spans="1:6" x14ac:dyDescent="0.25">
      <c r="A8344" t="s">
        <v>7749</v>
      </c>
      <c r="B8344" t="s">
        <v>1486</v>
      </c>
      <c r="C8344" t="s">
        <v>132</v>
      </c>
      <c r="D8344" t="str">
        <f>HYPERLINK("http://service.sap.com/sap/support/notes/1702829","1702829")</f>
        <v>1702829</v>
      </c>
      <c r="E8344">
        <v>1</v>
      </c>
      <c r="F8344" t="s">
        <v>9747</v>
      </c>
    </row>
    <row r="8345" spans="1:6" x14ac:dyDescent="0.25">
      <c r="A8345" t="s">
        <v>7749</v>
      </c>
      <c r="B8345" t="s">
        <v>1486</v>
      </c>
      <c r="C8345" t="s">
        <v>132</v>
      </c>
      <c r="D8345" t="str">
        <f>HYPERLINK("http://service.sap.com/sap/support/notes/1702831","1702831")</f>
        <v>1702831</v>
      </c>
      <c r="E8345">
        <v>1</v>
      </c>
      <c r="F8345" t="s">
        <v>9748</v>
      </c>
    </row>
    <row r="8346" spans="1:6" x14ac:dyDescent="0.25">
      <c r="A8346" t="s">
        <v>7749</v>
      </c>
      <c r="B8346" t="s">
        <v>1486</v>
      </c>
      <c r="C8346" t="s">
        <v>132</v>
      </c>
      <c r="D8346" t="str">
        <f>HYPERLINK("http://service.sap.com/sap/support/notes/1703145","1703145")</f>
        <v>1703145</v>
      </c>
      <c r="E8346">
        <v>1</v>
      </c>
      <c r="F8346" t="s">
        <v>9749</v>
      </c>
    </row>
    <row r="8347" spans="1:6" x14ac:dyDescent="0.25">
      <c r="A8347" t="s">
        <v>7749</v>
      </c>
      <c r="B8347" t="s">
        <v>1486</v>
      </c>
      <c r="C8347" t="s">
        <v>132</v>
      </c>
      <c r="D8347" t="str">
        <f>HYPERLINK("http://service.sap.com/sap/support/notes/1703153","1703153")</f>
        <v>1703153</v>
      </c>
      <c r="E8347">
        <v>2</v>
      </c>
      <c r="F8347" t="s">
        <v>9750</v>
      </c>
    </row>
    <row r="8348" spans="1:6" x14ac:dyDescent="0.25">
      <c r="A8348" t="s">
        <v>7749</v>
      </c>
      <c r="B8348" t="s">
        <v>1486</v>
      </c>
      <c r="C8348" t="s">
        <v>132</v>
      </c>
      <c r="D8348" t="str">
        <f>HYPERLINK("http://service.sap.com/sap/support/notes/1704155","1704155")</f>
        <v>1704155</v>
      </c>
      <c r="E8348">
        <v>3</v>
      </c>
      <c r="F8348" t="s">
        <v>9751</v>
      </c>
    </row>
    <row r="8349" spans="1:6" x14ac:dyDescent="0.25">
      <c r="A8349" t="s">
        <v>7749</v>
      </c>
      <c r="B8349" t="s">
        <v>1486</v>
      </c>
      <c r="C8349" t="s">
        <v>132</v>
      </c>
      <c r="D8349" t="str">
        <f>HYPERLINK("http://service.sap.com/sap/support/notes/1704431","1704431")</f>
        <v>1704431</v>
      </c>
      <c r="E8349">
        <v>1</v>
      </c>
      <c r="F8349" t="s">
        <v>9752</v>
      </c>
    </row>
    <row r="8350" spans="1:6" x14ac:dyDescent="0.25">
      <c r="A8350" t="s">
        <v>7749</v>
      </c>
      <c r="B8350" t="s">
        <v>1486</v>
      </c>
      <c r="C8350" t="s">
        <v>132</v>
      </c>
      <c r="D8350" t="str">
        <f>HYPERLINK("http://service.sap.com/sap/support/notes/1704703","1704703")</f>
        <v>1704703</v>
      </c>
      <c r="E8350">
        <v>4</v>
      </c>
      <c r="F8350" t="s">
        <v>9753</v>
      </c>
    </row>
    <row r="8351" spans="1:6" x14ac:dyDescent="0.25">
      <c r="A8351" t="s">
        <v>7749</v>
      </c>
      <c r="B8351" t="s">
        <v>1486</v>
      </c>
      <c r="C8351" t="s">
        <v>132</v>
      </c>
      <c r="D8351" t="str">
        <f>HYPERLINK("http://service.sap.com/sap/support/notes/1705967","1705967")</f>
        <v>1705967</v>
      </c>
      <c r="E8351">
        <v>1</v>
      </c>
      <c r="F8351" t="s">
        <v>9754</v>
      </c>
    </row>
    <row r="8352" spans="1:6" x14ac:dyDescent="0.25">
      <c r="A8352" t="s">
        <v>7749</v>
      </c>
      <c r="B8352" t="s">
        <v>1486</v>
      </c>
      <c r="C8352" t="s">
        <v>132</v>
      </c>
      <c r="D8352" t="str">
        <f>HYPERLINK("http://service.sap.com/sap/support/notes/1706225","1706225")</f>
        <v>1706225</v>
      </c>
      <c r="E8352">
        <v>1</v>
      </c>
      <c r="F8352" t="s">
        <v>9755</v>
      </c>
    </row>
    <row r="8353" spans="1:6" x14ac:dyDescent="0.25">
      <c r="A8353" t="s">
        <v>7749</v>
      </c>
      <c r="B8353" t="s">
        <v>1486</v>
      </c>
      <c r="C8353" t="s">
        <v>132</v>
      </c>
      <c r="D8353" t="str">
        <f>HYPERLINK("http://service.sap.com/sap/support/notes/1706767","1706767")</f>
        <v>1706767</v>
      </c>
      <c r="E8353">
        <v>1</v>
      </c>
      <c r="F8353" t="s">
        <v>9756</v>
      </c>
    </row>
    <row r="8354" spans="1:6" x14ac:dyDescent="0.25">
      <c r="A8354" t="s">
        <v>7749</v>
      </c>
      <c r="B8354" t="s">
        <v>1486</v>
      </c>
      <c r="C8354" t="s">
        <v>132</v>
      </c>
      <c r="D8354" t="str">
        <f>HYPERLINK("http://service.sap.com/sap/support/notes/1707061","1707061")</f>
        <v>1707061</v>
      </c>
      <c r="E8354">
        <v>1</v>
      </c>
      <c r="F8354" t="s">
        <v>9757</v>
      </c>
    </row>
    <row r="8355" spans="1:6" x14ac:dyDescent="0.25">
      <c r="A8355" t="s">
        <v>7749</v>
      </c>
      <c r="B8355" t="s">
        <v>1486</v>
      </c>
      <c r="C8355" t="s">
        <v>132</v>
      </c>
      <c r="D8355" t="str">
        <f>HYPERLINK("http://service.sap.com/sap/support/notes/1707254","1707254")</f>
        <v>1707254</v>
      </c>
      <c r="E8355">
        <v>1</v>
      </c>
      <c r="F8355" t="s">
        <v>9758</v>
      </c>
    </row>
    <row r="8356" spans="1:6" x14ac:dyDescent="0.25">
      <c r="A8356" t="s">
        <v>7749</v>
      </c>
      <c r="B8356" t="s">
        <v>1486</v>
      </c>
      <c r="C8356" t="s">
        <v>132</v>
      </c>
      <c r="D8356" t="str">
        <f>HYPERLINK("http://service.sap.com/sap/support/notes/1707608","1707608")</f>
        <v>1707608</v>
      </c>
      <c r="E8356">
        <v>1</v>
      </c>
      <c r="F8356" t="s">
        <v>9759</v>
      </c>
    </row>
    <row r="8357" spans="1:6" x14ac:dyDescent="0.25">
      <c r="A8357" t="s">
        <v>7749</v>
      </c>
      <c r="B8357" t="s">
        <v>1486</v>
      </c>
      <c r="C8357" t="s">
        <v>132</v>
      </c>
      <c r="D8357" t="str">
        <f>HYPERLINK("http://service.sap.com/sap/support/notes/1707857","1707857")</f>
        <v>1707857</v>
      </c>
      <c r="E8357">
        <v>2</v>
      </c>
      <c r="F8357" t="s">
        <v>9760</v>
      </c>
    </row>
    <row r="8358" spans="1:6" x14ac:dyDescent="0.25">
      <c r="A8358" t="s">
        <v>7749</v>
      </c>
      <c r="B8358" t="s">
        <v>1486</v>
      </c>
      <c r="C8358" t="s">
        <v>132</v>
      </c>
      <c r="D8358" t="str">
        <f>HYPERLINK("http://service.sap.com/sap/support/notes/1708437","1708437")</f>
        <v>1708437</v>
      </c>
      <c r="E8358">
        <v>2</v>
      </c>
      <c r="F8358" t="s">
        <v>9761</v>
      </c>
    </row>
    <row r="8359" spans="1:6" x14ac:dyDescent="0.25">
      <c r="A8359" t="s">
        <v>7749</v>
      </c>
      <c r="B8359" t="s">
        <v>1486</v>
      </c>
      <c r="C8359" t="s">
        <v>132</v>
      </c>
      <c r="D8359" t="str">
        <f>HYPERLINK("http://service.sap.com/sap/support/notes/1709152","1709152")</f>
        <v>1709152</v>
      </c>
      <c r="E8359">
        <v>1</v>
      </c>
      <c r="F8359" t="s">
        <v>9762</v>
      </c>
    </row>
    <row r="8360" spans="1:6" x14ac:dyDescent="0.25">
      <c r="A8360" t="s">
        <v>7749</v>
      </c>
      <c r="B8360" t="s">
        <v>1486</v>
      </c>
      <c r="C8360" t="s">
        <v>132</v>
      </c>
      <c r="D8360" t="str">
        <f>HYPERLINK("http://service.sap.com/sap/support/notes/1709839","1709839")</f>
        <v>1709839</v>
      </c>
      <c r="E8360">
        <v>1</v>
      </c>
      <c r="F8360" t="s">
        <v>9763</v>
      </c>
    </row>
    <row r="8361" spans="1:6" x14ac:dyDescent="0.25">
      <c r="A8361" t="s">
        <v>7749</v>
      </c>
      <c r="B8361" t="s">
        <v>1486</v>
      </c>
      <c r="C8361" t="s">
        <v>132</v>
      </c>
      <c r="D8361" t="str">
        <f>HYPERLINK("http://service.sap.com/sap/support/notes/1710598","1710598")</f>
        <v>1710598</v>
      </c>
      <c r="E8361">
        <v>1</v>
      </c>
      <c r="F8361" t="s">
        <v>9764</v>
      </c>
    </row>
    <row r="8362" spans="1:6" x14ac:dyDescent="0.25">
      <c r="A8362" t="s">
        <v>7749</v>
      </c>
      <c r="B8362" t="s">
        <v>1486</v>
      </c>
      <c r="C8362" t="s">
        <v>132</v>
      </c>
      <c r="D8362" t="str">
        <f>HYPERLINK("http://service.sap.com/sap/support/notes/1710760","1710760")</f>
        <v>1710760</v>
      </c>
      <c r="E8362">
        <v>1</v>
      </c>
      <c r="F8362" t="s">
        <v>9765</v>
      </c>
    </row>
    <row r="8363" spans="1:6" x14ac:dyDescent="0.25">
      <c r="A8363" t="s">
        <v>7749</v>
      </c>
      <c r="B8363" t="s">
        <v>1486</v>
      </c>
      <c r="C8363" t="s">
        <v>132</v>
      </c>
      <c r="D8363" t="str">
        <f>HYPERLINK("http://service.sap.com/sap/support/notes/1710786","1710786")</f>
        <v>1710786</v>
      </c>
      <c r="E8363">
        <v>1</v>
      </c>
      <c r="F8363" t="s">
        <v>9766</v>
      </c>
    </row>
    <row r="8364" spans="1:6" x14ac:dyDescent="0.25">
      <c r="A8364" t="s">
        <v>7749</v>
      </c>
      <c r="B8364" t="s">
        <v>1486</v>
      </c>
      <c r="C8364" t="s">
        <v>132</v>
      </c>
      <c r="D8364" t="str">
        <f>HYPERLINK("http://service.sap.com/sap/support/notes/1710825","1710825")</f>
        <v>1710825</v>
      </c>
      <c r="E8364">
        <v>1</v>
      </c>
      <c r="F8364" t="s">
        <v>9767</v>
      </c>
    </row>
    <row r="8365" spans="1:6" x14ac:dyDescent="0.25">
      <c r="A8365" t="s">
        <v>7749</v>
      </c>
      <c r="B8365" t="s">
        <v>1486</v>
      </c>
      <c r="C8365" t="s">
        <v>132</v>
      </c>
      <c r="D8365" t="str">
        <f>HYPERLINK("http://service.sap.com/sap/support/notes/1710849","1710849")</f>
        <v>1710849</v>
      </c>
      <c r="E8365">
        <v>1</v>
      </c>
      <c r="F8365" t="s">
        <v>9768</v>
      </c>
    </row>
    <row r="8366" spans="1:6" x14ac:dyDescent="0.25">
      <c r="A8366" t="s">
        <v>7749</v>
      </c>
      <c r="B8366" t="s">
        <v>1486</v>
      </c>
      <c r="C8366" t="s">
        <v>132</v>
      </c>
      <c r="D8366" t="str">
        <f>HYPERLINK("http://service.sap.com/sap/support/notes/1710984","1710984")</f>
        <v>1710984</v>
      </c>
      <c r="E8366">
        <v>1</v>
      </c>
      <c r="F8366" t="s">
        <v>9769</v>
      </c>
    </row>
    <row r="8367" spans="1:6" x14ac:dyDescent="0.25">
      <c r="A8367" t="s">
        <v>7749</v>
      </c>
      <c r="B8367" t="s">
        <v>1486</v>
      </c>
      <c r="C8367" t="s">
        <v>132</v>
      </c>
      <c r="D8367" t="str">
        <f>HYPERLINK("http://service.sap.com/sap/support/notes/1711413","1711413")</f>
        <v>1711413</v>
      </c>
      <c r="E8367">
        <v>4</v>
      </c>
      <c r="F8367" t="s">
        <v>9764</v>
      </c>
    </row>
    <row r="8368" spans="1:6" x14ac:dyDescent="0.25">
      <c r="A8368" t="s">
        <v>7749</v>
      </c>
      <c r="B8368" t="s">
        <v>1486</v>
      </c>
      <c r="C8368" t="s">
        <v>132</v>
      </c>
      <c r="D8368" t="str">
        <f>HYPERLINK("http://service.sap.com/sap/support/notes/1711523","1711523")</f>
        <v>1711523</v>
      </c>
      <c r="E8368">
        <v>3</v>
      </c>
      <c r="F8368" t="s">
        <v>9770</v>
      </c>
    </row>
    <row r="8369" spans="1:6" x14ac:dyDescent="0.25">
      <c r="A8369" t="s">
        <v>7749</v>
      </c>
      <c r="B8369" t="s">
        <v>1486</v>
      </c>
      <c r="C8369" t="s">
        <v>132</v>
      </c>
      <c r="D8369" t="str">
        <f>HYPERLINK("http://service.sap.com/sap/support/notes/1711527","1711527")</f>
        <v>1711527</v>
      </c>
      <c r="E8369">
        <v>3</v>
      </c>
      <c r="F8369" t="s">
        <v>9771</v>
      </c>
    </row>
    <row r="8370" spans="1:6" x14ac:dyDescent="0.25">
      <c r="A8370" t="s">
        <v>7749</v>
      </c>
      <c r="B8370" t="s">
        <v>1486</v>
      </c>
      <c r="C8370" t="s">
        <v>132</v>
      </c>
      <c r="D8370" t="str">
        <f>HYPERLINK("http://service.sap.com/sap/support/notes/1711891","1711891")</f>
        <v>1711891</v>
      </c>
      <c r="E8370">
        <v>1</v>
      </c>
      <c r="F8370" t="s">
        <v>9772</v>
      </c>
    </row>
    <row r="8371" spans="1:6" x14ac:dyDescent="0.25">
      <c r="A8371" t="s">
        <v>7749</v>
      </c>
      <c r="B8371" t="s">
        <v>1486</v>
      </c>
      <c r="C8371" t="s">
        <v>132</v>
      </c>
      <c r="D8371" t="str">
        <f>HYPERLINK("http://service.sap.com/sap/support/notes/1712268","1712268")</f>
        <v>1712268</v>
      </c>
      <c r="E8371">
        <v>2</v>
      </c>
      <c r="F8371" t="s">
        <v>9773</v>
      </c>
    </row>
    <row r="8372" spans="1:6" x14ac:dyDescent="0.25">
      <c r="A8372" t="s">
        <v>7749</v>
      </c>
      <c r="B8372" t="s">
        <v>1486</v>
      </c>
      <c r="C8372" t="s">
        <v>132</v>
      </c>
      <c r="D8372" t="str">
        <f>HYPERLINK("http://service.sap.com/sap/support/notes/1712450","1712450")</f>
        <v>1712450</v>
      </c>
      <c r="E8372">
        <v>2</v>
      </c>
      <c r="F8372" t="s">
        <v>9774</v>
      </c>
    </row>
    <row r="8373" spans="1:6" x14ac:dyDescent="0.25">
      <c r="A8373" t="s">
        <v>7749</v>
      </c>
      <c r="B8373" t="s">
        <v>1486</v>
      </c>
      <c r="C8373" t="s">
        <v>132</v>
      </c>
      <c r="D8373" t="str">
        <f>HYPERLINK("http://service.sap.com/sap/support/notes/1712858","1712858")</f>
        <v>1712858</v>
      </c>
      <c r="E8373">
        <v>3</v>
      </c>
      <c r="F8373" t="s">
        <v>9775</v>
      </c>
    </row>
    <row r="8374" spans="1:6" x14ac:dyDescent="0.25">
      <c r="A8374" t="s">
        <v>7749</v>
      </c>
      <c r="B8374" t="s">
        <v>1486</v>
      </c>
      <c r="C8374" t="s">
        <v>132</v>
      </c>
      <c r="D8374" t="str">
        <f>HYPERLINK("http://service.sap.com/sap/support/notes/1713094","1713094")</f>
        <v>1713094</v>
      </c>
      <c r="E8374">
        <v>2</v>
      </c>
      <c r="F8374" t="s">
        <v>9776</v>
      </c>
    </row>
    <row r="8375" spans="1:6" x14ac:dyDescent="0.25">
      <c r="A8375" t="s">
        <v>7749</v>
      </c>
      <c r="B8375" t="s">
        <v>1486</v>
      </c>
      <c r="C8375" t="s">
        <v>132</v>
      </c>
      <c r="D8375" t="str">
        <f>HYPERLINK("http://service.sap.com/sap/support/notes/1713239","1713239")</f>
        <v>1713239</v>
      </c>
      <c r="E8375">
        <v>1</v>
      </c>
      <c r="F8375" t="s">
        <v>9777</v>
      </c>
    </row>
    <row r="8376" spans="1:6" x14ac:dyDescent="0.25">
      <c r="A8376" t="s">
        <v>7749</v>
      </c>
      <c r="B8376" t="s">
        <v>1486</v>
      </c>
      <c r="C8376" t="s">
        <v>132</v>
      </c>
      <c r="D8376" t="str">
        <f>HYPERLINK("http://service.sap.com/sap/support/notes/1713283","1713283")</f>
        <v>1713283</v>
      </c>
      <c r="E8376">
        <v>1</v>
      </c>
      <c r="F8376" t="s">
        <v>9778</v>
      </c>
    </row>
    <row r="8377" spans="1:6" x14ac:dyDescent="0.25">
      <c r="A8377" t="s">
        <v>7749</v>
      </c>
      <c r="B8377" t="s">
        <v>1486</v>
      </c>
      <c r="C8377" t="s">
        <v>132</v>
      </c>
      <c r="D8377" t="str">
        <f>HYPERLINK("http://service.sap.com/sap/support/notes/1715442","1715442")</f>
        <v>1715442</v>
      </c>
      <c r="E8377">
        <v>1</v>
      </c>
      <c r="F8377" t="s">
        <v>9779</v>
      </c>
    </row>
    <row r="8378" spans="1:6" x14ac:dyDescent="0.25">
      <c r="A8378" t="s">
        <v>7749</v>
      </c>
      <c r="B8378" t="s">
        <v>1486</v>
      </c>
      <c r="C8378" t="s">
        <v>132</v>
      </c>
      <c r="D8378" t="str">
        <f>HYPERLINK("http://service.sap.com/sap/support/notes/1715474","1715474")</f>
        <v>1715474</v>
      </c>
      <c r="E8378">
        <v>5</v>
      </c>
      <c r="F8378" t="s">
        <v>9780</v>
      </c>
    </row>
    <row r="8379" spans="1:6" x14ac:dyDescent="0.25">
      <c r="A8379" t="s">
        <v>7749</v>
      </c>
      <c r="B8379" t="s">
        <v>1486</v>
      </c>
      <c r="C8379" t="s">
        <v>132</v>
      </c>
      <c r="D8379" t="str">
        <f>HYPERLINK("http://service.sap.com/sap/support/notes/1718196","1718196")</f>
        <v>1718196</v>
      </c>
      <c r="E8379">
        <v>1</v>
      </c>
      <c r="F8379" t="s">
        <v>9781</v>
      </c>
    </row>
    <row r="8380" spans="1:6" x14ac:dyDescent="0.25">
      <c r="A8380" t="s">
        <v>7749</v>
      </c>
      <c r="B8380" t="s">
        <v>1486</v>
      </c>
      <c r="C8380" t="s">
        <v>132</v>
      </c>
      <c r="D8380" t="str">
        <f>HYPERLINK("http://service.sap.com/sap/support/notes/1718224","1718224")</f>
        <v>1718224</v>
      </c>
      <c r="E8380">
        <v>2</v>
      </c>
      <c r="F8380" t="s">
        <v>9782</v>
      </c>
    </row>
    <row r="8381" spans="1:6" x14ac:dyDescent="0.25">
      <c r="A8381" t="s">
        <v>7749</v>
      </c>
      <c r="B8381" t="s">
        <v>1486</v>
      </c>
      <c r="C8381" t="s">
        <v>132</v>
      </c>
      <c r="D8381" t="str">
        <f>HYPERLINK("http://service.sap.com/sap/support/notes/1718227","1718227")</f>
        <v>1718227</v>
      </c>
      <c r="E8381">
        <v>2</v>
      </c>
      <c r="F8381" t="s">
        <v>9783</v>
      </c>
    </row>
    <row r="8382" spans="1:6" x14ac:dyDescent="0.25">
      <c r="A8382" t="s">
        <v>7749</v>
      </c>
      <c r="B8382" t="s">
        <v>1486</v>
      </c>
      <c r="C8382" t="s">
        <v>132</v>
      </c>
      <c r="D8382" t="str">
        <f>HYPERLINK("http://service.sap.com/sap/support/notes/1718328","1718328")</f>
        <v>1718328</v>
      </c>
      <c r="E8382">
        <v>2</v>
      </c>
      <c r="F8382" t="s">
        <v>9784</v>
      </c>
    </row>
    <row r="8383" spans="1:6" x14ac:dyDescent="0.25">
      <c r="A8383" t="s">
        <v>7749</v>
      </c>
      <c r="B8383" t="s">
        <v>1486</v>
      </c>
      <c r="C8383" t="s">
        <v>132</v>
      </c>
      <c r="D8383" t="str">
        <f>HYPERLINK("http://service.sap.com/sap/support/notes/1718861","1718861")</f>
        <v>1718861</v>
      </c>
      <c r="E8383">
        <v>1</v>
      </c>
      <c r="F8383" t="s">
        <v>9785</v>
      </c>
    </row>
    <row r="8384" spans="1:6" x14ac:dyDescent="0.25">
      <c r="A8384" t="s">
        <v>7749</v>
      </c>
      <c r="B8384" t="s">
        <v>1486</v>
      </c>
      <c r="C8384" t="s">
        <v>132</v>
      </c>
      <c r="D8384" t="str">
        <f>HYPERLINK("http://service.sap.com/sap/support/notes/1719271","1719271")</f>
        <v>1719271</v>
      </c>
      <c r="E8384">
        <v>1</v>
      </c>
      <c r="F8384" t="s">
        <v>9786</v>
      </c>
    </row>
    <row r="8385" spans="1:6" x14ac:dyDescent="0.25">
      <c r="A8385" t="s">
        <v>7749</v>
      </c>
      <c r="B8385" t="s">
        <v>1486</v>
      </c>
      <c r="C8385" t="s">
        <v>132</v>
      </c>
      <c r="D8385" t="str">
        <f>HYPERLINK("http://service.sap.com/sap/support/notes/1719401","1719401")</f>
        <v>1719401</v>
      </c>
      <c r="E8385">
        <v>1</v>
      </c>
      <c r="F8385" t="s">
        <v>9787</v>
      </c>
    </row>
    <row r="8386" spans="1:6" x14ac:dyDescent="0.25">
      <c r="A8386" t="s">
        <v>7749</v>
      </c>
      <c r="B8386" t="s">
        <v>1486</v>
      </c>
      <c r="C8386" t="s">
        <v>132</v>
      </c>
      <c r="D8386" t="str">
        <f>HYPERLINK("http://service.sap.com/sap/support/notes/1719706","1719706")</f>
        <v>1719706</v>
      </c>
      <c r="E8386">
        <v>1</v>
      </c>
      <c r="F8386" t="s">
        <v>9788</v>
      </c>
    </row>
    <row r="8387" spans="1:6" x14ac:dyDescent="0.25">
      <c r="A8387" t="s">
        <v>7749</v>
      </c>
      <c r="B8387" t="s">
        <v>1486</v>
      </c>
      <c r="C8387" t="s">
        <v>132</v>
      </c>
      <c r="D8387" t="str">
        <f>HYPERLINK("http://service.sap.com/sap/support/notes/1719714","1719714")</f>
        <v>1719714</v>
      </c>
      <c r="E8387">
        <v>4</v>
      </c>
      <c r="F8387" t="s">
        <v>9789</v>
      </c>
    </row>
    <row r="8388" spans="1:6" x14ac:dyDescent="0.25">
      <c r="A8388" t="s">
        <v>7749</v>
      </c>
      <c r="B8388" t="s">
        <v>1486</v>
      </c>
      <c r="C8388" t="s">
        <v>132</v>
      </c>
      <c r="D8388" t="str">
        <f>HYPERLINK("http://service.sap.com/sap/support/notes/1720160","1720160")</f>
        <v>1720160</v>
      </c>
      <c r="E8388">
        <v>4</v>
      </c>
      <c r="F8388" t="s">
        <v>9790</v>
      </c>
    </row>
    <row r="8389" spans="1:6" x14ac:dyDescent="0.25">
      <c r="A8389" t="s">
        <v>7749</v>
      </c>
      <c r="B8389" t="s">
        <v>1486</v>
      </c>
      <c r="C8389" t="s">
        <v>132</v>
      </c>
      <c r="D8389" t="str">
        <f>HYPERLINK("http://service.sap.com/sap/support/notes/1720409","1720409")</f>
        <v>1720409</v>
      </c>
      <c r="E8389">
        <v>1</v>
      </c>
      <c r="F8389" t="s">
        <v>9791</v>
      </c>
    </row>
    <row r="8390" spans="1:6" x14ac:dyDescent="0.25">
      <c r="A8390" t="s">
        <v>7749</v>
      </c>
      <c r="B8390" t="s">
        <v>1486</v>
      </c>
      <c r="C8390" t="s">
        <v>132</v>
      </c>
      <c r="D8390" t="str">
        <f>HYPERLINK("http://service.sap.com/sap/support/notes/1720645","1720645")</f>
        <v>1720645</v>
      </c>
      <c r="E8390">
        <v>4</v>
      </c>
      <c r="F8390" t="s">
        <v>9792</v>
      </c>
    </row>
    <row r="8391" spans="1:6" x14ac:dyDescent="0.25">
      <c r="A8391" t="s">
        <v>7749</v>
      </c>
      <c r="B8391" t="s">
        <v>1486</v>
      </c>
      <c r="C8391" t="s">
        <v>132</v>
      </c>
      <c r="D8391" t="str">
        <f>HYPERLINK("http://service.sap.com/sap/support/notes/1720683","1720683")</f>
        <v>1720683</v>
      </c>
      <c r="E8391">
        <v>1</v>
      </c>
      <c r="F8391" t="s">
        <v>9793</v>
      </c>
    </row>
    <row r="8392" spans="1:6" x14ac:dyDescent="0.25">
      <c r="A8392" t="s">
        <v>7749</v>
      </c>
      <c r="B8392" t="s">
        <v>1486</v>
      </c>
      <c r="C8392" t="s">
        <v>132</v>
      </c>
      <c r="D8392" t="str">
        <f>HYPERLINK("http://service.sap.com/sap/support/notes/1720794","1720794")</f>
        <v>1720794</v>
      </c>
      <c r="E8392">
        <v>2</v>
      </c>
      <c r="F8392" t="s">
        <v>9794</v>
      </c>
    </row>
    <row r="8393" spans="1:6" x14ac:dyDescent="0.25">
      <c r="A8393" t="s">
        <v>7749</v>
      </c>
      <c r="B8393" t="s">
        <v>1486</v>
      </c>
      <c r="C8393" t="s">
        <v>132</v>
      </c>
      <c r="D8393" t="str">
        <f>HYPERLINK("http://service.sap.com/sap/support/notes/1720830","1720830")</f>
        <v>1720830</v>
      </c>
      <c r="E8393">
        <v>1</v>
      </c>
      <c r="F8393" t="s">
        <v>9795</v>
      </c>
    </row>
    <row r="8394" spans="1:6" x14ac:dyDescent="0.25">
      <c r="A8394" t="s">
        <v>7749</v>
      </c>
      <c r="B8394" t="s">
        <v>1486</v>
      </c>
      <c r="C8394" t="s">
        <v>132</v>
      </c>
      <c r="D8394" t="str">
        <f>HYPERLINK("http://service.sap.com/sap/support/notes/1720850","1720850")</f>
        <v>1720850</v>
      </c>
      <c r="E8394">
        <v>1</v>
      </c>
      <c r="F8394" t="s">
        <v>9796</v>
      </c>
    </row>
    <row r="8395" spans="1:6" x14ac:dyDescent="0.25">
      <c r="A8395" t="s">
        <v>7749</v>
      </c>
      <c r="B8395" t="s">
        <v>1486</v>
      </c>
      <c r="C8395" t="s">
        <v>132</v>
      </c>
      <c r="D8395" t="str">
        <f>HYPERLINK("http://service.sap.com/sap/support/notes/1721184","1721184")</f>
        <v>1721184</v>
      </c>
      <c r="E8395">
        <v>1</v>
      </c>
      <c r="F8395" t="s">
        <v>9797</v>
      </c>
    </row>
    <row r="8396" spans="1:6" x14ac:dyDescent="0.25">
      <c r="A8396" t="s">
        <v>7749</v>
      </c>
      <c r="B8396" t="s">
        <v>1486</v>
      </c>
      <c r="C8396" t="s">
        <v>132</v>
      </c>
      <c r="D8396" t="str">
        <f>HYPERLINK("http://service.sap.com/sap/support/notes/1722257","1722257")</f>
        <v>1722257</v>
      </c>
      <c r="E8396">
        <v>2</v>
      </c>
      <c r="F8396" t="s">
        <v>9798</v>
      </c>
    </row>
    <row r="8397" spans="1:6" x14ac:dyDescent="0.25">
      <c r="A8397" t="s">
        <v>7749</v>
      </c>
      <c r="B8397" t="s">
        <v>1486</v>
      </c>
      <c r="C8397" t="s">
        <v>132</v>
      </c>
      <c r="D8397" t="str">
        <f>HYPERLINK("http://service.sap.com/sap/support/notes/1722732","1722732")</f>
        <v>1722732</v>
      </c>
      <c r="E8397">
        <v>1</v>
      </c>
      <c r="F8397" t="s">
        <v>9799</v>
      </c>
    </row>
    <row r="8398" spans="1:6" x14ac:dyDescent="0.25">
      <c r="A8398" t="s">
        <v>7749</v>
      </c>
      <c r="B8398" t="s">
        <v>1486</v>
      </c>
      <c r="C8398" t="s">
        <v>132</v>
      </c>
      <c r="D8398" t="str">
        <f>HYPERLINK("http://service.sap.com/sap/support/notes/1723173","1723173")</f>
        <v>1723173</v>
      </c>
      <c r="E8398">
        <v>1</v>
      </c>
      <c r="F8398" t="s">
        <v>9800</v>
      </c>
    </row>
    <row r="8399" spans="1:6" x14ac:dyDescent="0.25">
      <c r="A8399" t="s">
        <v>7749</v>
      </c>
      <c r="B8399" t="s">
        <v>1486</v>
      </c>
      <c r="C8399" t="s">
        <v>132</v>
      </c>
      <c r="D8399" t="str">
        <f>HYPERLINK("http://service.sap.com/sap/support/notes/1723544","1723544")</f>
        <v>1723544</v>
      </c>
      <c r="E8399">
        <v>1</v>
      </c>
      <c r="F8399" t="s">
        <v>9801</v>
      </c>
    </row>
    <row r="8400" spans="1:6" x14ac:dyDescent="0.25">
      <c r="A8400" t="s">
        <v>7749</v>
      </c>
      <c r="B8400" t="s">
        <v>1486</v>
      </c>
      <c r="C8400" t="s">
        <v>132</v>
      </c>
      <c r="D8400" t="str">
        <f>HYPERLINK("http://service.sap.com/sap/support/notes/1723633","1723633")</f>
        <v>1723633</v>
      </c>
      <c r="E8400">
        <v>1</v>
      </c>
      <c r="F8400" t="s">
        <v>9802</v>
      </c>
    </row>
    <row r="8401" spans="1:6" x14ac:dyDescent="0.25">
      <c r="A8401" t="s">
        <v>7749</v>
      </c>
      <c r="B8401" t="s">
        <v>1486</v>
      </c>
      <c r="C8401" t="s">
        <v>132</v>
      </c>
      <c r="D8401" t="str">
        <f>HYPERLINK("http://service.sap.com/sap/support/notes/1724395","1724395")</f>
        <v>1724395</v>
      </c>
      <c r="E8401">
        <v>1</v>
      </c>
      <c r="F8401" t="s">
        <v>9803</v>
      </c>
    </row>
    <row r="8402" spans="1:6" x14ac:dyDescent="0.25">
      <c r="A8402" t="s">
        <v>7749</v>
      </c>
      <c r="B8402" t="s">
        <v>1486</v>
      </c>
      <c r="C8402" t="s">
        <v>132</v>
      </c>
      <c r="D8402" t="str">
        <f>HYPERLINK("http://service.sap.com/sap/support/notes/1724839","1724839")</f>
        <v>1724839</v>
      </c>
      <c r="E8402">
        <v>1</v>
      </c>
      <c r="F8402" t="s">
        <v>9804</v>
      </c>
    </row>
    <row r="8403" spans="1:6" x14ac:dyDescent="0.25">
      <c r="A8403" t="s">
        <v>7749</v>
      </c>
      <c r="B8403" t="s">
        <v>1486</v>
      </c>
      <c r="C8403" t="s">
        <v>132</v>
      </c>
      <c r="D8403" t="str">
        <f>HYPERLINK("http://service.sap.com/sap/support/notes/1724950","1724950")</f>
        <v>1724950</v>
      </c>
      <c r="E8403">
        <v>1</v>
      </c>
      <c r="F8403" t="s">
        <v>9805</v>
      </c>
    </row>
    <row r="8404" spans="1:6" x14ac:dyDescent="0.25">
      <c r="A8404" t="s">
        <v>7749</v>
      </c>
      <c r="B8404" t="s">
        <v>1486</v>
      </c>
      <c r="C8404" t="s">
        <v>132</v>
      </c>
      <c r="D8404" t="str">
        <f>HYPERLINK("http://service.sap.com/sap/support/notes/1724993","1724993")</f>
        <v>1724993</v>
      </c>
      <c r="E8404">
        <v>1</v>
      </c>
      <c r="F8404" t="s">
        <v>9806</v>
      </c>
    </row>
    <row r="8405" spans="1:6" x14ac:dyDescent="0.25">
      <c r="A8405" t="s">
        <v>7749</v>
      </c>
      <c r="B8405" t="s">
        <v>1486</v>
      </c>
      <c r="C8405" t="s">
        <v>132</v>
      </c>
      <c r="D8405" t="str">
        <f>HYPERLINK("http://service.sap.com/sap/support/notes/1725225","1725225")</f>
        <v>1725225</v>
      </c>
      <c r="E8405">
        <v>1</v>
      </c>
      <c r="F8405" t="s">
        <v>9807</v>
      </c>
    </row>
    <row r="8406" spans="1:6" x14ac:dyDescent="0.25">
      <c r="A8406" t="s">
        <v>7749</v>
      </c>
      <c r="B8406" t="s">
        <v>1486</v>
      </c>
      <c r="C8406" t="s">
        <v>132</v>
      </c>
      <c r="D8406" t="str">
        <f>HYPERLINK("http://service.sap.com/sap/support/notes/1725550","1725550")</f>
        <v>1725550</v>
      </c>
      <c r="E8406">
        <v>1</v>
      </c>
      <c r="F8406" t="s">
        <v>9808</v>
      </c>
    </row>
    <row r="8407" spans="1:6" x14ac:dyDescent="0.25">
      <c r="A8407" t="s">
        <v>7749</v>
      </c>
      <c r="B8407" t="s">
        <v>1486</v>
      </c>
      <c r="C8407" t="s">
        <v>132</v>
      </c>
      <c r="D8407" t="str">
        <f>HYPERLINK("http://service.sap.com/sap/support/notes/1726217","1726217")</f>
        <v>1726217</v>
      </c>
      <c r="E8407">
        <v>2</v>
      </c>
      <c r="F8407" t="s">
        <v>9803</v>
      </c>
    </row>
    <row r="8408" spans="1:6" x14ac:dyDescent="0.25">
      <c r="A8408" t="s">
        <v>7749</v>
      </c>
      <c r="B8408" t="s">
        <v>1486</v>
      </c>
      <c r="C8408" t="s">
        <v>132</v>
      </c>
      <c r="D8408" t="str">
        <f>HYPERLINK("http://service.sap.com/sap/support/notes/1726315","1726315")</f>
        <v>1726315</v>
      </c>
      <c r="E8408">
        <v>2</v>
      </c>
      <c r="F8408" t="s">
        <v>9809</v>
      </c>
    </row>
    <row r="8409" spans="1:6" x14ac:dyDescent="0.25">
      <c r="A8409" t="s">
        <v>7749</v>
      </c>
      <c r="B8409" t="s">
        <v>1486</v>
      </c>
      <c r="C8409" t="s">
        <v>132</v>
      </c>
      <c r="D8409" t="str">
        <f>HYPERLINK("http://service.sap.com/sap/support/notes/1726403","1726403")</f>
        <v>1726403</v>
      </c>
      <c r="E8409">
        <v>3</v>
      </c>
      <c r="F8409" t="s">
        <v>9810</v>
      </c>
    </row>
    <row r="8410" spans="1:6" x14ac:dyDescent="0.25">
      <c r="A8410" t="s">
        <v>7749</v>
      </c>
      <c r="B8410" t="s">
        <v>1486</v>
      </c>
      <c r="C8410" t="s">
        <v>132</v>
      </c>
      <c r="D8410" t="str">
        <f>HYPERLINK("http://service.sap.com/sap/support/notes/1726549","1726549")</f>
        <v>1726549</v>
      </c>
      <c r="E8410">
        <v>1</v>
      </c>
      <c r="F8410" t="s">
        <v>9811</v>
      </c>
    </row>
    <row r="8411" spans="1:6" x14ac:dyDescent="0.25">
      <c r="A8411" t="s">
        <v>7749</v>
      </c>
      <c r="B8411" t="s">
        <v>1502</v>
      </c>
      <c r="C8411" t="s">
        <v>1373</v>
      </c>
      <c r="D8411" t="str">
        <f>HYPERLINK("http://service.sap.com/sap/support/notes/1632680","1632680")</f>
        <v>1632680</v>
      </c>
      <c r="E8411">
        <v>4</v>
      </c>
      <c r="F8411" t="s">
        <v>9812</v>
      </c>
    </row>
    <row r="8412" spans="1:6" x14ac:dyDescent="0.25">
      <c r="A8412" t="s">
        <v>7749</v>
      </c>
      <c r="B8412" t="s">
        <v>1502</v>
      </c>
      <c r="C8412" t="s">
        <v>1373</v>
      </c>
      <c r="D8412" t="str">
        <f>HYPERLINK("http://service.sap.com/sap/support/notes/1704328","1704328")</f>
        <v>1704328</v>
      </c>
      <c r="E8412">
        <v>1</v>
      </c>
      <c r="F8412" t="s">
        <v>9813</v>
      </c>
    </row>
    <row r="8413" spans="1:6" x14ac:dyDescent="0.25">
      <c r="A8413" t="s">
        <v>7749</v>
      </c>
      <c r="B8413" t="s">
        <v>1502</v>
      </c>
      <c r="C8413" t="s">
        <v>1373</v>
      </c>
      <c r="D8413" t="str">
        <f>HYPERLINK("http://service.sap.com/sap/support/notes/1704977","1704977")</f>
        <v>1704977</v>
      </c>
      <c r="E8413">
        <v>1</v>
      </c>
      <c r="F8413" t="s">
        <v>9814</v>
      </c>
    </row>
    <row r="8414" spans="1:6" x14ac:dyDescent="0.25">
      <c r="A8414" t="s">
        <v>7749</v>
      </c>
      <c r="B8414" t="s">
        <v>1502</v>
      </c>
      <c r="C8414" t="s">
        <v>1373</v>
      </c>
      <c r="D8414" t="str">
        <f>HYPERLINK("http://service.sap.com/sap/support/notes/1705199","1705199")</f>
        <v>1705199</v>
      </c>
      <c r="E8414">
        <v>1</v>
      </c>
      <c r="F8414" t="s">
        <v>9815</v>
      </c>
    </row>
    <row r="8415" spans="1:6" x14ac:dyDescent="0.25">
      <c r="A8415" t="s">
        <v>7749</v>
      </c>
      <c r="B8415" t="s">
        <v>1502</v>
      </c>
      <c r="C8415" t="s">
        <v>1373</v>
      </c>
      <c r="D8415" t="str">
        <f>HYPERLINK("http://service.sap.com/sap/support/notes/1710101","1710101")</f>
        <v>1710101</v>
      </c>
      <c r="E8415">
        <v>1</v>
      </c>
      <c r="F8415" t="s">
        <v>9816</v>
      </c>
    </row>
    <row r="8416" spans="1:6" x14ac:dyDescent="0.25">
      <c r="A8416" t="s">
        <v>7749</v>
      </c>
      <c r="B8416" t="s">
        <v>1502</v>
      </c>
      <c r="C8416" t="s">
        <v>1373</v>
      </c>
      <c r="D8416" t="str">
        <f>HYPERLINK("http://service.sap.com/sap/support/notes/1710321","1710321")</f>
        <v>1710321</v>
      </c>
      <c r="E8416">
        <v>2</v>
      </c>
      <c r="F8416" t="s">
        <v>9817</v>
      </c>
    </row>
    <row r="8417" spans="1:6" x14ac:dyDescent="0.25">
      <c r="A8417" t="s">
        <v>7749</v>
      </c>
      <c r="B8417" t="s">
        <v>9818</v>
      </c>
      <c r="C8417" t="s">
        <v>9819</v>
      </c>
      <c r="D8417" t="str">
        <f>HYPERLINK("http://service.sap.com/sap/support/notes/1721254","1721254")</f>
        <v>1721254</v>
      </c>
      <c r="E8417">
        <v>1</v>
      </c>
      <c r="F8417" t="s">
        <v>9820</v>
      </c>
    </row>
    <row r="8418" spans="1:6" x14ac:dyDescent="0.25">
      <c r="A8418" t="s">
        <v>7749</v>
      </c>
      <c r="B8418" t="s">
        <v>9821</v>
      </c>
      <c r="C8418" t="s">
        <v>9822</v>
      </c>
    </row>
    <row r="8419" spans="1:6" x14ac:dyDescent="0.25">
      <c r="A8419" t="s">
        <v>7749</v>
      </c>
      <c r="B8419" t="s">
        <v>9823</v>
      </c>
      <c r="C8419" t="s">
        <v>132</v>
      </c>
      <c r="D8419" t="str">
        <f>HYPERLINK("http://service.sap.com/sap/support/notes/1713187","1713187")</f>
        <v>1713187</v>
      </c>
      <c r="E8419">
        <v>1</v>
      </c>
      <c r="F8419" t="s">
        <v>9824</v>
      </c>
    </row>
    <row r="8420" spans="1:6" x14ac:dyDescent="0.25">
      <c r="A8420" t="s">
        <v>7749</v>
      </c>
      <c r="B8420" t="s">
        <v>1504</v>
      </c>
      <c r="C8420" t="s">
        <v>1505</v>
      </c>
    </row>
    <row r="8421" spans="1:6" x14ac:dyDescent="0.25">
      <c r="A8421" t="s">
        <v>7749</v>
      </c>
      <c r="B8421" t="s">
        <v>6032</v>
      </c>
      <c r="C8421" t="s">
        <v>6033</v>
      </c>
      <c r="D8421" t="str">
        <f>HYPERLINK("http://service.sap.com/sap/support/notes/1701683","1701683")</f>
        <v>1701683</v>
      </c>
      <c r="E8421">
        <v>1</v>
      </c>
      <c r="F8421" t="s">
        <v>9825</v>
      </c>
    </row>
    <row r="8422" spans="1:6" x14ac:dyDescent="0.25">
      <c r="A8422" t="s">
        <v>7749</v>
      </c>
      <c r="B8422" t="s">
        <v>6032</v>
      </c>
      <c r="C8422" t="s">
        <v>6033</v>
      </c>
      <c r="D8422" t="str">
        <f>HYPERLINK("http://service.sap.com/sap/support/notes/1705956","1705956")</f>
        <v>1705956</v>
      </c>
      <c r="E8422">
        <v>2</v>
      </c>
      <c r="F8422" t="s">
        <v>9826</v>
      </c>
    </row>
    <row r="8423" spans="1:6" x14ac:dyDescent="0.25">
      <c r="A8423" t="s">
        <v>7749</v>
      </c>
      <c r="B8423" t="s">
        <v>6040</v>
      </c>
      <c r="C8423" t="s">
        <v>6041</v>
      </c>
    </row>
    <row r="8424" spans="1:6" x14ac:dyDescent="0.25">
      <c r="A8424" t="s">
        <v>7749</v>
      </c>
      <c r="B8424" t="s">
        <v>6042</v>
      </c>
      <c r="C8424" t="s">
        <v>132</v>
      </c>
      <c r="D8424" t="str">
        <f>HYPERLINK("http://service.sap.com/sap/support/notes/1674146","1674146")</f>
        <v>1674146</v>
      </c>
      <c r="E8424">
        <v>1</v>
      </c>
      <c r="F8424" t="s">
        <v>9827</v>
      </c>
    </row>
    <row r="8425" spans="1:6" x14ac:dyDescent="0.25">
      <c r="A8425" t="s">
        <v>7749</v>
      </c>
      <c r="B8425" t="s">
        <v>9828</v>
      </c>
      <c r="C8425" t="s">
        <v>9829</v>
      </c>
      <c r="D8425" t="str">
        <f>HYPERLINK("http://service.sap.com/sap/support/notes/1678813","1678813")</f>
        <v>1678813</v>
      </c>
      <c r="E8425">
        <v>3</v>
      </c>
      <c r="F8425" t="s">
        <v>9830</v>
      </c>
    </row>
    <row r="8426" spans="1:6" x14ac:dyDescent="0.25">
      <c r="A8426" t="s">
        <v>7749</v>
      </c>
      <c r="B8426" t="s">
        <v>6050</v>
      </c>
      <c r="C8426" t="s">
        <v>6051</v>
      </c>
    </row>
    <row r="8427" spans="1:6" x14ac:dyDescent="0.25">
      <c r="A8427" t="s">
        <v>7749</v>
      </c>
      <c r="B8427" t="s">
        <v>6052</v>
      </c>
      <c r="C8427" t="s">
        <v>6053</v>
      </c>
      <c r="D8427" t="str">
        <f>HYPERLINK("http://service.sap.com/sap/support/notes/1650953","1650953")</f>
        <v>1650953</v>
      </c>
      <c r="E8427">
        <v>6</v>
      </c>
      <c r="F8427" t="s">
        <v>7737</v>
      </c>
    </row>
    <row r="8428" spans="1:6" x14ac:dyDescent="0.25">
      <c r="A8428" t="s">
        <v>7749</v>
      </c>
      <c r="B8428" t="s">
        <v>6052</v>
      </c>
      <c r="C8428" t="s">
        <v>6053</v>
      </c>
      <c r="D8428" t="str">
        <f>HYPERLINK("http://service.sap.com/sap/support/notes/1705380","1705380")</f>
        <v>1705380</v>
      </c>
      <c r="E8428">
        <v>39</v>
      </c>
      <c r="F8428" t="s">
        <v>9831</v>
      </c>
    </row>
    <row r="8429" spans="1:6" x14ac:dyDescent="0.25">
      <c r="A8429" t="s">
        <v>7749</v>
      </c>
      <c r="B8429" t="s">
        <v>45</v>
      </c>
      <c r="C8429" t="s">
        <v>46</v>
      </c>
    </row>
    <row r="8430" spans="1:6" x14ac:dyDescent="0.25">
      <c r="A8430" t="s">
        <v>7749</v>
      </c>
      <c r="B8430" t="s">
        <v>1510</v>
      </c>
      <c r="C8430" t="s">
        <v>1511</v>
      </c>
      <c r="D8430" t="str">
        <f>HYPERLINK("http://service.sap.com/sap/support/notes/1584633","1584633")</f>
        <v>1584633</v>
      </c>
      <c r="E8430">
        <v>2</v>
      </c>
      <c r="F8430" t="s">
        <v>9832</v>
      </c>
    </row>
    <row r="8431" spans="1:6" x14ac:dyDescent="0.25">
      <c r="A8431" t="s">
        <v>7749</v>
      </c>
      <c r="B8431" t="s">
        <v>1512</v>
      </c>
      <c r="C8431" t="s">
        <v>1513</v>
      </c>
      <c r="D8431" t="str">
        <f>HYPERLINK("http://service.sap.com/sap/support/notes/1551738","1551738")</f>
        <v>1551738</v>
      </c>
      <c r="E8431">
        <v>3</v>
      </c>
      <c r="F8431" t="s">
        <v>9833</v>
      </c>
    </row>
    <row r="8432" spans="1:6" x14ac:dyDescent="0.25">
      <c r="A8432" t="s">
        <v>7749</v>
      </c>
      <c r="B8432" t="s">
        <v>1512</v>
      </c>
      <c r="C8432" t="s">
        <v>1513</v>
      </c>
      <c r="D8432" t="str">
        <f>HYPERLINK("http://service.sap.com/sap/support/notes/1567721","1567721")</f>
        <v>1567721</v>
      </c>
      <c r="E8432">
        <v>2</v>
      </c>
      <c r="F8432" t="s">
        <v>9834</v>
      </c>
    </row>
    <row r="8433" spans="1:6" x14ac:dyDescent="0.25">
      <c r="A8433" t="s">
        <v>7749</v>
      </c>
      <c r="B8433" t="s">
        <v>47</v>
      </c>
      <c r="C8433" t="s">
        <v>48</v>
      </c>
    </row>
    <row r="8434" spans="1:6" x14ac:dyDescent="0.25">
      <c r="A8434" t="s">
        <v>7749</v>
      </c>
      <c r="B8434" t="s">
        <v>49</v>
      </c>
      <c r="C8434" t="s">
        <v>50</v>
      </c>
      <c r="D8434" t="str">
        <f>HYPERLINK("http://service.sap.com/sap/support/notes/1698528","1698528")</f>
        <v>1698528</v>
      </c>
      <c r="E8434">
        <v>1</v>
      </c>
      <c r="F8434" t="s">
        <v>9835</v>
      </c>
    </row>
  </sheetData>
  <autoFilter ref="A1:A20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SAPKNA7020_notes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gmcgrath</dc:creator>
  <cp:lastModifiedBy>gmcgrath</cp:lastModifiedBy>
  <dcterms:created xsi:type="dcterms:W3CDTF">2011-09-28T13:57:30Z</dcterms:created>
  <dcterms:modified xsi:type="dcterms:W3CDTF">2012-10-24T16:22:16Z</dcterms:modified>
</cp:coreProperties>
</file>