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80" yWindow="90" windowWidth="21105" windowHeight="12375"/>
  </bookViews>
  <sheets>
    <sheet name="SAPKE60454_notes" sheetId="1" r:id="rId1"/>
  </sheets>
  <calcPr calcId="144525"/>
</workbook>
</file>

<file path=xl/calcChain.xml><?xml version="1.0" encoding="utf-8"?>
<calcChain xmlns="http://schemas.openxmlformats.org/spreadsheetml/2006/main">
  <c r="D8871" i="1" l="1"/>
  <c r="D8869" i="1"/>
  <c r="D8865" i="1"/>
  <c r="D8864" i="1"/>
  <c r="D8862" i="1"/>
  <c r="D8861" i="1"/>
  <c r="D8860" i="1"/>
  <c r="D8859" i="1"/>
  <c r="D8858" i="1"/>
  <c r="D8857" i="1"/>
  <c r="D8856" i="1"/>
  <c r="D8855" i="1"/>
  <c r="D8854" i="1"/>
  <c r="D8852" i="1"/>
  <c r="D8851" i="1"/>
  <c r="D8850" i="1"/>
  <c r="D8849" i="1"/>
  <c r="D8848" i="1"/>
  <c r="D8847" i="1"/>
  <c r="D8846" i="1"/>
  <c r="D8845" i="1"/>
  <c r="D8842" i="1"/>
  <c r="D8841" i="1"/>
  <c r="D8840" i="1"/>
  <c r="D8839" i="1"/>
  <c r="D8838" i="1"/>
  <c r="D8837" i="1"/>
  <c r="D8836" i="1"/>
  <c r="D8835" i="1"/>
  <c r="D8834" i="1"/>
  <c r="D8833" i="1"/>
  <c r="D8832" i="1"/>
  <c r="D8831" i="1"/>
  <c r="D8830" i="1"/>
  <c r="D8829" i="1"/>
  <c r="D8828" i="1"/>
  <c r="D8827" i="1"/>
  <c r="D8826" i="1"/>
  <c r="D8824" i="1"/>
  <c r="D8823" i="1"/>
  <c r="D8822" i="1"/>
  <c r="D8821" i="1"/>
  <c r="D8820" i="1"/>
  <c r="D8817" i="1"/>
  <c r="D8816" i="1"/>
  <c r="D8814" i="1"/>
  <c r="D8812" i="1"/>
  <c r="D8811" i="1"/>
  <c r="D8810" i="1"/>
  <c r="D8809" i="1"/>
  <c r="D8808" i="1"/>
  <c r="D8805" i="1"/>
  <c r="D8804" i="1"/>
  <c r="D8803" i="1"/>
  <c r="D8802" i="1"/>
  <c r="D8801" i="1"/>
  <c r="D8800" i="1"/>
  <c r="D8799" i="1"/>
  <c r="D8798" i="1"/>
  <c r="D8797" i="1"/>
  <c r="D8796" i="1"/>
  <c r="D8795" i="1"/>
  <c r="D8794" i="1"/>
  <c r="D8792" i="1"/>
  <c r="D8791" i="1"/>
  <c r="D8790" i="1"/>
  <c r="D8789" i="1"/>
  <c r="D8788" i="1"/>
  <c r="D8787" i="1"/>
  <c r="D8786" i="1"/>
  <c r="D8785" i="1"/>
  <c r="D8783" i="1"/>
  <c r="D8782" i="1"/>
  <c r="D8781" i="1"/>
  <c r="D8780" i="1"/>
  <c r="D8779" i="1"/>
  <c r="D8778" i="1"/>
  <c r="D8777" i="1"/>
  <c r="D8776" i="1"/>
  <c r="D8775" i="1"/>
  <c r="D8774" i="1"/>
  <c r="D8773" i="1"/>
  <c r="D8772" i="1"/>
  <c r="D8770" i="1"/>
  <c r="D8769" i="1"/>
  <c r="D8768" i="1"/>
  <c r="D8767" i="1"/>
  <c r="D8766" i="1"/>
  <c r="D8765" i="1"/>
  <c r="D8764" i="1"/>
  <c r="D8763" i="1"/>
  <c r="D8762" i="1"/>
  <c r="D8761" i="1"/>
  <c r="D8759" i="1"/>
  <c r="D8758" i="1"/>
  <c r="D8757" i="1"/>
  <c r="D8756" i="1"/>
  <c r="D8755" i="1"/>
  <c r="D8754" i="1"/>
  <c r="D8753" i="1"/>
  <c r="D8752" i="1"/>
  <c r="D8750" i="1"/>
  <c r="D8749" i="1"/>
  <c r="D8748" i="1"/>
  <c r="D8747" i="1"/>
  <c r="D8746" i="1"/>
  <c r="D8745" i="1"/>
  <c r="D8744" i="1"/>
  <c r="D8743" i="1"/>
  <c r="D8742" i="1"/>
  <c r="D8741" i="1"/>
  <c r="D8740" i="1"/>
  <c r="D8739" i="1"/>
  <c r="D8737" i="1"/>
  <c r="D8736" i="1"/>
  <c r="D8735" i="1"/>
  <c r="D8734" i="1"/>
  <c r="D8733" i="1"/>
  <c r="D8732" i="1"/>
  <c r="D8731" i="1"/>
  <c r="D8730" i="1"/>
  <c r="D8729" i="1"/>
  <c r="D8728" i="1"/>
  <c r="D8727" i="1"/>
  <c r="D8726" i="1"/>
  <c r="D8725" i="1"/>
  <c r="D8724" i="1"/>
  <c r="D8723" i="1"/>
  <c r="D8722" i="1"/>
  <c r="D8721" i="1"/>
  <c r="D8720" i="1"/>
  <c r="D8719" i="1"/>
  <c r="D8718" i="1"/>
  <c r="D8717" i="1"/>
  <c r="D8716" i="1"/>
  <c r="D8715" i="1"/>
  <c r="D8714" i="1"/>
  <c r="D8713" i="1"/>
  <c r="D8712" i="1"/>
  <c r="D8711" i="1"/>
  <c r="D8710" i="1"/>
  <c r="D8709" i="1"/>
  <c r="D8708" i="1"/>
  <c r="D8707" i="1"/>
  <c r="D8706" i="1"/>
  <c r="D8705" i="1"/>
  <c r="D8704" i="1"/>
  <c r="D8703" i="1"/>
  <c r="D8702" i="1"/>
  <c r="D8701" i="1"/>
  <c r="D8700" i="1"/>
  <c r="D8699" i="1"/>
  <c r="D8698" i="1"/>
  <c r="D8697" i="1"/>
  <c r="D8696" i="1"/>
  <c r="D8695" i="1"/>
  <c r="D8694" i="1"/>
  <c r="D8693" i="1"/>
  <c r="D8690" i="1"/>
  <c r="D8687" i="1"/>
  <c r="D8686" i="1"/>
  <c r="D8683" i="1"/>
  <c r="D8679" i="1" l="1"/>
  <c r="D8675" i="1"/>
  <c r="D8674" i="1"/>
  <c r="D8673" i="1"/>
  <c r="D8672" i="1"/>
  <c r="D8671" i="1"/>
  <c r="D8670" i="1"/>
  <c r="D8668" i="1"/>
  <c r="D8667" i="1"/>
  <c r="D8666" i="1"/>
  <c r="D8665" i="1"/>
  <c r="D8664" i="1"/>
  <c r="D8663" i="1"/>
  <c r="D8662" i="1"/>
  <c r="D8661" i="1"/>
  <c r="D8660" i="1"/>
  <c r="D8659" i="1"/>
  <c r="D8658" i="1"/>
  <c r="D8657" i="1"/>
  <c r="D8656" i="1"/>
  <c r="D8655" i="1"/>
  <c r="D8654" i="1"/>
  <c r="D8653" i="1"/>
  <c r="D8652" i="1"/>
  <c r="D8651" i="1"/>
  <c r="D8649" i="1"/>
  <c r="D8648" i="1"/>
  <c r="D8647" i="1"/>
  <c r="D8646" i="1"/>
  <c r="D8644" i="1"/>
  <c r="D8641" i="1"/>
  <c r="D8640" i="1"/>
  <c r="D8639" i="1"/>
  <c r="D8637" i="1"/>
  <c r="D8636" i="1"/>
  <c r="D8635" i="1"/>
  <c r="D8634" i="1"/>
  <c r="D8633" i="1"/>
  <c r="D8632" i="1"/>
  <c r="D8631" i="1"/>
  <c r="D8630" i="1"/>
  <c r="D8628" i="1"/>
  <c r="D8627" i="1"/>
  <c r="D8626" i="1"/>
  <c r="D8625" i="1"/>
  <c r="D8624" i="1"/>
  <c r="D8623" i="1"/>
  <c r="D8622" i="1"/>
  <c r="D8621" i="1"/>
  <c r="D8617" i="1"/>
  <c r="D8616" i="1"/>
  <c r="D8615" i="1"/>
  <c r="D8614" i="1"/>
  <c r="D8613" i="1"/>
  <c r="D8612" i="1"/>
  <c r="D8611" i="1"/>
  <c r="D8610" i="1"/>
  <c r="D8609" i="1"/>
  <c r="D8608" i="1"/>
  <c r="D8607" i="1"/>
  <c r="D8606" i="1"/>
  <c r="D8605" i="1"/>
  <c r="D8604" i="1"/>
  <c r="D8603" i="1"/>
  <c r="D8600" i="1"/>
  <c r="D8599" i="1"/>
  <c r="D8598" i="1"/>
  <c r="D8597" i="1"/>
  <c r="D8596" i="1"/>
  <c r="D8595" i="1"/>
  <c r="D8594" i="1"/>
  <c r="D8593" i="1"/>
  <c r="D8592" i="1"/>
  <c r="D8590" i="1"/>
  <c r="D8589" i="1"/>
  <c r="D8588" i="1"/>
  <c r="D8587" i="1"/>
  <c r="D8585" i="1"/>
  <c r="D8584" i="1"/>
  <c r="D8583" i="1"/>
  <c r="D8582" i="1"/>
  <c r="D8581" i="1"/>
  <c r="D8580" i="1"/>
  <c r="D8579" i="1"/>
  <c r="D8578" i="1"/>
  <c r="D8577" i="1"/>
  <c r="D8576" i="1"/>
  <c r="D8575" i="1"/>
  <c r="D8574" i="1"/>
  <c r="D8573" i="1"/>
  <c r="D8572" i="1"/>
  <c r="D8571" i="1"/>
  <c r="D8570" i="1"/>
  <c r="D8569" i="1"/>
  <c r="D8568" i="1"/>
  <c r="D8567" i="1"/>
  <c r="D8566" i="1"/>
  <c r="D8564" i="1"/>
  <c r="D8563" i="1"/>
  <c r="D8562" i="1"/>
  <c r="D8561" i="1"/>
  <c r="D8559" i="1"/>
  <c r="D8558" i="1"/>
  <c r="D8557" i="1"/>
  <c r="D8556" i="1"/>
  <c r="D8555" i="1"/>
  <c r="D8554" i="1"/>
  <c r="D8553" i="1"/>
  <c r="D8552" i="1"/>
  <c r="D8551" i="1"/>
  <c r="D8550" i="1"/>
  <c r="D8549" i="1"/>
  <c r="D8548" i="1"/>
  <c r="D8547" i="1"/>
  <c r="D8546" i="1"/>
  <c r="D8545" i="1"/>
  <c r="D8544" i="1"/>
  <c r="D8543" i="1"/>
  <c r="D8542" i="1"/>
  <c r="D8540" i="1"/>
  <c r="D8539" i="1"/>
  <c r="D8538" i="1"/>
  <c r="D8537" i="1"/>
  <c r="D8536" i="1"/>
  <c r="D8535" i="1"/>
  <c r="D8534" i="1"/>
  <c r="D8533" i="1"/>
  <c r="D8532" i="1"/>
  <c r="D8531" i="1"/>
  <c r="D8530" i="1"/>
  <c r="D8529" i="1"/>
  <c r="D8528" i="1"/>
  <c r="D8527" i="1"/>
  <c r="D8526" i="1"/>
  <c r="D8525" i="1"/>
  <c r="D8524" i="1"/>
  <c r="D8523" i="1"/>
  <c r="D8521" i="1"/>
  <c r="D8520" i="1"/>
  <c r="D8519" i="1"/>
  <c r="D8518" i="1"/>
  <c r="D8517" i="1"/>
  <c r="D8516" i="1"/>
  <c r="D8515" i="1"/>
  <c r="D8514" i="1"/>
  <c r="D8513" i="1"/>
  <c r="D8512" i="1"/>
  <c r="D8511" i="1"/>
  <c r="D8510" i="1"/>
  <c r="D8509" i="1"/>
  <c r="D8508" i="1"/>
  <c r="D8507" i="1"/>
  <c r="D8506" i="1"/>
  <c r="D8505" i="1"/>
  <c r="D8504" i="1"/>
  <c r="D8503" i="1"/>
  <c r="D8502" i="1"/>
  <c r="D8501" i="1"/>
  <c r="D8500" i="1"/>
  <c r="D8499" i="1"/>
  <c r="D8498" i="1"/>
  <c r="D8497" i="1"/>
  <c r="D8496" i="1"/>
  <c r="D8495" i="1"/>
  <c r="D8494" i="1"/>
  <c r="D8493" i="1"/>
  <c r="D8492" i="1"/>
  <c r="D8491" i="1"/>
  <c r="D8490" i="1"/>
  <c r="D8489" i="1"/>
  <c r="D8488" i="1"/>
  <c r="D8487" i="1"/>
  <c r="D8486" i="1"/>
  <c r="D8485" i="1"/>
  <c r="D8484" i="1"/>
  <c r="D8483" i="1"/>
  <c r="D8482" i="1"/>
  <c r="D8481" i="1"/>
  <c r="D8480" i="1"/>
  <c r="D8479" i="1"/>
  <c r="D8478" i="1"/>
  <c r="D8477" i="1"/>
  <c r="D8475" i="1"/>
  <c r="D8474" i="1"/>
  <c r="D8473" i="1"/>
  <c r="D8472" i="1"/>
  <c r="D8471" i="1"/>
  <c r="D8470" i="1"/>
  <c r="D8469" i="1"/>
  <c r="D8468" i="1"/>
  <c r="D8467" i="1"/>
  <c r="D8464" i="1"/>
  <c r="D8463" i="1"/>
  <c r="D8462" i="1"/>
  <c r="D8461" i="1"/>
  <c r="D8460" i="1"/>
  <c r="D8459" i="1"/>
  <c r="D8458" i="1"/>
  <c r="D8457" i="1"/>
  <c r="D8456" i="1"/>
  <c r="D8455" i="1"/>
  <c r="D8454" i="1"/>
  <c r="D8453" i="1"/>
  <c r="D8452" i="1"/>
  <c r="D8450" i="1"/>
  <c r="D8447" i="1" l="1"/>
  <c r="D8445" i="1"/>
  <c r="D8444" i="1"/>
  <c r="D8440" i="1"/>
  <c r="D8439" i="1"/>
  <c r="D8438" i="1"/>
  <c r="D8436" i="1"/>
  <c r="D8435" i="1"/>
  <c r="D8434" i="1"/>
  <c r="D8433" i="1"/>
  <c r="D8432" i="1"/>
  <c r="D8431" i="1"/>
  <c r="D8430" i="1"/>
  <c r="D8429" i="1"/>
  <c r="D8428" i="1"/>
  <c r="D8427" i="1"/>
  <c r="D8426" i="1"/>
  <c r="D8424" i="1"/>
  <c r="D8421" i="1"/>
  <c r="D8420" i="1"/>
  <c r="D8419" i="1"/>
  <c r="D8418" i="1"/>
  <c r="D8417" i="1"/>
  <c r="D8416" i="1"/>
  <c r="D8415" i="1"/>
  <c r="D8413" i="1"/>
  <c r="D8412" i="1"/>
  <c r="D8411" i="1"/>
  <c r="D8410" i="1"/>
  <c r="D8409" i="1"/>
  <c r="D8408" i="1"/>
  <c r="D8406" i="1"/>
  <c r="D8405" i="1"/>
  <c r="D8404" i="1"/>
  <c r="D8403" i="1"/>
  <c r="D8402" i="1"/>
  <c r="D8401" i="1"/>
  <c r="D8400" i="1"/>
  <c r="D8399" i="1"/>
  <c r="D8398" i="1"/>
  <c r="D8397" i="1"/>
  <c r="D8393" i="1"/>
  <c r="D8392" i="1"/>
  <c r="D8391" i="1"/>
  <c r="D8390" i="1"/>
  <c r="D8389" i="1"/>
  <c r="D8388" i="1"/>
  <c r="D8387" i="1"/>
  <c r="D8386" i="1"/>
  <c r="D8385" i="1"/>
  <c r="D8384" i="1"/>
  <c r="D8383" i="1"/>
  <c r="D8382" i="1"/>
  <c r="D8381" i="1"/>
  <c r="D8380" i="1"/>
  <c r="D8379" i="1"/>
  <c r="D8378" i="1"/>
  <c r="D8377" i="1"/>
  <c r="D8374" i="1"/>
  <c r="D8373" i="1"/>
  <c r="D8372" i="1"/>
  <c r="D8371" i="1"/>
  <c r="D8370" i="1"/>
  <c r="D8369" i="1"/>
  <c r="D8368" i="1"/>
  <c r="D8367" i="1"/>
  <c r="D8366" i="1"/>
  <c r="D8365" i="1"/>
  <c r="D8364" i="1"/>
  <c r="D8363" i="1"/>
  <c r="D8362" i="1"/>
  <c r="D8360" i="1"/>
  <c r="D8358" i="1"/>
  <c r="D8357" i="1"/>
  <c r="D8356" i="1"/>
  <c r="D8355" i="1"/>
  <c r="D8354" i="1"/>
  <c r="D8353" i="1"/>
  <c r="D8352" i="1"/>
  <c r="D8351" i="1"/>
  <c r="D8350" i="1"/>
  <c r="D8349" i="1"/>
  <c r="D8348" i="1"/>
  <c r="D8347" i="1"/>
  <c r="D8346" i="1"/>
  <c r="D8345" i="1"/>
  <c r="D8343" i="1"/>
  <c r="D8342" i="1"/>
  <c r="D8341" i="1"/>
  <c r="D8340" i="1"/>
  <c r="D8339" i="1"/>
  <c r="D8338" i="1"/>
  <c r="D8336" i="1"/>
  <c r="D8335" i="1"/>
  <c r="D8334" i="1"/>
  <c r="D8333" i="1"/>
  <c r="D8332" i="1"/>
  <c r="D8331" i="1"/>
  <c r="D8330" i="1"/>
  <c r="D8329" i="1"/>
  <c r="D8328" i="1"/>
  <c r="D8327" i="1"/>
  <c r="D8326" i="1"/>
  <c r="D8325" i="1"/>
  <c r="D8324" i="1"/>
  <c r="D8323" i="1"/>
  <c r="D8322" i="1"/>
  <c r="D8321" i="1"/>
  <c r="D8320" i="1"/>
  <c r="D8319" i="1"/>
  <c r="D8318" i="1"/>
  <c r="D8317" i="1"/>
  <c r="D8315" i="1"/>
  <c r="D8314" i="1"/>
  <c r="D8313" i="1"/>
  <c r="D8312" i="1"/>
  <c r="D8311" i="1"/>
  <c r="D8310" i="1"/>
  <c r="D8309" i="1"/>
  <c r="D8308" i="1"/>
  <c r="D8307" i="1"/>
  <c r="D8306" i="1"/>
  <c r="D8305" i="1"/>
  <c r="D8304" i="1"/>
  <c r="D8303" i="1"/>
  <c r="D8302" i="1"/>
  <c r="D8301" i="1"/>
  <c r="D8300" i="1"/>
  <c r="D8299" i="1"/>
  <c r="D8298" i="1"/>
  <c r="D8297" i="1"/>
  <c r="D8296" i="1"/>
  <c r="D8295" i="1"/>
  <c r="D8294" i="1"/>
  <c r="D8293" i="1"/>
  <c r="D8292" i="1"/>
  <c r="D8291" i="1"/>
  <c r="D8290" i="1"/>
  <c r="D8289" i="1"/>
  <c r="D8288" i="1"/>
  <c r="D8287" i="1"/>
  <c r="D8285" i="1"/>
  <c r="D8284" i="1"/>
  <c r="D8283" i="1"/>
  <c r="D8282" i="1"/>
  <c r="D8281" i="1"/>
  <c r="D8280" i="1"/>
  <c r="D8279" i="1"/>
  <c r="D8278" i="1"/>
  <c r="D8277" i="1"/>
  <c r="D8274" i="1"/>
  <c r="D8273" i="1"/>
  <c r="D8270" i="1" l="1"/>
  <c r="D8268" i="1"/>
  <c r="D8267" i="1"/>
  <c r="D8266" i="1"/>
  <c r="D8264" i="1"/>
  <c r="D8263" i="1"/>
  <c r="D8262" i="1"/>
  <c r="D8260" i="1"/>
  <c r="D8257" i="1"/>
  <c r="D8256" i="1"/>
  <c r="D8255" i="1"/>
  <c r="D8254" i="1"/>
  <c r="D8252" i="1"/>
  <c r="D8251" i="1"/>
  <c r="D8250" i="1"/>
  <c r="D8249" i="1"/>
  <c r="D8247" i="1"/>
  <c r="D8246" i="1"/>
  <c r="D8245" i="1"/>
  <c r="D8244" i="1"/>
  <c r="D8243" i="1"/>
  <c r="D8242" i="1"/>
  <c r="D8241" i="1"/>
  <c r="D8240" i="1"/>
  <c r="D8239" i="1"/>
  <c r="D8238" i="1"/>
  <c r="D8237" i="1"/>
  <c r="D8236" i="1"/>
  <c r="D8235" i="1"/>
  <c r="D8234" i="1"/>
  <c r="D8233" i="1"/>
  <c r="D8232" i="1"/>
  <c r="D8231" i="1"/>
  <c r="D8230" i="1"/>
  <c r="D8229" i="1"/>
  <c r="D8228" i="1"/>
  <c r="D8227" i="1"/>
  <c r="D8225" i="1"/>
  <c r="D8224" i="1"/>
  <c r="D8223" i="1"/>
  <c r="D8222" i="1"/>
  <c r="D8221" i="1"/>
  <c r="D8220" i="1"/>
  <c r="D8219" i="1"/>
  <c r="D8216" i="1"/>
  <c r="D8215" i="1"/>
  <c r="D8214" i="1"/>
  <c r="D8213" i="1"/>
  <c r="D8212" i="1"/>
  <c r="D8211" i="1"/>
  <c r="D8210" i="1"/>
  <c r="D8209" i="1"/>
  <c r="D8208" i="1"/>
  <c r="D8207" i="1"/>
  <c r="D8206" i="1"/>
  <c r="D8205" i="1"/>
  <c r="D8204" i="1"/>
  <c r="D8203" i="1"/>
  <c r="D8202" i="1"/>
  <c r="D8201" i="1"/>
  <c r="D8200" i="1"/>
  <c r="D8199" i="1"/>
  <c r="D8197" i="1"/>
  <c r="D8196" i="1"/>
  <c r="D8195" i="1"/>
  <c r="D8194" i="1"/>
  <c r="D8193" i="1"/>
  <c r="D8192" i="1"/>
  <c r="D8191" i="1"/>
  <c r="D8190" i="1"/>
  <c r="D8189" i="1"/>
  <c r="D8188" i="1"/>
  <c r="D8187" i="1"/>
  <c r="D8186" i="1"/>
  <c r="D8185" i="1"/>
  <c r="D8184" i="1"/>
  <c r="D8183" i="1"/>
  <c r="D8182" i="1"/>
  <c r="D8178" i="1"/>
  <c r="D8177" i="1"/>
  <c r="D8176" i="1"/>
  <c r="D8175" i="1"/>
  <c r="D8174" i="1"/>
  <c r="D8173" i="1"/>
  <c r="D8172" i="1"/>
  <c r="D8171" i="1"/>
  <c r="D8170" i="1"/>
  <c r="D8169" i="1"/>
  <c r="D8168" i="1"/>
  <c r="D8167" i="1"/>
  <c r="D8166" i="1"/>
  <c r="D8165" i="1"/>
  <c r="D8164" i="1"/>
  <c r="D8163" i="1"/>
  <c r="D8162" i="1"/>
  <c r="D8161" i="1"/>
  <c r="D8160" i="1"/>
  <c r="D8159" i="1"/>
  <c r="D8158" i="1"/>
  <c r="D8157" i="1"/>
  <c r="D8156" i="1"/>
  <c r="D8155" i="1"/>
  <c r="D8154" i="1"/>
  <c r="D8153" i="1"/>
  <c r="D8152" i="1"/>
  <c r="D8151" i="1"/>
  <c r="D8150" i="1"/>
  <c r="D8149" i="1"/>
  <c r="D8148" i="1"/>
  <c r="D8145" i="1"/>
  <c r="D8144" i="1"/>
  <c r="D8143" i="1"/>
  <c r="D8142" i="1"/>
  <c r="D8141" i="1"/>
  <c r="D8140" i="1"/>
  <c r="D8139" i="1"/>
  <c r="D8138" i="1"/>
  <c r="D8137" i="1"/>
  <c r="D8136" i="1"/>
  <c r="D8135" i="1"/>
  <c r="D8133" i="1"/>
  <c r="D8132" i="1"/>
  <c r="D8131" i="1"/>
  <c r="D8130" i="1"/>
  <c r="D8128" i="1"/>
  <c r="D8127" i="1"/>
  <c r="D8126" i="1"/>
  <c r="D8125" i="1"/>
  <c r="D8124" i="1"/>
  <c r="D8123" i="1"/>
  <c r="D8122" i="1"/>
  <c r="D8121" i="1"/>
  <c r="D8120" i="1"/>
  <c r="D8119" i="1"/>
  <c r="D8118" i="1"/>
  <c r="D8117" i="1"/>
  <c r="D8116" i="1"/>
  <c r="D8115" i="1"/>
  <c r="D8114" i="1"/>
  <c r="D8113" i="1"/>
  <c r="D8112" i="1"/>
  <c r="D8111" i="1"/>
  <c r="D8110" i="1"/>
  <c r="D8109" i="1"/>
  <c r="D8108" i="1"/>
  <c r="D8107" i="1"/>
  <c r="D8106" i="1"/>
  <c r="D8105" i="1"/>
  <c r="D8104" i="1"/>
  <c r="D8103" i="1"/>
  <c r="D8102" i="1"/>
  <c r="D8101" i="1"/>
  <c r="D8100" i="1"/>
  <c r="D8099" i="1"/>
  <c r="D8097" i="1"/>
  <c r="D8096" i="1"/>
  <c r="D8094" i="1"/>
  <c r="D8091" i="1"/>
  <c r="D8090" i="1"/>
  <c r="D8089" i="1"/>
  <c r="D8087" i="1"/>
  <c r="D8086" i="1"/>
  <c r="D8085" i="1"/>
  <c r="D8084" i="1"/>
  <c r="D8083" i="1"/>
  <c r="D8082" i="1"/>
  <c r="D8081" i="1"/>
  <c r="D8080" i="1"/>
  <c r="D8079" i="1"/>
  <c r="D8078" i="1"/>
  <c r="D8077" i="1"/>
  <c r="D8076" i="1"/>
  <c r="D8075" i="1"/>
  <c r="D8074" i="1"/>
  <c r="D8072" i="1"/>
  <c r="D8071" i="1"/>
  <c r="D8070" i="1"/>
  <c r="D8069" i="1"/>
  <c r="D8068" i="1"/>
  <c r="D8067" i="1"/>
  <c r="D8066" i="1"/>
  <c r="D8065" i="1"/>
  <c r="D8064" i="1"/>
  <c r="D8063" i="1"/>
  <c r="D8062" i="1"/>
  <c r="D8061" i="1"/>
  <c r="D8060" i="1"/>
  <c r="D8059" i="1"/>
  <c r="D8058" i="1"/>
  <c r="D8057" i="1"/>
  <c r="D8056" i="1"/>
  <c r="D8055" i="1"/>
  <c r="D8054" i="1"/>
  <c r="D8053" i="1"/>
  <c r="D8052" i="1"/>
  <c r="D8051" i="1"/>
  <c r="D8050" i="1"/>
  <c r="D8049" i="1"/>
  <c r="D8048" i="1"/>
  <c r="D8047" i="1"/>
  <c r="D8046" i="1"/>
  <c r="D8045" i="1"/>
  <c r="D8044" i="1"/>
  <c r="D8043" i="1"/>
  <c r="D8042" i="1"/>
  <c r="D8041" i="1"/>
  <c r="D8040" i="1"/>
  <c r="D8039" i="1"/>
  <c r="D8038" i="1"/>
  <c r="D8037" i="1"/>
  <c r="D8036" i="1"/>
  <c r="D8035" i="1"/>
  <c r="D8034" i="1"/>
  <c r="D8033" i="1"/>
  <c r="D8032" i="1"/>
  <c r="D8031" i="1"/>
  <c r="D8030" i="1"/>
  <c r="D8029" i="1"/>
  <c r="D8028" i="1"/>
  <c r="D8027" i="1"/>
  <c r="D8026" i="1"/>
  <c r="D8025" i="1"/>
  <c r="D8024" i="1"/>
  <c r="D8022" i="1"/>
  <c r="D8021" i="1"/>
  <c r="D8020" i="1"/>
  <c r="D8019" i="1"/>
  <c r="D8018" i="1"/>
  <c r="D8017" i="1"/>
  <c r="D8016" i="1"/>
  <c r="D8015" i="1"/>
  <c r="D8014" i="1"/>
  <c r="D8012" i="1"/>
  <c r="D8011" i="1"/>
  <c r="D8008" i="1"/>
  <c r="D8007" i="1"/>
  <c r="D8006" i="1"/>
  <c r="D8005" i="1"/>
  <c r="D8004" i="1"/>
  <c r="D8003" i="1"/>
  <c r="D8000" i="1" l="1"/>
  <c r="D7998" i="1"/>
  <c r="D7997" i="1"/>
  <c r="D7995" i="1"/>
  <c r="D7991" i="1"/>
  <c r="D7990" i="1"/>
  <c r="D7989" i="1"/>
  <c r="D7988" i="1"/>
  <c r="D7987" i="1"/>
  <c r="D7986" i="1"/>
  <c r="D7985" i="1"/>
  <c r="D7984" i="1"/>
  <c r="D7983" i="1"/>
  <c r="D7982" i="1"/>
  <c r="D7981" i="1"/>
  <c r="D7980" i="1"/>
  <c r="D7978" i="1"/>
  <c r="D7977" i="1"/>
  <c r="D7976" i="1"/>
  <c r="D7975" i="1"/>
  <c r="D7974" i="1"/>
  <c r="D7973" i="1"/>
  <c r="D7972" i="1"/>
  <c r="D7971" i="1"/>
  <c r="D7970" i="1"/>
  <c r="D7969" i="1"/>
  <c r="D7968" i="1"/>
  <c r="D7967" i="1"/>
  <c r="D7966" i="1"/>
  <c r="D7963" i="1"/>
  <c r="D7962" i="1"/>
  <c r="D7961" i="1"/>
  <c r="D7960" i="1"/>
  <c r="D7959" i="1"/>
  <c r="D7958" i="1"/>
  <c r="D7957" i="1"/>
  <c r="D7955" i="1"/>
  <c r="D7954" i="1"/>
  <c r="D7953" i="1"/>
  <c r="D7952" i="1"/>
  <c r="D7951" i="1"/>
  <c r="D7950" i="1"/>
  <c r="D7949" i="1"/>
  <c r="D7948" i="1"/>
  <c r="D7945" i="1"/>
  <c r="D7944" i="1"/>
  <c r="D7943" i="1"/>
  <c r="D7942" i="1"/>
  <c r="D7941" i="1"/>
  <c r="D7940" i="1"/>
  <c r="D7939" i="1"/>
  <c r="D7937" i="1"/>
  <c r="D7935" i="1"/>
  <c r="D7934" i="1"/>
  <c r="D7933" i="1"/>
  <c r="D7932" i="1"/>
  <c r="D7931" i="1"/>
  <c r="D7930" i="1"/>
  <c r="D7929" i="1"/>
  <c r="D7928" i="1"/>
  <c r="D7927" i="1"/>
  <c r="D7926" i="1"/>
  <c r="D7923" i="1"/>
  <c r="D7922" i="1"/>
  <c r="D7921" i="1"/>
  <c r="D7920" i="1"/>
  <c r="D7919" i="1"/>
  <c r="D7918" i="1"/>
  <c r="D7917" i="1"/>
  <c r="D7916" i="1"/>
  <c r="D7915" i="1"/>
  <c r="D7914" i="1"/>
  <c r="D7912" i="1"/>
  <c r="D7911" i="1"/>
  <c r="D7910" i="1"/>
  <c r="D7908" i="1"/>
  <c r="D7907" i="1"/>
  <c r="D7906" i="1"/>
  <c r="D7905" i="1"/>
  <c r="D7904" i="1"/>
  <c r="D7903" i="1"/>
  <c r="D7902" i="1"/>
  <c r="D7901" i="1"/>
  <c r="D7900" i="1"/>
  <c r="D7899" i="1"/>
  <c r="D7898" i="1"/>
  <c r="D7897" i="1"/>
  <c r="D7896" i="1"/>
  <c r="D7895" i="1"/>
  <c r="D7894" i="1"/>
  <c r="D7893" i="1"/>
  <c r="D7892" i="1"/>
  <c r="D7891" i="1"/>
  <c r="D7890" i="1"/>
  <c r="D7889" i="1"/>
  <c r="D7888" i="1"/>
  <c r="D7886" i="1"/>
  <c r="D7885" i="1"/>
  <c r="D7884" i="1"/>
  <c r="D7883" i="1"/>
  <c r="D7882" i="1"/>
  <c r="D7881" i="1"/>
  <c r="D7880" i="1"/>
  <c r="D7878" i="1"/>
  <c r="D7876" i="1"/>
  <c r="D7875" i="1"/>
  <c r="D7874" i="1"/>
  <c r="D7873" i="1"/>
  <c r="D7872" i="1"/>
  <c r="D7871" i="1"/>
  <c r="D7870" i="1"/>
  <c r="D7868" i="1"/>
  <c r="D7867" i="1"/>
  <c r="D7866" i="1"/>
  <c r="D7865" i="1"/>
  <c r="D7864" i="1"/>
  <c r="D7863" i="1"/>
  <c r="D7862" i="1"/>
  <c r="D7861" i="1"/>
  <c r="D7860" i="1"/>
  <c r="D7859" i="1"/>
  <c r="D7858" i="1"/>
  <c r="D7857" i="1"/>
  <c r="D7856" i="1"/>
  <c r="D7855" i="1"/>
  <c r="D7854" i="1"/>
  <c r="D7853" i="1"/>
  <c r="D7852" i="1"/>
  <c r="D7851" i="1"/>
  <c r="D7850" i="1"/>
  <c r="D7849" i="1"/>
  <c r="D7848" i="1"/>
  <c r="D7847" i="1"/>
  <c r="D7846" i="1"/>
  <c r="D7845" i="1"/>
  <c r="D7844" i="1"/>
  <c r="D7843" i="1"/>
  <c r="D7842" i="1"/>
  <c r="D7841" i="1"/>
  <c r="D7840" i="1"/>
  <c r="D7839" i="1"/>
  <c r="D7838" i="1"/>
  <c r="D7837" i="1"/>
  <c r="D7836" i="1"/>
  <c r="D7835" i="1"/>
  <c r="D7833" i="1"/>
  <c r="D7829" i="1"/>
  <c r="D7828" i="1"/>
  <c r="D7827" i="1"/>
  <c r="D7826" i="1"/>
  <c r="D7825" i="1"/>
  <c r="D7824" i="1"/>
  <c r="D7821" i="1" l="1"/>
  <c r="D7820" i="1"/>
  <c r="D7819" i="1"/>
  <c r="D7818" i="1"/>
  <c r="D7816" i="1"/>
  <c r="D7815" i="1"/>
  <c r="D7811" i="1"/>
  <c r="D7810" i="1"/>
  <c r="D7809" i="1"/>
  <c r="D7807" i="1"/>
  <c r="D7806" i="1"/>
  <c r="D7805" i="1"/>
  <c r="D7804" i="1"/>
  <c r="D7803" i="1"/>
  <c r="D7802" i="1"/>
  <c r="D7801" i="1"/>
  <c r="D7800" i="1"/>
  <c r="D7799" i="1"/>
  <c r="D7798" i="1"/>
  <c r="D7797" i="1"/>
  <c r="D7796" i="1"/>
  <c r="D7795" i="1"/>
  <c r="D7794" i="1"/>
  <c r="D7793" i="1"/>
  <c r="D7792" i="1"/>
  <c r="D7791" i="1"/>
  <c r="D7790" i="1"/>
  <c r="D7789" i="1"/>
  <c r="D7788" i="1"/>
  <c r="D7787" i="1"/>
  <c r="D7786" i="1"/>
  <c r="D7785" i="1"/>
  <c r="D7784" i="1"/>
  <c r="D7782" i="1"/>
  <c r="D7781" i="1"/>
  <c r="D7780" i="1"/>
  <c r="D7779" i="1"/>
  <c r="D7778" i="1"/>
  <c r="D7777" i="1"/>
  <c r="D7776" i="1"/>
  <c r="D7775" i="1"/>
  <c r="D7774" i="1"/>
  <c r="D7773" i="1"/>
  <c r="D7772" i="1"/>
  <c r="D7770" i="1"/>
  <c r="D7769" i="1"/>
  <c r="D7768" i="1"/>
  <c r="D7767" i="1"/>
  <c r="D7766" i="1"/>
  <c r="D7765" i="1"/>
  <c r="D7764" i="1"/>
  <c r="D7763" i="1"/>
  <c r="D7762" i="1"/>
  <c r="D7761" i="1"/>
  <c r="D7760" i="1"/>
  <c r="D7759" i="1"/>
  <c r="D7758" i="1"/>
  <c r="D7757" i="1"/>
  <c r="D7756" i="1"/>
  <c r="D7753" i="1"/>
  <c r="D7752" i="1"/>
  <c r="D7750" i="1"/>
  <c r="D7749" i="1"/>
  <c r="D7748" i="1"/>
  <c r="D7747" i="1"/>
  <c r="D7746" i="1"/>
  <c r="D7745" i="1"/>
  <c r="D7744" i="1"/>
  <c r="D7743" i="1"/>
  <c r="D7742" i="1"/>
  <c r="D7741" i="1"/>
  <c r="D7740" i="1"/>
  <c r="D7737" i="1"/>
  <c r="D7736" i="1"/>
  <c r="D7735" i="1"/>
  <c r="D7734" i="1"/>
  <c r="D7733" i="1"/>
  <c r="D7732" i="1"/>
  <c r="D7731" i="1"/>
  <c r="D7730" i="1"/>
  <c r="D7729" i="1"/>
  <c r="D7728" i="1"/>
  <c r="D7727" i="1"/>
  <c r="D7726" i="1"/>
  <c r="D7725" i="1"/>
  <c r="D7724" i="1"/>
  <c r="D7723" i="1"/>
  <c r="D7722" i="1"/>
  <c r="D7721" i="1"/>
  <c r="D7719" i="1"/>
  <c r="D7718" i="1"/>
  <c r="D7717" i="1"/>
  <c r="D7716" i="1"/>
  <c r="D7715" i="1"/>
  <c r="D7714" i="1"/>
  <c r="D7712" i="1"/>
  <c r="D7711" i="1"/>
  <c r="D7710" i="1"/>
  <c r="D7709" i="1"/>
  <c r="D7708" i="1"/>
  <c r="D7707" i="1"/>
  <c r="D7706" i="1"/>
  <c r="D7705" i="1"/>
  <c r="D7704" i="1"/>
  <c r="D7703" i="1"/>
  <c r="D7702" i="1"/>
  <c r="D7701" i="1"/>
  <c r="D7700" i="1"/>
  <c r="D7699" i="1"/>
  <c r="D7698" i="1"/>
  <c r="D7697" i="1"/>
  <c r="D7696" i="1"/>
  <c r="D7695" i="1"/>
  <c r="D7694" i="1"/>
  <c r="D7693" i="1"/>
  <c r="D7692" i="1"/>
  <c r="D7691" i="1"/>
  <c r="D7690" i="1"/>
  <c r="D7689" i="1"/>
  <c r="D7687" i="1"/>
  <c r="D7686" i="1"/>
  <c r="D7685" i="1"/>
  <c r="D7684" i="1"/>
  <c r="D7683" i="1"/>
  <c r="D7682" i="1"/>
  <c r="D7681" i="1"/>
  <c r="D7680" i="1"/>
  <c r="D7679" i="1"/>
  <c r="D7678" i="1"/>
  <c r="D7677" i="1"/>
  <c r="D7676" i="1"/>
  <c r="D7674" i="1"/>
  <c r="D7673" i="1"/>
  <c r="D7672" i="1"/>
  <c r="D7671" i="1"/>
  <c r="D7670" i="1"/>
  <c r="D7669" i="1"/>
  <c r="D7668" i="1"/>
  <c r="D7667" i="1"/>
  <c r="D7666" i="1"/>
  <c r="D7665" i="1"/>
  <c r="D7664" i="1"/>
  <c r="D7663" i="1"/>
  <c r="D7662" i="1"/>
  <c r="D7660" i="1"/>
  <c r="D7659" i="1"/>
  <c r="D7658" i="1"/>
  <c r="D7657" i="1"/>
  <c r="D7656" i="1"/>
  <c r="D7655" i="1"/>
  <c r="D7654" i="1"/>
  <c r="D7653" i="1"/>
  <c r="D7652" i="1"/>
  <c r="D7651" i="1"/>
  <c r="D7650" i="1"/>
  <c r="D7648" i="1"/>
  <c r="D7647" i="1"/>
  <c r="D7646" i="1"/>
  <c r="D7645" i="1"/>
  <c r="D7644" i="1"/>
  <c r="D7643" i="1"/>
  <c r="D7642" i="1"/>
  <c r="D7641" i="1"/>
  <c r="D7640" i="1"/>
  <c r="D7639" i="1"/>
  <c r="D7638" i="1"/>
  <c r="D7637" i="1"/>
  <c r="D7636" i="1"/>
  <c r="D7635" i="1"/>
  <c r="D7634" i="1"/>
  <c r="D7633" i="1"/>
  <c r="D7632" i="1"/>
  <c r="D7631" i="1"/>
  <c r="D7630" i="1"/>
  <c r="D7629" i="1"/>
  <c r="D7628" i="1"/>
  <c r="D7627" i="1"/>
  <c r="D7626" i="1"/>
  <c r="D7625" i="1"/>
  <c r="D7624" i="1"/>
  <c r="D7623" i="1"/>
  <c r="D7622" i="1"/>
  <c r="D7621" i="1"/>
  <c r="D7620" i="1"/>
  <c r="D7619" i="1"/>
  <c r="D7618" i="1"/>
  <c r="D7617" i="1"/>
  <c r="D7616" i="1"/>
  <c r="D7615" i="1"/>
  <c r="D7614" i="1"/>
  <c r="D7613" i="1"/>
  <c r="D7612" i="1"/>
  <c r="D7611" i="1"/>
  <c r="D7610" i="1"/>
  <c r="D7609" i="1"/>
  <c r="D7608" i="1"/>
  <c r="D7607" i="1"/>
  <c r="D7606" i="1"/>
  <c r="D7605" i="1"/>
  <c r="D7604" i="1"/>
  <c r="D7603" i="1"/>
  <c r="D7602" i="1"/>
  <c r="D7600" i="1"/>
  <c r="D7596" i="1"/>
  <c r="D7593" i="1"/>
  <c r="D7592" i="1"/>
  <c r="D7591" i="1"/>
  <c r="D7588" i="1"/>
  <c r="D7585" i="1"/>
  <c r="D7582" i="1" l="1"/>
  <c r="D7581" i="1"/>
  <c r="D7580" i="1"/>
  <c r="D7579" i="1"/>
  <c r="D7578" i="1"/>
  <c r="D7576" i="1"/>
  <c r="D7572" i="1"/>
  <c r="D7570" i="1"/>
  <c r="D7569" i="1"/>
  <c r="D7568" i="1"/>
  <c r="D7567" i="1"/>
  <c r="D7566" i="1"/>
  <c r="D7565" i="1"/>
  <c r="D7564" i="1"/>
  <c r="D7563" i="1"/>
  <c r="D7562" i="1"/>
  <c r="D7560" i="1"/>
  <c r="D7559" i="1"/>
  <c r="D7558" i="1"/>
  <c r="D7557" i="1"/>
  <c r="D7556" i="1"/>
  <c r="D7555" i="1"/>
  <c r="D7553" i="1"/>
  <c r="D7552" i="1"/>
  <c r="D7551" i="1"/>
  <c r="D7550" i="1"/>
  <c r="D7549" i="1"/>
  <c r="D7548" i="1"/>
  <c r="D7547" i="1"/>
  <c r="D7546" i="1"/>
  <c r="D7545" i="1"/>
  <c r="D7544" i="1"/>
  <c r="D7540" i="1"/>
  <c r="D7539" i="1"/>
  <c r="D7538" i="1"/>
  <c r="D7537" i="1"/>
  <c r="D7536" i="1"/>
  <c r="D7535" i="1"/>
  <c r="D7534" i="1"/>
  <c r="D7533" i="1"/>
  <c r="D7532" i="1"/>
  <c r="D7531" i="1"/>
  <c r="D7530" i="1"/>
  <c r="D7529" i="1"/>
  <c r="D7528" i="1"/>
  <c r="D7525" i="1"/>
  <c r="D7524" i="1"/>
  <c r="D7523" i="1"/>
  <c r="D7522" i="1"/>
  <c r="D7521" i="1"/>
  <c r="D7520" i="1"/>
  <c r="D7519" i="1"/>
  <c r="D7518" i="1"/>
  <c r="D7517" i="1"/>
  <c r="D7516" i="1"/>
  <c r="D7515" i="1"/>
  <c r="D7514" i="1"/>
  <c r="D7513" i="1"/>
  <c r="D7512" i="1"/>
  <c r="D7511" i="1"/>
  <c r="D7510" i="1"/>
  <c r="D7509" i="1"/>
  <c r="D7508" i="1"/>
  <c r="D7507" i="1"/>
  <c r="D7506" i="1"/>
  <c r="D7505" i="1"/>
  <c r="D7504" i="1"/>
  <c r="D7502" i="1"/>
  <c r="D7501" i="1"/>
  <c r="D7500" i="1"/>
  <c r="D7499" i="1"/>
  <c r="D7498" i="1"/>
  <c r="D7496" i="1"/>
  <c r="D7495" i="1"/>
  <c r="D7494" i="1"/>
  <c r="D7493" i="1"/>
  <c r="D7492" i="1"/>
  <c r="D7491" i="1"/>
  <c r="D7490" i="1"/>
  <c r="D7489" i="1"/>
  <c r="D7488" i="1"/>
  <c r="D7487" i="1"/>
  <c r="D7486" i="1"/>
  <c r="D7485" i="1"/>
  <c r="D7484" i="1"/>
  <c r="D7483" i="1"/>
  <c r="D7482" i="1"/>
  <c r="D7481" i="1"/>
  <c r="D7480" i="1"/>
  <c r="D7479" i="1"/>
  <c r="D7478" i="1"/>
  <c r="D7477" i="1"/>
  <c r="D7476" i="1"/>
  <c r="D7475" i="1"/>
  <c r="D7474" i="1"/>
  <c r="D7473" i="1"/>
  <c r="D7472" i="1"/>
  <c r="D7471" i="1"/>
  <c r="D7470" i="1"/>
  <c r="D7469" i="1"/>
  <c r="D7468" i="1"/>
  <c r="D7467" i="1"/>
  <c r="D7466" i="1"/>
  <c r="D7465" i="1"/>
  <c r="D7464" i="1"/>
  <c r="D7463" i="1"/>
  <c r="D7462" i="1"/>
  <c r="D7461" i="1"/>
  <c r="D7460" i="1"/>
  <c r="D7459" i="1"/>
  <c r="D7458" i="1"/>
  <c r="D7457" i="1"/>
  <c r="D7456" i="1"/>
  <c r="D7455" i="1"/>
  <c r="D7454" i="1"/>
  <c r="D7452" i="1"/>
  <c r="D7451" i="1"/>
  <c r="D7450" i="1"/>
  <c r="D7449" i="1"/>
  <c r="D7448" i="1"/>
  <c r="D7447" i="1"/>
  <c r="D7446" i="1"/>
  <c r="D7445" i="1"/>
  <c r="D7444" i="1"/>
  <c r="D7443" i="1"/>
  <c r="D7442" i="1"/>
  <c r="D7441" i="1"/>
  <c r="D7440" i="1"/>
  <c r="D7439" i="1"/>
  <c r="D7438" i="1"/>
  <c r="D7437" i="1"/>
  <c r="D7436" i="1"/>
  <c r="D7434" i="1"/>
  <c r="D7430" i="1"/>
  <c r="D7429" i="1"/>
  <c r="D7428" i="1"/>
  <c r="D7427" i="1"/>
  <c r="D7426" i="1"/>
  <c r="D7425" i="1"/>
  <c r="D7424" i="1"/>
  <c r="D7423" i="1"/>
  <c r="D7422" i="1"/>
  <c r="D7421" i="1"/>
  <c r="D7420" i="1"/>
  <c r="D7419" i="1"/>
  <c r="D7418" i="1"/>
  <c r="D7417" i="1"/>
  <c r="D7416" i="1"/>
  <c r="D7415" i="1"/>
  <c r="D7414" i="1"/>
  <c r="D7413" i="1"/>
  <c r="D7412" i="1"/>
  <c r="D7411" i="1"/>
  <c r="D7410" i="1"/>
  <c r="D7409" i="1"/>
  <c r="D7408" i="1"/>
  <c r="D7407" i="1"/>
  <c r="D7406" i="1"/>
  <c r="D7405" i="1"/>
  <c r="D7404" i="1"/>
  <c r="D7403" i="1"/>
  <c r="D7402" i="1"/>
  <c r="D7401" i="1"/>
  <c r="D7400" i="1"/>
  <c r="D7399" i="1"/>
  <c r="D7398" i="1"/>
  <c r="D7397" i="1"/>
  <c r="D7396" i="1"/>
  <c r="D7395" i="1"/>
  <c r="D7394" i="1"/>
  <c r="D7393" i="1"/>
  <c r="D7392" i="1"/>
  <c r="D7391" i="1"/>
  <c r="D7390" i="1"/>
  <c r="D7389" i="1"/>
  <c r="D7388" i="1"/>
  <c r="D7387" i="1"/>
  <c r="D7386" i="1"/>
  <c r="D7385" i="1"/>
  <c r="D7384" i="1"/>
  <c r="D7383" i="1"/>
  <c r="D7382" i="1"/>
  <c r="D7381" i="1"/>
  <c r="D7380" i="1"/>
  <c r="D7379" i="1"/>
  <c r="D7378" i="1"/>
  <c r="D7377" i="1"/>
  <c r="D7376" i="1"/>
  <c r="D7375" i="1"/>
  <c r="D7374" i="1"/>
  <c r="D7373" i="1"/>
  <c r="D7372" i="1"/>
  <c r="D7371" i="1"/>
  <c r="D7370" i="1"/>
  <c r="D7369" i="1"/>
  <c r="D7367" i="1"/>
  <c r="D7366" i="1"/>
  <c r="D7362" i="1"/>
  <c r="D7358" i="1"/>
  <c r="D7355" i="1"/>
  <c r="D7354" i="1"/>
  <c r="D7351" i="1" l="1"/>
  <c r="D7350" i="1"/>
  <c r="D7348" i="1"/>
  <c r="D7347" i="1"/>
  <c r="D7343" i="1"/>
  <c r="D7341" i="1"/>
  <c r="D7340" i="1"/>
  <c r="D7339" i="1"/>
  <c r="D7338" i="1"/>
  <c r="D7337" i="1"/>
  <c r="D7336" i="1"/>
  <c r="D7335" i="1"/>
  <c r="D7334" i="1"/>
  <c r="D7333" i="1"/>
  <c r="D7332" i="1"/>
  <c r="D7331" i="1"/>
  <c r="D7330" i="1"/>
  <c r="D7329" i="1"/>
  <c r="D7328" i="1"/>
  <c r="D7326" i="1"/>
  <c r="D7324" i="1"/>
  <c r="D7323" i="1"/>
  <c r="D7322" i="1"/>
  <c r="D7321" i="1"/>
  <c r="D7320" i="1"/>
  <c r="D7319" i="1"/>
  <c r="D7318" i="1"/>
  <c r="D7317" i="1"/>
  <c r="D7316" i="1"/>
  <c r="D7314" i="1"/>
  <c r="D7313" i="1"/>
  <c r="D7312" i="1"/>
  <c r="D7308" i="1"/>
  <c r="D7307" i="1"/>
  <c r="D7306" i="1"/>
  <c r="D7305" i="1"/>
  <c r="D7304" i="1"/>
  <c r="D7303" i="1"/>
  <c r="D7302" i="1"/>
  <c r="D7301" i="1"/>
  <c r="D7300" i="1"/>
  <c r="D7299" i="1"/>
  <c r="D7298" i="1"/>
  <c r="D7297" i="1"/>
  <c r="D7296" i="1"/>
  <c r="D7295" i="1"/>
  <c r="D7293" i="1"/>
  <c r="D7292" i="1"/>
  <c r="D7291" i="1"/>
  <c r="D7290" i="1"/>
  <c r="D7288" i="1"/>
  <c r="D7287" i="1"/>
  <c r="D7286" i="1"/>
  <c r="D7285" i="1"/>
  <c r="D7284" i="1"/>
  <c r="D7283" i="1"/>
  <c r="D7282" i="1"/>
  <c r="D7280" i="1"/>
  <c r="D7279" i="1"/>
  <c r="D7278" i="1"/>
  <c r="D7277" i="1"/>
  <c r="D7276" i="1"/>
  <c r="D7275" i="1"/>
  <c r="D7274" i="1"/>
  <c r="D7273" i="1"/>
  <c r="D7271" i="1"/>
  <c r="D7270" i="1"/>
  <c r="D7269" i="1"/>
  <c r="D7267" i="1"/>
  <c r="D7266" i="1"/>
  <c r="D7263" i="1"/>
  <c r="D7262" i="1"/>
  <c r="D7261" i="1"/>
  <c r="D7260" i="1"/>
  <c r="D7259" i="1"/>
  <c r="D7258" i="1"/>
  <c r="D7257" i="1"/>
  <c r="D7256" i="1"/>
  <c r="D7255" i="1"/>
  <c r="D7254" i="1"/>
  <c r="D7253" i="1"/>
  <c r="D7251" i="1"/>
  <c r="D7247" i="1"/>
  <c r="D7246" i="1"/>
  <c r="D7245" i="1"/>
  <c r="D7244" i="1"/>
  <c r="D7243" i="1"/>
  <c r="D7241" i="1"/>
  <c r="D7240" i="1"/>
  <c r="D7239" i="1"/>
  <c r="D7238" i="1"/>
  <c r="D7237" i="1"/>
  <c r="D7236" i="1"/>
  <c r="D7235" i="1"/>
  <c r="D7234" i="1"/>
  <c r="D7233" i="1"/>
  <c r="D7232" i="1"/>
  <c r="D7231" i="1"/>
  <c r="D7230" i="1"/>
  <c r="D7229" i="1"/>
  <c r="D7228" i="1"/>
  <c r="D7227" i="1"/>
  <c r="D7226" i="1"/>
  <c r="D7225" i="1"/>
  <c r="D7224" i="1"/>
  <c r="D7223" i="1"/>
  <c r="D7222" i="1"/>
  <c r="D7221" i="1"/>
  <c r="D7220" i="1"/>
  <c r="D7219" i="1"/>
  <c r="D7218" i="1"/>
  <c r="D7217" i="1"/>
  <c r="D7216" i="1"/>
  <c r="D7215" i="1"/>
  <c r="D7214" i="1"/>
  <c r="D7213" i="1"/>
  <c r="D7212" i="1"/>
  <c r="D7211" i="1"/>
  <c r="D7210" i="1"/>
  <c r="D7209" i="1"/>
  <c r="D7208" i="1"/>
  <c r="D7207" i="1"/>
  <c r="D7206" i="1"/>
  <c r="D7205" i="1"/>
  <c r="D7204" i="1"/>
  <c r="D7203" i="1"/>
  <c r="D7202" i="1"/>
  <c r="D7201" i="1"/>
  <c r="D7200" i="1"/>
  <c r="D7198" i="1"/>
  <c r="D7194" i="1"/>
  <c r="D7193" i="1"/>
  <c r="D7192" i="1"/>
  <c r="D7189" i="1"/>
  <c r="D7188" i="1"/>
  <c r="D7185" i="1" l="1"/>
  <c r="D7183" i="1"/>
  <c r="D7181" i="1"/>
  <c r="D7180" i="1"/>
  <c r="D7176" i="1"/>
  <c r="D7174" i="1"/>
  <c r="D7173" i="1"/>
  <c r="D7171" i="1"/>
  <c r="D7170" i="1"/>
  <c r="D7169" i="1"/>
  <c r="D7168" i="1"/>
  <c r="D7167" i="1"/>
  <c r="D7166" i="1"/>
  <c r="D7165" i="1"/>
  <c r="D7163" i="1"/>
  <c r="D7162" i="1"/>
  <c r="D7161" i="1"/>
  <c r="D7159" i="1"/>
  <c r="D7158" i="1"/>
  <c r="D7157" i="1"/>
  <c r="D7156" i="1"/>
  <c r="D7155" i="1"/>
  <c r="D7154" i="1"/>
  <c r="D7153" i="1"/>
  <c r="D7152" i="1"/>
  <c r="D7151" i="1"/>
  <c r="D7150" i="1"/>
  <c r="D7149" i="1"/>
  <c r="D7148" i="1"/>
  <c r="D7147" i="1"/>
  <c r="D7146" i="1"/>
  <c r="D7144" i="1"/>
  <c r="D7143" i="1"/>
  <c r="D7142" i="1"/>
  <c r="D7141" i="1"/>
  <c r="D7137" i="1"/>
  <c r="D7136" i="1"/>
  <c r="D7135" i="1"/>
  <c r="D7134" i="1"/>
  <c r="D7133" i="1"/>
  <c r="D7132" i="1"/>
  <c r="D7131" i="1"/>
  <c r="D7130" i="1"/>
  <c r="D7129" i="1"/>
  <c r="D7128" i="1"/>
  <c r="D7125" i="1"/>
  <c r="D7124" i="1"/>
  <c r="D7123" i="1"/>
  <c r="D7122" i="1"/>
  <c r="D7121" i="1"/>
  <c r="D7120" i="1"/>
  <c r="D7119" i="1"/>
  <c r="D7118" i="1"/>
  <c r="D7117" i="1"/>
  <c r="D7116" i="1"/>
  <c r="D7115" i="1"/>
  <c r="D7114" i="1"/>
  <c r="D7113" i="1"/>
  <c r="D7112" i="1"/>
  <c r="D7111" i="1"/>
  <c r="D7109" i="1"/>
  <c r="D7108" i="1"/>
  <c r="D7106" i="1"/>
  <c r="D7105" i="1"/>
  <c r="D7104" i="1"/>
  <c r="D7103" i="1"/>
  <c r="D7102" i="1"/>
  <c r="D7101" i="1"/>
  <c r="D7100" i="1"/>
  <c r="D7099" i="1"/>
  <c r="D7098" i="1"/>
  <c r="D7097" i="1"/>
  <c r="D7096" i="1"/>
  <c r="D7095" i="1"/>
  <c r="D7094" i="1"/>
  <c r="D7093" i="1"/>
  <c r="D7092" i="1"/>
  <c r="D7090" i="1"/>
  <c r="D7089" i="1"/>
  <c r="D7087" i="1"/>
  <c r="D7086" i="1"/>
  <c r="D7084" i="1"/>
  <c r="D7083" i="1"/>
  <c r="D7082" i="1"/>
  <c r="D7081" i="1"/>
  <c r="D7080" i="1"/>
  <c r="D7079" i="1"/>
  <c r="D7078" i="1"/>
  <c r="D7077" i="1"/>
  <c r="D7075" i="1"/>
  <c r="D7074" i="1"/>
  <c r="D7073" i="1"/>
  <c r="D7071" i="1"/>
  <c r="D7070" i="1"/>
  <c r="D7069" i="1"/>
  <c r="D7068" i="1"/>
  <c r="D7067" i="1"/>
  <c r="D7066" i="1"/>
  <c r="D7065" i="1"/>
  <c r="D7064" i="1"/>
  <c r="D7063" i="1"/>
  <c r="D7062" i="1"/>
  <c r="D7061" i="1"/>
  <c r="D7060" i="1"/>
  <c r="D7059" i="1"/>
  <c r="D7058" i="1"/>
  <c r="D7057" i="1"/>
  <c r="D7056" i="1"/>
  <c r="D7055" i="1"/>
  <c r="D7054" i="1"/>
  <c r="D7053" i="1"/>
  <c r="D7052" i="1"/>
  <c r="D7051" i="1"/>
  <c r="D7050" i="1"/>
  <c r="D7049" i="1"/>
  <c r="D7048" i="1"/>
  <c r="D7047" i="1"/>
  <c r="D7046" i="1"/>
  <c r="D7045" i="1"/>
  <c r="D7044" i="1"/>
  <c r="D7043" i="1"/>
  <c r="D7042" i="1"/>
  <c r="D7041" i="1"/>
  <c r="D7040" i="1"/>
  <c r="D7039" i="1"/>
  <c r="D7038" i="1"/>
  <c r="D7037" i="1"/>
  <c r="D7036" i="1"/>
  <c r="D7035" i="1"/>
  <c r="D7034" i="1"/>
  <c r="D7033" i="1"/>
  <c r="D7032" i="1"/>
  <c r="D7031" i="1"/>
  <c r="D7030" i="1"/>
  <c r="D7029" i="1"/>
  <c r="D7028" i="1"/>
  <c r="D7027" i="1"/>
  <c r="D7026" i="1"/>
  <c r="D7025" i="1"/>
  <c r="D7024" i="1"/>
  <c r="D7023" i="1"/>
  <c r="D7022" i="1"/>
  <c r="D7021" i="1"/>
  <c r="D7020" i="1"/>
  <c r="D7019" i="1"/>
  <c r="D7018" i="1"/>
  <c r="D7017" i="1"/>
  <c r="D7016" i="1"/>
  <c r="D7015" i="1"/>
  <c r="D7014" i="1"/>
  <c r="D7013" i="1"/>
  <c r="D7012" i="1"/>
  <c r="D7011" i="1"/>
  <c r="D7010" i="1"/>
  <c r="D7009" i="1"/>
  <c r="D7008" i="1"/>
  <c r="D7007" i="1"/>
  <c r="D7006" i="1"/>
  <c r="D7005" i="1"/>
  <c r="D7004" i="1"/>
  <c r="D7003" i="1"/>
  <c r="D7001" i="1"/>
  <c r="D6997" i="1"/>
  <c r="D6993" i="1"/>
  <c r="D6992" i="1"/>
  <c r="D6991" i="1"/>
  <c r="D6990" i="1"/>
  <c r="D6989" i="1"/>
  <c r="D6988" i="1"/>
  <c r="D6987" i="1"/>
  <c r="D6984" i="1" l="1"/>
  <c r="D6982" i="1"/>
  <c r="D6980" i="1"/>
  <c r="D6979" i="1"/>
  <c r="D6975" i="1"/>
  <c r="D6973" i="1"/>
  <c r="D6972" i="1"/>
  <c r="D6970" i="1"/>
  <c r="D6969" i="1"/>
  <c r="D6968" i="1"/>
  <c r="D6967" i="1"/>
  <c r="D6966" i="1"/>
  <c r="D6965" i="1"/>
  <c r="D6964" i="1"/>
  <c r="D6962" i="1"/>
  <c r="D6961" i="1"/>
  <c r="D6960" i="1"/>
  <c r="D6958" i="1"/>
  <c r="D6957" i="1"/>
  <c r="D6956" i="1"/>
  <c r="D6955" i="1"/>
  <c r="D6954" i="1"/>
  <c r="D6953" i="1"/>
  <c r="D6952" i="1"/>
  <c r="D6951" i="1"/>
  <c r="D6950" i="1"/>
  <c r="D6949" i="1"/>
  <c r="D6948" i="1"/>
  <c r="D6947" i="1"/>
  <c r="D6946" i="1"/>
  <c r="D6945" i="1"/>
  <c r="D6943" i="1"/>
  <c r="D6942" i="1"/>
  <c r="D6941" i="1"/>
  <c r="D6940" i="1"/>
  <c r="D6936" i="1"/>
  <c r="D6935" i="1"/>
  <c r="D6934" i="1"/>
  <c r="D6933" i="1"/>
  <c r="D6932" i="1"/>
  <c r="D6931" i="1"/>
  <c r="D6930" i="1"/>
  <c r="D6929" i="1"/>
  <c r="D6928" i="1"/>
  <c r="D6927" i="1"/>
  <c r="D6924" i="1"/>
  <c r="D6923" i="1"/>
  <c r="D6922" i="1"/>
  <c r="D6921" i="1"/>
  <c r="D6920" i="1"/>
  <c r="D6919" i="1"/>
  <c r="D6918" i="1"/>
  <c r="D6917" i="1"/>
  <c r="D6916" i="1"/>
  <c r="D6915" i="1"/>
  <c r="D6914" i="1"/>
  <c r="D6913" i="1"/>
  <c r="D6912" i="1"/>
  <c r="D6911" i="1"/>
  <c r="D6910" i="1"/>
  <c r="D6908" i="1"/>
  <c r="D6907" i="1"/>
  <c r="D6905" i="1"/>
  <c r="D6904" i="1"/>
  <c r="D6903" i="1"/>
  <c r="D6902" i="1"/>
  <c r="D6901" i="1"/>
  <c r="D6900" i="1"/>
  <c r="D6899" i="1"/>
  <c r="D6898" i="1"/>
  <c r="D6897" i="1"/>
  <c r="D6896" i="1"/>
  <c r="D6895" i="1"/>
  <c r="D6894" i="1"/>
  <c r="D6893" i="1"/>
  <c r="D6892" i="1"/>
  <c r="D6891" i="1"/>
  <c r="D6889" i="1"/>
  <c r="D6888" i="1"/>
  <c r="D6886" i="1"/>
  <c r="D6885" i="1"/>
  <c r="D6883" i="1"/>
  <c r="D6882" i="1"/>
  <c r="D6881" i="1"/>
  <c r="D6880" i="1"/>
  <c r="D6879" i="1"/>
  <c r="D6878" i="1"/>
  <c r="D6877" i="1"/>
  <c r="D6876" i="1"/>
  <c r="D6874" i="1"/>
  <c r="D6873" i="1"/>
  <c r="D6872" i="1"/>
  <c r="D6870" i="1"/>
  <c r="D6869" i="1"/>
  <c r="D6868" i="1"/>
  <c r="D6867" i="1"/>
  <c r="D6866" i="1"/>
  <c r="D6865" i="1"/>
  <c r="D6864" i="1"/>
  <c r="D6863" i="1"/>
  <c r="D6862" i="1"/>
  <c r="D6861" i="1"/>
  <c r="D6860" i="1"/>
  <c r="D6859" i="1"/>
  <c r="D6858" i="1"/>
  <c r="D6857" i="1"/>
  <c r="D6856" i="1"/>
  <c r="D6855" i="1"/>
  <c r="D6854" i="1"/>
  <c r="D6853" i="1"/>
  <c r="D6852" i="1"/>
  <c r="D6851" i="1"/>
  <c r="D6850" i="1"/>
  <c r="D6849" i="1"/>
  <c r="D6848" i="1"/>
  <c r="D6847" i="1"/>
  <c r="D6846" i="1"/>
  <c r="D6845" i="1"/>
  <c r="D6844" i="1"/>
  <c r="D6843" i="1"/>
  <c r="D6842" i="1"/>
  <c r="D6841" i="1"/>
  <c r="D6840" i="1"/>
  <c r="D6839" i="1"/>
  <c r="D6838" i="1"/>
  <c r="D6837" i="1"/>
  <c r="D6836" i="1"/>
  <c r="D6835" i="1"/>
  <c r="D6834" i="1"/>
  <c r="D6833" i="1"/>
  <c r="D6832" i="1"/>
  <c r="D6831" i="1"/>
  <c r="D6830" i="1"/>
  <c r="D6829" i="1"/>
  <c r="D6828" i="1"/>
  <c r="D6827" i="1"/>
  <c r="D6826" i="1"/>
  <c r="D6825" i="1"/>
  <c r="D6824" i="1"/>
  <c r="D6823" i="1"/>
  <c r="D6822" i="1"/>
  <c r="D6821" i="1"/>
  <c r="D6820" i="1"/>
  <c r="D6819" i="1"/>
  <c r="D6818" i="1"/>
  <c r="D6817" i="1"/>
  <c r="D6816" i="1"/>
  <c r="D6815" i="1"/>
  <c r="D6814" i="1"/>
  <c r="D6813" i="1"/>
  <c r="D6812" i="1"/>
  <c r="D6811" i="1"/>
  <c r="D6810" i="1"/>
  <c r="D6809" i="1"/>
  <c r="D6808" i="1"/>
  <c r="D6807" i="1"/>
  <c r="D6806" i="1"/>
  <c r="D6805" i="1"/>
  <c r="D6804" i="1"/>
  <c r="D6803" i="1"/>
  <c r="D6802" i="1"/>
  <c r="D6800" i="1"/>
  <c r="D6796" i="1"/>
  <c r="D6792" i="1"/>
  <c r="D6791" i="1"/>
  <c r="D6790" i="1"/>
  <c r="D6789" i="1"/>
  <c r="D6788" i="1"/>
  <c r="D6787" i="1"/>
  <c r="D6786" i="1"/>
  <c r="D6783" i="1" l="1"/>
  <c r="D6781" i="1"/>
  <c r="D6780" i="1"/>
  <c r="D6779" i="1"/>
  <c r="D6775" i="1"/>
  <c r="D6774" i="1"/>
  <c r="D6773" i="1"/>
  <c r="D6772" i="1"/>
  <c r="D6770" i="1"/>
  <c r="D6769" i="1"/>
  <c r="D6768" i="1"/>
  <c r="D6766" i="1"/>
  <c r="D6765" i="1"/>
  <c r="D6763" i="1"/>
  <c r="D6761" i="1"/>
  <c r="D6760" i="1"/>
  <c r="D6759" i="1"/>
  <c r="D6758" i="1"/>
  <c r="D6757" i="1"/>
  <c r="D6756" i="1"/>
  <c r="D6754" i="1"/>
  <c r="D6753" i="1"/>
  <c r="D6752" i="1"/>
  <c r="D6751" i="1"/>
  <c r="D6750" i="1"/>
  <c r="D6749" i="1"/>
  <c r="D6748" i="1"/>
  <c r="D6745" i="1"/>
  <c r="D6744" i="1"/>
  <c r="D6743" i="1"/>
  <c r="D6741" i="1"/>
  <c r="D6740" i="1"/>
  <c r="D6739" i="1"/>
  <c r="D6736" i="1"/>
  <c r="D6735" i="1"/>
  <c r="D6734" i="1"/>
  <c r="D6733" i="1"/>
  <c r="D6732" i="1"/>
  <c r="D6731" i="1"/>
  <c r="D6730" i="1"/>
  <c r="D6729" i="1"/>
  <c r="D6728" i="1"/>
  <c r="D6727" i="1"/>
  <c r="D6726" i="1"/>
  <c r="D6725" i="1"/>
  <c r="D6724" i="1"/>
  <c r="D6723" i="1"/>
  <c r="D6721" i="1"/>
  <c r="D6720" i="1"/>
  <c r="D6719" i="1"/>
  <c r="D6718" i="1"/>
  <c r="D6717" i="1"/>
  <c r="D6716" i="1"/>
  <c r="D6715" i="1"/>
  <c r="D6714" i="1"/>
  <c r="D6713" i="1"/>
  <c r="D6712" i="1"/>
  <c r="D6711" i="1"/>
  <c r="D6707" i="1"/>
  <c r="D6706" i="1"/>
  <c r="D6705" i="1"/>
  <c r="D6704" i="1"/>
  <c r="D6703" i="1"/>
  <c r="D6700" i="1"/>
  <c r="D6699" i="1"/>
  <c r="D6698" i="1"/>
  <c r="D6697" i="1"/>
  <c r="D6696" i="1"/>
  <c r="D6695" i="1"/>
  <c r="D6694" i="1"/>
  <c r="D6693" i="1"/>
  <c r="D6692" i="1"/>
  <c r="D6691" i="1"/>
  <c r="D6689" i="1"/>
  <c r="D6687" i="1"/>
  <c r="D6686" i="1"/>
  <c r="D6685" i="1"/>
  <c r="D6684" i="1"/>
  <c r="D6683" i="1"/>
  <c r="D6682" i="1"/>
  <c r="D6681" i="1"/>
  <c r="D6680" i="1"/>
  <c r="D6679" i="1"/>
  <c r="D6678" i="1"/>
  <c r="D6677" i="1"/>
  <c r="D6676" i="1"/>
  <c r="D6675" i="1"/>
  <c r="D6674" i="1"/>
  <c r="D6673" i="1"/>
  <c r="D6672" i="1"/>
  <c r="D6671" i="1"/>
  <c r="D6670" i="1"/>
  <c r="D6669" i="1"/>
  <c r="D6668" i="1"/>
  <c r="D6667" i="1"/>
  <c r="D6666" i="1"/>
  <c r="D6665" i="1"/>
  <c r="D6664" i="1"/>
  <c r="D6663" i="1"/>
  <c r="D6662" i="1"/>
  <c r="D6661" i="1"/>
  <c r="D6660" i="1"/>
  <c r="D6659" i="1"/>
  <c r="D6658" i="1"/>
  <c r="D6657" i="1"/>
  <c r="D6656" i="1"/>
  <c r="D6655" i="1"/>
  <c r="D6654" i="1"/>
  <c r="D6653" i="1"/>
  <c r="D6652" i="1"/>
  <c r="D6651" i="1"/>
  <c r="D6650" i="1"/>
  <c r="D6649" i="1"/>
  <c r="D6648" i="1"/>
  <c r="D6647" i="1"/>
  <c r="D6646" i="1"/>
  <c r="D6645" i="1"/>
  <c r="D6643" i="1"/>
  <c r="D6642" i="1"/>
  <c r="D6641" i="1"/>
  <c r="D6640" i="1"/>
  <c r="D6639" i="1"/>
  <c r="D6637" i="1"/>
  <c r="D6636" i="1"/>
  <c r="D6635" i="1"/>
  <c r="D6634" i="1"/>
  <c r="D6633" i="1"/>
  <c r="D6632" i="1"/>
  <c r="D6631" i="1"/>
  <c r="D6630" i="1"/>
  <c r="D6629" i="1"/>
  <c r="D6628" i="1"/>
  <c r="D6627" i="1"/>
  <c r="D6626" i="1"/>
  <c r="D6625" i="1"/>
  <c r="D6624" i="1"/>
  <c r="D6623" i="1"/>
  <c r="D6622" i="1"/>
  <c r="D6621" i="1"/>
  <c r="D6620" i="1"/>
  <c r="D6619" i="1"/>
  <c r="D6618" i="1"/>
  <c r="D6617" i="1"/>
  <c r="D6616" i="1"/>
  <c r="D6614" i="1"/>
  <c r="D6613" i="1"/>
  <c r="D6612" i="1"/>
  <c r="D6611" i="1"/>
  <c r="D6610" i="1"/>
  <c r="D6609" i="1"/>
  <c r="D6608" i="1"/>
  <c r="D6607" i="1"/>
  <c r="D6606" i="1"/>
  <c r="D6605" i="1"/>
  <c r="D6604" i="1"/>
  <c r="D6603" i="1"/>
  <c r="D6602" i="1"/>
  <c r="D6601" i="1"/>
  <c r="D6600" i="1"/>
  <c r="D6599" i="1"/>
  <c r="D6598" i="1"/>
  <c r="D6597" i="1"/>
  <c r="D6596" i="1"/>
  <c r="D6595" i="1"/>
  <c r="D6594" i="1"/>
  <c r="D6593" i="1"/>
  <c r="D6592" i="1"/>
  <c r="D6591" i="1"/>
  <c r="D6590" i="1"/>
  <c r="D6589" i="1"/>
  <c r="D6588" i="1"/>
  <c r="D6587" i="1"/>
  <c r="D6586" i="1"/>
  <c r="D6585" i="1"/>
  <c r="D6584" i="1"/>
  <c r="D6583" i="1"/>
  <c r="D6582" i="1"/>
  <c r="D6581" i="1"/>
  <c r="D6580" i="1"/>
  <c r="D6579" i="1"/>
  <c r="D6578" i="1"/>
  <c r="D6577" i="1"/>
  <c r="D6576" i="1"/>
  <c r="D6575" i="1"/>
  <c r="D6574" i="1"/>
  <c r="D6573" i="1"/>
  <c r="D6572" i="1"/>
  <c r="D6571" i="1"/>
  <c r="D6570" i="1"/>
  <c r="D6569" i="1"/>
  <c r="D6568" i="1"/>
  <c r="D6567" i="1"/>
  <c r="D6566" i="1"/>
  <c r="D6565" i="1"/>
  <c r="D6564" i="1"/>
  <c r="D6563" i="1"/>
  <c r="D6562" i="1"/>
  <c r="D6560" i="1"/>
  <c r="D6556" i="1"/>
  <c r="D6555" i="1"/>
  <c r="D6552" i="1"/>
  <c r="D6551" i="1"/>
  <c r="D6549" i="1"/>
  <c r="D6548" i="1"/>
  <c r="D6545" i="1"/>
  <c r="D6542" i="1" l="1"/>
  <c r="D6540" i="1"/>
  <c r="D6536" i="1"/>
  <c r="D6533" i="1"/>
  <c r="D6532" i="1"/>
  <c r="D6531" i="1"/>
  <c r="D6530" i="1"/>
  <c r="D6529" i="1"/>
  <c r="D6527" i="1"/>
  <c r="D6525" i="1"/>
  <c r="D6524" i="1"/>
  <c r="D6523" i="1"/>
  <c r="D6522" i="1"/>
  <c r="D6521" i="1"/>
  <c r="D6520" i="1"/>
  <c r="D6518" i="1"/>
  <c r="D6517" i="1"/>
  <c r="D6516" i="1"/>
  <c r="D6515" i="1"/>
  <c r="D6514" i="1"/>
  <c r="D6513" i="1"/>
  <c r="D6512" i="1"/>
  <c r="D6511" i="1"/>
  <c r="D6510" i="1"/>
  <c r="D6509" i="1"/>
  <c r="D6507" i="1"/>
  <c r="D6506" i="1"/>
  <c r="D6502" i="1"/>
  <c r="D6501" i="1"/>
  <c r="D6500" i="1"/>
  <c r="D6499" i="1"/>
  <c r="D6498" i="1"/>
  <c r="D6495" i="1"/>
  <c r="D6494" i="1"/>
  <c r="D6493" i="1"/>
  <c r="D6492" i="1"/>
  <c r="D6491" i="1"/>
  <c r="D6490" i="1"/>
  <c r="D6489" i="1"/>
  <c r="D6488" i="1"/>
  <c r="D6487" i="1"/>
  <c r="D6486" i="1"/>
  <c r="D6485" i="1"/>
  <c r="D6484" i="1"/>
  <c r="D6483" i="1"/>
  <c r="D6482" i="1"/>
  <c r="D6481" i="1"/>
  <c r="D6480" i="1"/>
  <c r="D6479" i="1"/>
  <c r="D6478" i="1"/>
  <c r="D6477" i="1"/>
  <c r="D6476" i="1"/>
  <c r="D6475" i="1"/>
  <c r="D6473" i="1"/>
  <c r="D6472" i="1"/>
  <c r="D6471" i="1"/>
  <c r="D6470" i="1"/>
  <c r="D6469" i="1"/>
  <c r="D6468" i="1"/>
  <c r="D6467" i="1"/>
  <c r="D6466" i="1"/>
  <c r="D6465" i="1"/>
  <c r="D6464" i="1"/>
  <c r="D6463" i="1"/>
  <c r="D6461" i="1"/>
  <c r="D6460" i="1"/>
  <c r="D6459" i="1"/>
  <c r="D6458" i="1"/>
  <c r="D6457" i="1"/>
  <c r="D6456" i="1"/>
  <c r="D6455" i="1"/>
  <c r="D6454" i="1"/>
  <c r="D6453" i="1"/>
  <c r="D6452" i="1"/>
  <c r="D6451" i="1"/>
  <c r="D6450" i="1"/>
  <c r="D6449" i="1"/>
  <c r="D6448" i="1"/>
  <c r="D6447" i="1"/>
  <c r="D6446" i="1"/>
  <c r="D6444" i="1"/>
  <c r="D6443" i="1"/>
  <c r="D6441" i="1"/>
  <c r="D6440" i="1"/>
  <c r="D6439" i="1"/>
  <c r="D6438" i="1"/>
  <c r="D6437" i="1"/>
  <c r="D6435" i="1"/>
  <c r="D6434" i="1"/>
  <c r="D6433" i="1"/>
  <c r="D6431" i="1"/>
  <c r="D6430" i="1"/>
  <c r="D6429" i="1"/>
  <c r="D6427" i="1"/>
  <c r="D6426" i="1"/>
  <c r="D6425" i="1"/>
  <c r="D6424" i="1"/>
  <c r="D6423" i="1"/>
  <c r="D6422" i="1"/>
  <c r="D6420" i="1"/>
  <c r="D6419" i="1"/>
  <c r="D6418" i="1"/>
  <c r="D6417" i="1"/>
  <c r="D6416" i="1"/>
  <c r="D6415" i="1"/>
  <c r="D6414" i="1"/>
  <c r="D6413" i="1"/>
  <c r="D6411" i="1"/>
  <c r="D6410" i="1"/>
  <c r="D6409" i="1"/>
  <c r="D6408" i="1"/>
  <c r="D6407" i="1"/>
  <c r="D6406" i="1"/>
  <c r="D6405" i="1"/>
  <c r="D6404" i="1"/>
  <c r="D6403" i="1"/>
  <c r="D6402" i="1"/>
  <c r="D6401" i="1"/>
  <c r="D6400" i="1"/>
  <c r="D6399" i="1"/>
  <c r="D6398" i="1"/>
  <c r="D6397" i="1"/>
  <c r="D6396" i="1"/>
  <c r="D6395" i="1"/>
  <c r="D6394" i="1"/>
  <c r="D6393" i="1"/>
  <c r="D6392" i="1"/>
  <c r="D6391" i="1"/>
  <c r="D6390" i="1"/>
  <c r="D6389" i="1"/>
  <c r="D6388" i="1"/>
  <c r="D6387" i="1"/>
  <c r="D6386" i="1"/>
  <c r="D6385" i="1"/>
  <c r="D6384" i="1"/>
  <c r="D6383" i="1"/>
  <c r="D6382" i="1"/>
  <c r="D6381" i="1"/>
  <c r="D6380" i="1"/>
  <c r="D6379" i="1"/>
  <c r="D6378" i="1"/>
  <c r="D6377" i="1"/>
  <c r="D6376" i="1"/>
  <c r="D6375" i="1"/>
  <c r="D6374" i="1"/>
  <c r="D6373" i="1"/>
  <c r="D6372" i="1"/>
  <c r="D6371" i="1"/>
  <c r="D6370" i="1"/>
  <c r="D6369" i="1"/>
  <c r="D6368" i="1"/>
  <c r="D6367" i="1"/>
  <c r="D6366" i="1"/>
  <c r="D6365" i="1"/>
  <c r="D6364" i="1"/>
  <c r="D6363" i="1"/>
  <c r="D6362" i="1"/>
  <c r="D6361" i="1"/>
  <c r="D6360" i="1"/>
  <c r="D6359" i="1"/>
  <c r="D6358" i="1"/>
  <c r="D6357" i="1"/>
  <c r="D6356" i="1"/>
  <c r="D6355" i="1"/>
  <c r="D6353" i="1"/>
  <c r="D6349" i="1"/>
  <c r="D6346" i="1"/>
  <c r="D6345" i="1"/>
  <c r="D6342" i="1" l="1"/>
  <c r="D6341" i="1"/>
  <c r="D6339" i="1"/>
  <c r="D6337" i="1"/>
  <c r="D6333" i="1"/>
  <c r="D6332" i="1"/>
  <c r="D6330" i="1"/>
  <c r="D6328" i="1"/>
  <c r="D6326" i="1"/>
  <c r="D6325" i="1"/>
  <c r="D6324" i="1"/>
  <c r="D6323" i="1"/>
  <c r="D6322" i="1"/>
  <c r="D6321" i="1"/>
  <c r="D6320" i="1"/>
  <c r="D6319" i="1"/>
  <c r="D6318" i="1"/>
  <c r="D6317" i="1"/>
  <c r="D6316" i="1"/>
  <c r="D6314" i="1"/>
  <c r="D6312" i="1"/>
  <c r="D6311" i="1"/>
  <c r="D6310" i="1"/>
  <c r="D6309" i="1"/>
  <c r="D6308" i="1"/>
  <c r="D6307" i="1"/>
  <c r="D6306" i="1"/>
  <c r="D6305" i="1"/>
  <c r="D6304" i="1"/>
  <c r="D6303" i="1"/>
  <c r="D6302" i="1"/>
  <c r="D6301" i="1"/>
  <c r="D6300" i="1"/>
  <c r="D6299" i="1"/>
  <c r="D6298" i="1"/>
  <c r="D6296" i="1"/>
  <c r="D6295" i="1"/>
  <c r="D6294" i="1"/>
  <c r="D6293" i="1"/>
  <c r="D6290" i="1"/>
  <c r="D6288" i="1"/>
  <c r="D6287" i="1"/>
  <c r="D6286" i="1"/>
  <c r="D6285" i="1"/>
  <c r="D6284" i="1"/>
  <c r="D6283" i="1"/>
  <c r="D6282" i="1"/>
  <c r="D6281" i="1"/>
  <c r="D6280" i="1"/>
  <c r="D6279" i="1"/>
  <c r="D6278" i="1"/>
  <c r="D6277" i="1"/>
  <c r="D6276" i="1"/>
  <c r="D6275" i="1"/>
  <c r="D6274" i="1"/>
  <c r="D6273" i="1"/>
  <c r="D6272" i="1"/>
  <c r="D6271" i="1"/>
  <c r="D6270" i="1"/>
  <c r="D6269" i="1"/>
  <c r="D6268" i="1"/>
  <c r="D6267" i="1"/>
  <c r="D6266" i="1"/>
  <c r="D6265" i="1"/>
  <c r="D6264" i="1"/>
  <c r="D6261" i="1"/>
  <c r="D6260" i="1"/>
  <c r="D6259" i="1"/>
  <c r="D6258" i="1"/>
  <c r="D6257" i="1"/>
  <c r="D6256" i="1"/>
  <c r="D6255" i="1"/>
  <c r="D6254" i="1"/>
  <c r="D6253" i="1"/>
  <c r="D6252" i="1"/>
  <c r="D6251" i="1"/>
  <c r="D6250" i="1"/>
  <c r="D6249" i="1"/>
  <c r="D6248" i="1"/>
  <c r="D6247" i="1"/>
  <c r="D6246" i="1"/>
  <c r="D6245" i="1"/>
  <c r="D6244" i="1"/>
  <c r="D6243" i="1"/>
  <c r="D6241" i="1"/>
  <c r="D6240" i="1"/>
  <c r="D6239" i="1"/>
  <c r="D6238" i="1"/>
  <c r="D6237" i="1"/>
  <c r="D6236" i="1"/>
  <c r="D6235" i="1"/>
  <c r="D6233" i="1"/>
  <c r="D6232" i="1"/>
  <c r="D6231" i="1"/>
  <c r="D6230" i="1"/>
  <c r="D6229" i="1"/>
  <c r="D6228" i="1"/>
  <c r="D6227" i="1"/>
  <c r="D6226" i="1"/>
  <c r="D6225" i="1"/>
  <c r="D6224" i="1"/>
  <c r="D6223" i="1"/>
  <c r="D6222" i="1"/>
  <c r="D6221" i="1"/>
  <c r="D6220" i="1"/>
  <c r="D6219" i="1"/>
  <c r="D6218" i="1"/>
  <c r="D6217" i="1"/>
  <c r="D6216" i="1"/>
  <c r="D6215" i="1"/>
  <c r="D6214" i="1"/>
  <c r="D6213" i="1"/>
  <c r="D6212" i="1"/>
  <c r="D6211" i="1"/>
  <c r="D6210" i="1"/>
  <c r="D6209" i="1"/>
  <c r="D6208" i="1"/>
  <c r="D6207" i="1"/>
  <c r="D6206" i="1"/>
  <c r="D6205" i="1"/>
  <c r="D6204" i="1"/>
  <c r="D6203" i="1"/>
  <c r="D6202" i="1"/>
  <c r="D6201" i="1"/>
  <c r="D6200" i="1"/>
  <c r="D6199" i="1"/>
  <c r="D6198" i="1"/>
  <c r="D6197" i="1"/>
  <c r="D6196" i="1"/>
  <c r="D6195" i="1"/>
  <c r="D6194" i="1"/>
  <c r="D6193" i="1"/>
  <c r="D6192" i="1"/>
  <c r="D6191" i="1"/>
  <c r="D6190" i="1"/>
  <c r="D6189" i="1"/>
  <c r="D6188" i="1"/>
  <c r="D6186" i="1"/>
  <c r="D6185" i="1"/>
  <c r="D6183" i="1"/>
  <c r="D6182" i="1"/>
  <c r="D6181" i="1"/>
  <c r="D6180" i="1"/>
  <c r="D6179" i="1"/>
  <c r="D6178" i="1"/>
  <c r="D6177" i="1"/>
  <c r="D6175" i="1"/>
  <c r="D6174" i="1"/>
  <c r="D6173" i="1"/>
  <c r="D6172" i="1"/>
  <c r="D6171" i="1"/>
  <c r="D6170" i="1"/>
  <c r="D6169" i="1"/>
  <c r="D6168" i="1"/>
  <c r="D6167" i="1"/>
  <c r="D6165" i="1"/>
  <c r="D6164" i="1"/>
  <c r="D6163" i="1"/>
  <c r="D6162" i="1"/>
  <c r="D6161" i="1"/>
  <c r="D6160" i="1"/>
  <c r="D6158" i="1"/>
  <c r="D6157" i="1"/>
  <c r="D6156" i="1"/>
  <c r="D6155" i="1"/>
  <c r="D6154" i="1"/>
  <c r="D6153" i="1"/>
  <c r="D6152" i="1"/>
  <c r="D6151" i="1"/>
  <c r="D6150" i="1"/>
  <c r="D6149" i="1"/>
  <c r="D6148" i="1"/>
  <c r="D6147" i="1"/>
  <c r="D6146" i="1"/>
  <c r="D6145" i="1"/>
  <c r="D6144" i="1"/>
  <c r="D6143" i="1"/>
  <c r="D6142" i="1"/>
  <c r="D6141" i="1"/>
  <c r="D6140" i="1"/>
  <c r="D6139" i="1"/>
  <c r="D6138" i="1"/>
  <c r="D6137" i="1"/>
  <c r="D6136" i="1"/>
  <c r="D6135" i="1"/>
  <c r="D6134" i="1"/>
  <c r="D6133" i="1"/>
  <c r="D6132" i="1"/>
  <c r="D6131" i="1"/>
  <c r="D6130" i="1"/>
  <c r="D6129" i="1"/>
  <c r="D6128" i="1"/>
  <c r="D6127" i="1"/>
  <c r="D6126" i="1"/>
  <c r="D6125" i="1"/>
  <c r="D6124" i="1"/>
  <c r="D6123" i="1"/>
  <c r="D6122" i="1"/>
  <c r="D6121" i="1"/>
  <c r="D6120" i="1"/>
  <c r="D6119" i="1"/>
  <c r="D6118" i="1"/>
  <c r="D6117" i="1"/>
  <c r="D6116" i="1"/>
  <c r="D6115" i="1"/>
  <c r="D6114" i="1"/>
  <c r="D6113" i="1"/>
  <c r="D6112" i="1"/>
  <c r="D6111" i="1"/>
  <c r="D6110" i="1"/>
  <c r="D6109" i="1"/>
  <c r="D6108" i="1"/>
  <c r="D6107" i="1"/>
  <c r="D6105" i="1"/>
  <c r="D6101" i="1"/>
  <c r="D6100" i="1"/>
  <c r="D6099" i="1"/>
  <c r="D6098" i="1"/>
  <c r="D6097" i="1"/>
  <c r="D6096" i="1"/>
  <c r="D6093" i="1"/>
  <c r="D6092" i="1"/>
  <c r="D6091" i="1"/>
  <c r="D6090" i="1"/>
  <c r="D6089" i="1"/>
  <c r="D6088" i="1"/>
  <c r="D6085" i="1" l="1"/>
  <c r="D6084" i="1"/>
  <c r="D6083" i="1"/>
  <c r="D6082" i="1"/>
  <c r="D6081" i="1"/>
  <c r="D6080" i="1"/>
  <c r="D6079" i="1"/>
  <c r="D6078" i="1"/>
  <c r="D6077" i="1"/>
  <c r="D6076" i="1"/>
  <c r="D6074" i="1"/>
  <c r="D6072" i="1"/>
  <c r="D6071" i="1"/>
  <c r="D6070" i="1"/>
  <c r="D6069" i="1"/>
  <c r="D6068" i="1"/>
  <c r="D6067" i="1"/>
  <c r="D6066" i="1"/>
  <c r="D6065" i="1"/>
  <c r="D6064" i="1"/>
  <c r="D6063" i="1"/>
  <c r="D6062" i="1"/>
  <c r="D6061" i="1"/>
  <c r="D6060" i="1"/>
  <c r="D6059" i="1"/>
  <c r="D6058" i="1"/>
  <c r="D6057" i="1"/>
  <c r="D6056" i="1"/>
  <c r="D6054" i="1"/>
  <c r="D6053" i="1"/>
  <c r="D6052" i="1"/>
  <c r="D6051" i="1"/>
  <c r="D6050" i="1"/>
  <c r="D6049" i="1"/>
  <c r="D6048" i="1"/>
  <c r="D6047" i="1"/>
  <c r="D6046" i="1"/>
  <c r="D6045" i="1"/>
  <c r="D6044" i="1"/>
  <c r="D6043" i="1"/>
  <c r="D6042" i="1"/>
  <c r="D6041" i="1"/>
  <c r="D6039" i="1"/>
  <c r="D6038" i="1"/>
  <c r="D6036" i="1"/>
  <c r="D6035" i="1"/>
  <c r="D6034" i="1"/>
  <c r="D6033" i="1"/>
  <c r="D6032" i="1"/>
  <c r="D6031" i="1"/>
  <c r="D6030" i="1"/>
  <c r="D6029" i="1"/>
  <c r="D6028" i="1"/>
  <c r="D6027" i="1"/>
  <c r="D6026" i="1"/>
  <c r="D6025" i="1"/>
  <c r="D6024" i="1"/>
  <c r="D6023" i="1"/>
  <c r="D6022" i="1"/>
  <c r="D6021" i="1"/>
  <c r="D6020" i="1"/>
  <c r="D6019" i="1"/>
  <c r="D6018" i="1"/>
  <c r="D6017" i="1"/>
  <c r="D6016" i="1"/>
  <c r="D6015" i="1"/>
  <c r="D6014" i="1"/>
  <c r="D6013" i="1"/>
  <c r="D6011" i="1"/>
  <c r="D6008" i="1"/>
  <c r="D6007" i="1"/>
  <c r="D6006" i="1"/>
  <c r="D6005" i="1"/>
  <c r="D6004" i="1"/>
  <c r="D6003" i="1"/>
  <c r="D6002" i="1"/>
  <c r="D6001" i="1"/>
  <c r="D6000" i="1"/>
  <c r="D5999" i="1"/>
  <c r="D5998" i="1"/>
  <c r="D5997" i="1"/>
  <c r="D5996" i="1"/>
  <c r="D5995" i="1"/>
  <c r="D5994" i="1"/>
  <c r="D5993" i="1"/>
  <c r="D5992" i="1"/>
  <c r="D5991" i="1"/>
  <c r="D5990" i="1"/>
  <c r="D5988" i="1"/>
  <c r="D5987" i="1"/>
  <c r="D5986" i="1"/>
  <c r="D5985" i="1"/>
  <c r="D5984" i="1"/>
  <c r="D5983" i="1"/>
  <c r="D5982" i="1"/>
  <c r="D5981" i="1"/>
  <c r="D5979" i="1"/>
  <c r="D5978" i="1"/>
  <c r="D5977" i="1"/>
  <c r="D5976" i="1"/>
  <c r="D5975" i="1"/>
  <c r="D5974" i="1"/>
  <c r="D5973" i="1"/>
  <c r="D5972" i="1"/>
  <c r="D5971" i="1"/>
  <c r="D5970" i="1"/>
  <c r="D5969" i="1"/>
  <c r="D5968" i="1"/>
  <c r="D5967" i="1"/>
  <c r="D5966" i="1"/>
  <c r="D5965" i="1"/>
  <c r="D5964" i="1"/>
  <c r="D5963" i="1"/>
  <c r="D5962" i="1"/>
  <c r="D5961" i="1"/>
  <c r="D5960" i="1"/>
  <c r="D5959" i="1"/>
  <c r="D5958" i="1"/>
  <c r="D5957" i="1"/>
  <c r="D5956" i="1"/>
  <c r="D5955" i="1"/>
  <c r="D5954" i="1"/>
  <c r="D5953" i="1"/>
  <c r="D5952" i="1"/>
  <c r="D5951" i="1"/>
  <c r="D5950" i="1"/>
  <c r="D5949" i="1"/>
  <c r="D5948" i="1"/>
  <c r="D5947" i="1"/>
  <c r="D5946" i="1"/>
  <c r="D5945" i="1"/>
  <c r="D5944" i="1"/>
  <c r="D5943" i="1"/>
  <c r="D5942" i="1"/>
  <c r="D5941" i="1"/>
  <c r="D5940" i="1"/>
  <c r="D5939" i="1"/>
  <c r="D5938" i="1"/>
  <c r="D5937" i="1"/>
  <c r="D5936" i="1"/>
  <c r="D5935" i="1"/>
  <c r="D5933" i="1"/>
  <c r="D5932" i="1"/>
  <c r="D5931" i="1"/>
  <c r="D5930" i="1"/>
  <c r="D5929" i="1"/>
  <c r="D5928" i="1"/>
  <c r="D5927" i="1"/>
  <c r="D5925" i="1"/>
  <c r="D5924" i="1"/>
  <c r="D5923" i="1"/>
  <c r="D5922" i="1"/>
  <c r="D5921" i="1"/>
  <c r="D5920" i="1"/>
  <c r="D5919" i="1"/>
  <c r="D5918" i="1"/>
  <c r="D5917" i="1"/>
  <c r="D5916" i="1"/>
  <c r="D5915" i="1"/>
  <c r="D5914" i="1"/>
  <c r="D5913" i="1"/>
  <c r="D5911" i="1"/>
  <c r="D5909" i="1"/>
  <c r="D5908" i="1"/>
  <c r="D5907" i="1"/>
  <c r="D5906" i="1"/>
  <c r="D5905" i="1"/>
  <c r="D5904" i="1"/>
  <c r="D5903" i="1"/>
  <c r="D5902" i="1"/>
  <c r="D5901" i="1"/>
  <c r="D5900" i="1"/>
  <c r="D5899" i="1"/>
  <c r="D5898" i="1"/>
  <c r="D5897" i="1"/>
  <c r="D5896" i="1"/>
  <c r="D5895" i="1"/>
  <c r="D5894" i="1"/>
  <c r="D5893" i="1"/>
  <c r="D5892" i="1"/>
  <c r="D5891" i="1"/>
  <c r="D5890" i="1"/>
  <c r="D5889" i="1"/>
  <c r="D5888" i="1"/>
  <c r="D5887" i="1"/>
  <c r="D5885" i="1"/>
  <c r="D5884" i="1"/>
  <c r="D5880" i="1"/>
  <c r="D5879" i="1"/>
  <c r="D5878" i="1"/>
  <c r="D5877" i="1"/>
  <c r="D5876" i="1"/>
  <c r="D5875" i="1"/>
  <c r="D5874" i="1"/>
  <c r="D5873" i="1"/>
  <c r="D5872" i="1"/>
  <c r="D5871" i="1"/>
  <c r="D5870" i="1"/>
  <c r="D5869" i="1"/>
  <c r="D5868" i="1"/>
  <c r="D5865" i="1"/>
  <c r="D5864" i="1"/>
  <c r="D5863" i="1"/>
  <c r="D5862" i="1"/>
  <c r="D5861" i="1"/>
  <c r="D5860" i="1"/>
  <c r="D5857" i="1" l="1"/>
  <c r="D5855" i="1"/>
  <c r="D5851" i="1"/>
  <c r="D5850" i="1"/>
  <c r="D5849" i="1"/>
  <c r="D5847" i="1"/>
  <c r="D5846" i="1"/>
  <c r="D5845" i="1"/>
  <c r="D5844" i="1"/>
  <c r="D5843" i="1"/>
  <c r="D5841" i="1"/>
  <c r="D5840" i="1"/>
  <c r="D5839" i="1"/>
  <c r="D5838" i="1"/>
  <c r="D5837" i="1"/>
  <c r="D5836" i="1"/>
  <c r="D5835" i="1"/>
  <c r="D5834" i="1"/>
  <c r="D5833" i="1"/>
  <c r="D5832" i="1"/>
  <c r="D5831" i="1"/>
  <c r="D5829" i="1"/>
  <c r="D5828" i="1"/>
  <c r="D5825" i="1"/>
  <c r="D5824" i="1"/>
  <c r="D5823" i="1"/>
  <c r="D5822" i="1"/>
  <c r="D5821" i="1"/>
  <c r="D5820" i="1"/>
  <c r="D5819" i="1"/>
  <c r="D5818" i="1"/>
  <c r="D5817" i="1"/>
  <c r="D5816" i="1"/>
  <c r="D5815" i="1"/>
  <c r="D5814" i="1"/>
  <c r="D5813" i="1"/>
  <c r="D5812" i="1"/>
  <c r="D5811" i="1"/>
  <c r="D5810" i="1"/>
  <c r="D5809" i="1"/>
  <c r="D5808" i="1"/>
  <c r="D5807" i="1"/>
  <c r="D5806" i="1"/>
  <c r="D5804" i="1"/>
  <c r="D5803" i="1"/>
  <c r="D5802" i="1"/>
  <c r="D5801" i="1"/>
  <c r="D5800" i="1"/>
  <c r="D5799" i="1"/>
  <c r="D5798" i="1"/>
  <c r="D5797" i="1"/>
  <c r="D5796" i="1"/>
  <c r="D5795" i="1"/>
  <c r="D5794" i="1"/>
  <c r="D5793" i="1"/>
  <c r="D5792" i="1"/>
  <c r="D5791" i="1"/>
  <c r="D5789" i="1"/>
  <c r="D5788" i="1"/>
  <c r="D5787" i="1"/>
  <c r="D5784" i="1"/>
  <c r="D5783" i="1"/>
  <c r="D5782" i="1"/>
  <c r="D5781" i="1"/>
  <c r="D5780" i="1"/>
  <c r="D5777" i="1"/>
  <c r="D5776" i="1"/>
  <c r="D5775" i="1"/>
  <c r="D5774" i="1"/>
  <c r="D5773" i="1"/>
  <c r="D5772" i="1"/>
  <c r="D5771" i="1"/>
  <c r="D5770" i="1"/>
  <c r="D5769" i="1"/>
  <c r="D5768" i="1"/>
  <c r="D5767" i="1"/>
  <c r="D5766" i="1"/>
  <c r="D5765" i="1"/>
  <c r="D5764" i="1"/>
  <c r="D5763" i="1"/>
  <c r="D5762" i="1"/>
  <c r="D5760" i="1"/>
  <c r="D5759" i="1"/>
  <c r="D5758" i="1"/>
  <c r="D5757" i="1"/>
  <c r="D5756" i="1"/>
  <c r="D5755" i="1"/>
  <c r="D5753" i="1"/>
  <c r="D5751" i="1"/>
  <c r="D5750" i="1"/>
  <c r="D5749" i="1"/>
  <c r="D5748" i="1"/>
  <c r="D5747" i="1"/>
  <c r="D5746" i="1"/>
  <c r="D5745" i="1"/>
  <c r="D5744" i="1"/>
  <c r="D5743" i="1"/>
  <c r="D5742" i="1"/>
  <c r="D5741" i="1"/>
  <c r="D5740" i="1"/>
  <c r="D5739" i="1"/>
  <c r="D5738" i="1"/>
  <c r="D5737" i="1"/>
  <c r="D5736" i="1"/>
  <c r="D5735" i="1"/>
  <c r="D5734" i="1"/>
  <c r="D5733" i="1"/>
  <c r="D5732" i="1"/>
  <c r="D5731" i="1"/>
  <c r="D5730" i="1"/>
  <c r="D5729" i="1"/>
  <c r="D5728" i="1"/>
  <c r="D5727" i="1"/>
  <c r="D5726" i="1"/>
  <c r="D5725" i="1"/>
  <c r="D5723" i="1"/>
  <c r="D5722" i="1"/>
  <c r="D5721" i="1"/>
  <c r="D5720" i="1"/>
  <c r="D5719" i="1"/>
  <c r="D5717" i="1"/>
  <c r="D5716" i="1"/>
  <c r="D5715" i="1"/>
  <c r="D5714" i="1"/>
  <c r="D5713" i="1"/>
  <c r="D5712" i="1"/>
  <c r="D5711" i="1"/>
  <c r="D5709" i="1"/>
  <c r="D5708" i="1"/>
  <c r="D5707" i="1"/>
  <c r="D5706" i="1"/>
  <c r="D5705" i="1"/>
  <c r="D5704" i="1"/>
  <c r="D5703" i="1"/>
  <c r="D5702" i="1"/>
  <c r="D5701" i="1"/>
  <c r="D5700" i="1"/>
  <c r="D5699" i="1"/>
  <c r="D5698" i="1"/>
  <c r="D5696" i="1"/>
  <c r="D5695" i="1"/>
  <c r="D5694" i="1"/>
  <c r="D5693" i="1"/>
  <c r="D5692" i="1"/>
  <c r="D5691" i="1"/>
  <c r="D5690" i="1"/>
  <c r="D5689" i="1"/>
  <c r="D5688" i="1"/>
  <c r="D5687" i="1"/>
  <c r="D5686" i="1"/>
  <c r="D5685" i="1"/>
  <c r="D5684" i="1"/>
  <c r="D5683" i="1"/>
  <c r="D5682" i="1"/>
  <c r="D5681" i="1"/>
  <c r="D5680" i="1"/>
  <c r="D5679" i="1"/>
  <c r="D5678" i="1"/>
  <c r="D5677" i="1"/>
  <c r="D5676" i="1"/>
  <c r="D5675" i="1"/>
  <c r="D5674" i="1"/>
  <c r="D5673" i="1"/>
  <c r="D5672" i="1"/>
  <c r="D5671" i="1"/>
  <c r="D5670" i="1"/>
  <c r="D5669" i="1"/>
  <c r="D5668" i="1"/>
  <c r="D5667" i="1"/>
  <c r="D5666" i="1"/>
  <c r="D5665" i="1"/>
  <c r="D5664" i="1"/>
  <c r="D5663" i="1"/>
  <c r="D5662" i="1"/>
  <c r="D5661" i="1"/>
  <c r="D5660" i="1"/>
  <c r="D5659" i="1"/>
  <c r="D5658" i="1"/>
  <c r="D5657" i="1"/>
  <c r="D5656" i="1"/>
  <c r="D5655" i="1"/>
  <c r="D5654" i="1"/>
  <c r="D5653" i="1"/>
  <c r="D5652" i="1"/>
  <c r="D5651" i="1"/>
  <c r="D5650" i="1"/>
  <c r="D5649" i="1"/>
  <c r="D5648" i="1"/>
  <c r="D5647" i="1"/>
  <c r="D5646" i="1"/>
  <c r="D5645" i="1"/>
  <c r="D5644" i="1"/>
  <c r="D5643" i="1"/>
  <c r="D5642" i="1"/>
  <c r="D5641" i="1"/>
  <c r="D5640" i="1"/>
  <c r="D5639" i="1"/>
  <c r="D5638" i="1"/>
  <c r="D5637" i="1"/>
  <c r="D5636" i="1"/>
  <c r="D5635" i="1"/>
  <c r="D5634" i="1"/>
  <c r="D5633" i="1"/>
  <c r="D5632" i="1"/>
  <c r="D5630" i="1"/>
  <c r="D5628" i="1"/>
  <c r="D5627" i="1"/>
  <c r="D5626" i="1"/>
  <c r="D5625" i="1"/>
  <c r="D5624" i="1"/>
  <c r="D5621" i="1"/>
  <c r="D5618" i="1" l="1"/>
  <c r="D5617" i="1"/>
  <c r="D5615" i="1"/>
  <c r="D5614" i="1"/>
  <c r="D5612" i="1"/>
  <c r="D5611" i="1"/>
  <c r="D5609" i="1"/>
  <c r="D5608" i="1"/>
  <c r="D5604" i="1"/>
  <c r="D5603" i="1"/>
  <c r="D5602" i="1"/>
  <c r="D5601" i="1"/>
  <c r="D5600" i="1"/>
  <c r="D5599" i="1"/>
  <c r="D5598" i="1"/>
  <c r="D5597" i="1"/>
  <c r="D5596" i="1"/>
  <c r="D5595" i="1"/>
  <c r="D5593" i="1"/>
  <c r="D5592" i="1"/>
  <c r="D5591" i="1"/>
  <c r="D5590" i="1"/>
  <c r="D5589" i="1"/>
  <c r="D5588" i="1"/>
  <c r="D5587" i="1"/>
  <c r="D5586" i="1"/>
  <c r="D5585" i="1"/>
  <c r="D5584" i="1"/>
  <c r="D5583" i="1"/>
  <c r="D5582" i="1"/>
  <c r="D5581" i="1"/>
  <c r="D5580" i="1"/>
  <c r="D5579" i="1"/>
  <c r="D5578" i="1"/>
  <c r="D5576" i="1"/>
  <c r="D5575" i="1"/>
  <c r="D5574" i="1"/>
  <c r="D5573" i="1"/>
  <c r="D5572" i="1"/>
  <c r="D5571" i="1"/>
  <c r="D5570" i="1"/>
  <c r="D5569" i="1"/>
  <c r="D5568" i="1"/>
  <c r="D5567" i="1"/>
  <c r="D5566" i="1"/>
  <c r="D5565" i="1"/>
  <c r="D5564" i="1"/>
  <c r="D5563" i="1"/>
  <c r="D5562" i="1"/>
  <c r="D5561" i="1"/>
  <c r="D5560" i="1"/>
  <c r="D5559" i="1"/>
  <c r="D5558" i="1"/>
  <c r="D5557" i="1"/>
  <c r="D5556" i="1"/>
  <c r="D5555" i="1"/>
  <c r="D5554" i="1"/>
  <c r="D5552" i="1"/>
  <c r="D5551" i="1"/>
  <c r="D5550" i="1"/>
  <c r="D5549" i="1"/>
  <c r="D5548" i="1"/>
  <c r="D5547" i="1"/>
  <c r="D5546" i="1"/>
  <c r="D5545" i="1"/>
  <c r="D5544" i="1"/>
  <c r="D5543" i="1"/>
  <c r="D5542" i="1"/>
  <c r="D5541" i="1"/>
  <c r="D5540" i="1"/>
  <c r="D5539" i="1"/>
  <c r="D5538" i="1"/>
  <c r="D5536" i="1"/>
  <c r="D5535" i="1"/>
  <c r="D5534" i="1"/>
  <c r="D5533" i="1"/>
  <c r="D5531" i="1"/>
  <c r="D5530" i="1"/>
  <c r="D5529" i="1"/>
  <c r="D5528" i="1"/>
  <c r="D5527" i="1"/>
  <c r="D5526" i="1"/>
  <c r="D5525" i="1"/>
  <c r="D5524" i="1"/>
  <c r="D5523" i="1"/>
  <c r="D5522" i="1"/>
  <c r="D5519" i="1"/>
  <c r="D5518" i="1"/>
  <c r="D5517" i="1"/>
  <c r="D5516" i="1"/>
  <c r="D5515" i="1"/>
  <c r="D5514" i="1"/>
  <c r="D5513" i="1"/>
  <c r="D5512" i="1"/>
  <c r="D5511" i="1"/>
  <c r="D5510" i="1"/>
  <c r="D5509" i="1"/>
  <c r="D5508" i="1"/>
  <c r="D5507" i="1"/>
  <c r="D5506" i="1"/>
  <c r="D5505" i="1"/>
  <c r="D5504" i="1"/>
  <c r="D5503" i="1"/>
  <c r="D5502" i="1"/>
  <c r="D5500" i="1"/>
  <c r="D5499" i="1"/>
  <c r="D5498" i="1"/>
  <c r="D5497" i="1"/>
  <c r="D5496" i="1"/>
  <c r="D5495" i="1"/>
  <c r="D5494" i="1"/>
  <c r="D5493" i="1"/>
  <c r="D5491" i="1"/>
  <c r="D5490" i="1"/>
  <c r="D5489" i="1"/>
  <c r="D5488" i="1"/>
  <c r="D5487" i="1"/>
  <c r="D5486" i="1"/>
  <c r="D5485" i="1"/>
  <c r="D5484" i="1"/>
  <c r="D5483" i="1"/>
  <c r="D5482" i="1"/>
  <c r="D5481" i="1"/>
  <c r="D5480" i="1"/>
  <c r="D5478" i="1"/>
  <c r="D5477" i="1"/>
  <c r="D5476" i="1"/>
  <c r="D5475" i="1"/>
  <c r="D5474" i="1"/>
  <c r="D5473" i="1"/>
  <c r="D5472" i="1"/>
  <c r="D5471" i="1"/>
  <c r="D5470" i="1"/>
  <c r="D5469" i="1"/>
  <c r="D5468" i="1"/>
  <c r="D5467" i="1"/>
  <c r="D5466" i="1"/>
  <c r="D5465" i="1"/>
  <c r="D5463" i="1"/>
  <c r="D5462" i="1"/>
  <c r="D5461" i="1"/>
  <c r="D5460" i="1"/>
  <c r="D5459" i="1"/>
  <c r="D5458" i="1"/>
  <c r="D5457" i="1"/>
  <c r="D5456" i="1"/>
  <c r="D5455" i="1"/>
  <c r="D5454" i="1"/>
  <c r="D5453" i="1"/>
  <c r="D5452" i="1"/>
  <c r="D5451" i="1"/>
  <c r="D5450" i="1"/>
  <c r="D5449" i="1"/>
  <c r="D5448" i="1"/>
  <c r="D5447" i="1"/>
  <c r="D5445" i="1"/>
  <c r="D5444" i="1"/>
  <c r="D5443" i="1"/>
  <c r="D5442" i="1"/>
  <c r="D5441" i="1"/>
  <c r="D5440" i="1"/>
  <c r="D5439" i="1"/>
  <c r="D5438" i="1"/>
  <c r="D5437" i="1"/>
  <c r="D5436" i="1"/>
  <c r="D5435" i="1"/>
  <c r="D5434" i="1"/>
  <c r="D5433" i="1"/>
  <c r="D5432" i="1"/>
  <c r="D5431" i="1"/>
  <c r="D5430" i="1"/>
  <c r="D5429" i="1"/>
  <c r="D5428" i="1"/>
  <c r="D5427" i="1"/>
  <c r="D5426" i="1"/>
  <c r="D5425" i="1"/>
  <c r="D5424" i="1"/>
  <c r="D5423" i="1"/>
  <c r="D5422" i="1"/>
  <c r="D5420" i="1"/>
  <c r="D5419" i="1"/>
  <c r="D5418" i="1"/>
  <c r="D5417" i="1"/>
  <c r="D5416" i="1"/>
  <c r="D5415" i="1"/>
  <c r="D5414" i="1"/>
  <c r="D5413" i="1"/>
  <c r="D5412" i="1"/>
  <c r="D5411" i="1"/>
  <c r="D5410" i="1"/>
  <c r="D5409" i="1"/>
  <c r="D5408" i="1"/>
  <c r="D5407" i="1"/>
  <c r="D5406" i="1"/>
  <c r="D5405" i="1"/>
  <c r="D5404" i="1"/>
  <c r="D5403" i="1"/>
  <c r="D5402" i="1"/>
  <c r="D5401" i="1"/>
  <c r="D5400" i="1"/>
  <c r="D5399" i="1"/>
  <c r="D5398" i="1"/>
  <c r="D5397" i="1"/>
  <c r="D5396" i="1"/>
  <c r="D5395" i="1"/>
  <c r="D5394" i="1"/>
  <c r="D5393" i="1"/>
  <c r="D5392" i="1"/>
  <c r="D5391" i="1"/>
  <c r="D5390" i="1"/>
  <c r="D5389" i="1"/>
  <c r="D5388" i="1"/>
  <c r="D5387" i="1"/>
  <c r="D5386" i="1"/>
  <c r="D5385" i="1"/>
  <c r="D5384" i="1"/>
  <c r="D5383" i="1"/>
  <c r="D5382" i="1"/>
  <c r="D5381" i="1"/>
  <c r="D5380" i="1"/>
  <c r="D5379" i="1"/>
  <c r="D5378" i="1"/>
  <c r="D5377" i="1"/>
  <c r="D5376" i="1"/>
  <c r="D5375" i="1"/>
  <c r="D5374" i="1"/>
  <c r="D5373" i="1"/>
  <c r="D5372" i="1"/>
  <c r="D5371" i="1"/>
  <c r="D5370" i="1"/>
  <c r="D5369" i="1"/>
  <c r="D5368" i="1"/>
  <c r="D5367" i="1"/>
  <c r="D5366" i="1"/>
  <c r="D5365" i="1"/>
  <c r="D5364" i="1"/>
  <c r="D5363" i="1"/>
  <c r="D5362" i="1"/>
  <c r="D5361" i="1"/>
  <c r="D5360" i="1"/>
  <c r="D5359" i="1"/>
  <c r="D5358" i="1"/>
  <c r="D5357" i="1"/>
  <c r="D5356" i="1"/>
  <c r="D5355" i="1"/>
  <c r="D5354" i="1"/>
  <c r="D5353" i="1"/>
  <c r="D5352" i="1"/>
  <c r="D5351" i="1"/>
  <c r="D5350" i="1"/>
  <c r="D5349" i="1"/>
  <c r="D5348" i="1"/>
  <c r="D5347" i="1"/>
  <c r="D5346" i="1"/>
  <c r="D5345" i="1"/>
  <c r="D5344" i="1"/>
  <c r="D5343" i="1"/>
  <c r="D5341" i="1"/>
  <c r="D5339" i="1"/>
  <c r="D5338" i="1"/>
  <c r="D5337" i="1"/>
  <c r="D5336" i="1"/>
  <c r="D5335" i="1"/>
  <c r="D5334" i="1"/>
  <c r="D5333" i="1"/>
  <c r="D5332" i="1"/>
  <c r="D5331" i="1"/>
  <c r="D5330" i="1"/>
  <c r="D5329" i="1"/>
  <c r="D5328" i="1"/>
  <c r="D5326" i="1"/>
  <c r="D5325" i="1"/>
  <c r="D5324" i="1"/>
  <c r="D5319" i="1" l="1"/>
  <c r="D5316" i="1"/>
  <c r="D5314" i="1"/>
  <c r="D5313" i="1"/>
  <c r="D5312" i="1"/>
  <c r="D5311" i="1"/>
  <c r="D5310" i="1"/>
  <c r="D5309" i="1"/>
  <c r="D5308" i="1"/>
  <c r="D5307" i="1"/>
  <c r="D5306" i="1"/>
  <c r="D5305" i="1"/>
  <c r="D5304" i="1"/>
  <c r="D5303" i="1"/>
  <c r="D5302" i="1"/>
  <c r="D5301" i="1"/>
  <c r="D5300" i="1"/>
  <c r="D5299" i="1"/>
  <c r="D5298" i="1"/>
  <c r="D5297" i="1"/>
  <c r="D5296" i="1"/>
  <c r="D5295" i="1"/>
  <c r="D5294" i="1"/>
  <c r="D5293" i="1"/>
  <c r="D5292" i="1"/>
  <c r="D5291" i="1"/>
  <c r="D5290" i="1"/>
  <c r="D5289" i="1"/>
  <c r="D5288" i="1"/>
  <c r="D5287" i="1"/>
  <c r="D5286" i="1"/>
  <c r="D5285" i="1"/>
  <c r="D5284" i="1"/>
  <c r="D5283" i="1"/>
  <c r="D5282" i="1"/>
  <c r="D5281" i="1"/>
  <c r="D5280" i="1"/>
  <c r="D5279" i="1"/>
  <c r="D5278" i="1"/>
  <c r="D5277" i="1"/>
  <c r="D5276" i="1"/>
  <c r="D5275" i="1"/>
  <c r="D5274" i="1"/>
  <c r="D5273" i="1"/>
  <c r="D5272" i="1"/>
  <c r="D5271" i="1"/>
  <c r="D5270" i="1"/>
  <c r="D5269" i="1"/>
  <c r="D5268" i="1"/>
  <c r="D5267" i="1"/>
  <c r="D5266" i="1"/>
  <c r="D5265" i="1"/>
  <c r="D5264" i="1"/>
  <c r="D5263" i="1"/>
  <c r="D5262" i="1"/>
  <c r="D5261" i="1"/>
  <c r="D5260" i="1"/>
  <c r="D5259" i="1"/>
  <c r="D5258" i="1"/>
  <c r="D5257" i="1"/>
  <c r="D5256" i="1"/>
  <c r="D5255" i="1"/>
  <c r="D5254" i="1"/>
  <c r="D5253" i="1"/>
  <c r="D5252" i="1"/>
  <c r="D5251" i="1"/>
  <c r="D5250" i="1"/>
  <c r="D5249" i="1"/>
  <c r="D5248" i="1"/>
  <c r="D5247" i="1"/>
  <c r="D5246" i="1"/>
  <c r="D5245" i="1"/>
  <c r="D5244" i="1"/>
  <c r="D5243" i="1"/>
  <c r="D5242" i="1"/>
  <c r="D5241" i="1"/>
  <c r="D5240" i="1"/>
  <c r="D5239" i="1"/>
  <c r="D5238" i="1"/>
  <c r="D5237" i="1"/>
  <c r="D5236" i="1"/>
  <c r="D5235" i="1"/>
  <c r="D5234" i="1"/>
  <c r="D5233" i="1"/>
  <c r="D5232" i="1"/>
  <c r="D5231" i="1"/>
  <c r="D5230" i="1"/>
  <c r="D5229" i="1"/>
  <c r="D5228" i="1"/>
  <c r="D5227" i="1"/>
  <c r="D5226" i="1"/>
  <c r="D5225" i="1"/>
  <c r="D5224" i="1"/>
  <c r="D5223" i="1"/>
  <c r="D5222" i="1"/>
  <c r="D5221" i="1"/>
  <c r="D5220" i="1"/>
  <c r="D5219" i="1"/>
  <c r="D5218" i="1"/>
  <c r="D5217" i="1"/>
  <c r="D5216" i="1"/>
  <c r="D5215" i="1"/>
  <c r="D5214" i="1"/>
  <c r="D5213" i="1"/>
  <c r="D5212" i="1"/>
  <c r="D5211" i="1"/>
  <c r="D5210" i="1"/>
  <c r="D5209" i="1"/>
  <c r="D5208" i="1"/>
  <c r="D5207" i="1"/>
  <c r="D5206" i="1"/>
  <c r="D5205" i="1"/>
  <c r="D5204" i="1"/>
  <c r="D5203" i="1"/>
  <c r="D5202" i="1"/>
  <c r="D5200" i="1"/>
  <c r="D5199" i="1"/>
  <c r="D5198" i="1"/>
  <c r="D5197" i="1"/>
  <c r="D5196" i="1"/>
  <c r="D5195" i="1"/>
  <c r="D5194" i="1"/>
  <c r="D5193" i="1"/>
  <c r="D5192" i="1"/>
  <c r="D5191" i="1"/>
  <c r="D5190" i="1"/>
  <c r="D5189" i="1"/>
  <c r="D5188" i="1"/>
  <c r="D5187" i="1"/>
  <c r="D5186" i="1"/>
  <c r="D5185" i="1"/>
  <c r="D5184" i="1"/>
  <c r="D5183" i="1"/>
  <c r="D5182" i="1"/>
  <c r="D5181" i="1"/>
  <c r="D5180" i="1"/>
  <c r="D5179" i="1"/>
  <c r="D5178" i="1"/>
  <c r="D5176" i="1"/>
  <c r="D5175" i="1"/>
  <c r="D5174" i="1"/>
  <c r="D5173" i="1"/>
  <c r="D5172" i="1"/>
  <c r="D5171" i="1"/>
  <c r="D5170" i="1"/>
  <c r="D5169" i="1"/>
  <c r="D5168" i="1"/>
  <c r="D5167" i="1"/>
  <c r="D5166" i="1"/>
  <c r="D5165" i="1"/>
  <c r="D5164" i="1"/>
  <c r="D5163" i="1"/>
  <c r="D5162" i="1"/>
  <c r="D5161" i="1"/>
  <c r="D5160" i="1"/>
  <c r="D5159" i="1"/>
  <c r="D5158" i="1"/>
  <c r="D5157" i="1"/>
  <c r="D5156" i="1"/>
  <c r="D5155" i="1"/>
  <c r="D5154" i="1"/>
  <c r="D5153" i="1"/>
  <c r="D5152" i="1"/>
  <c r="D5151" i="1"/>
  <c r="D5150" i="1"/>
  <c r="D5149" i="1"/>
  <c r="D5148" i="1"/>
  <c r="D5147" i="1"/>
  <c r="D5146" i="1"/>
  <c r="D5145" i="1"/>
  <c r="D5144" i="1"/>
  <c r="D5143" i="1"/>
  <c r="D5142" i="1"/>
  <c r="D5141" i="1"/>
  <c r="D5140" i="1"/>
  <c r="D5139" i="1"/>
  <c r="D5138" i="1"/>
  <c r="D5137" i="1"/>
  <c r="D5136" i="1"/>
  <c r="D5135" i="1"/>
  <c r="D5134" i="1"/>
  <c r="D5133" i="1"/>
  <c r="D5132" i="1"/>
  <c r="D5131" i="1"/>
  <c r="D5130" i="1"/>
  <c r="D5129" i="1"/>
  <c r="D5128" i="1"/>
  <c r="D5127" i="1"/>
  <c r="D5126" i="1"/>
  <c r="D5125" i="1"/>
  <c r="D5124" i="1"/>
  <c r="D5123" i="1"/>
  <c r="D5122" i="1"/>
  <c r="D5121" i="1"/>
  <c r="D5120" i="1"/>
  <c r="D5119" i="1"/>
  <c r="D5118" i="1"/>
  <c r="D5117" i="1"/>
  <c r="D5115" i="1"/>
  <c r="D5114" i="1"/>
  <c r="D5113" i="1"/>
  <c r="D5112" i="1"/>
  <c r="D5111" i="1"/>
  <c r="D5110" i="1"/>
  <c r="D5109" i="1"/>
  <c r="D5108" i="1"/>
  <c r="D5107" i="1"/>
  <c r="D5106" i="1"/>
  <c r="D5105" i="1"/>
  <c r="D5104" i="1"/>
  <c r="D5103" i="1"/>
  <c r="D5102" i="1"/>
  <c r="D5101" i="1"/>
  <c r="D5100" i="1"/>
  <c r="D5099" i="1"/>
  <c r="D5098" i="1"/>
  <c r="D5097" i="1"/>
  <c r="D5096" i="1"/>
  <c r="D5095" i="1"/>
  <c r="D5094" i="1"/>
  <c r="D5093" i="1"/>
  <c r="D5092" i="1"/>
  <c r="D5091" i="1"/>
  <c r="D5089" i="1"/>
  <c r="D5087" i="1"/>
  <c r="D5086" i="1"/>
  <c r="D5085" i="1"/>
  <c r="D5084" i="1"/>
  <c r="D5083" i="1"/>
  <c r="D5082" i="1"/>
  <c r="D5081" i="1"/>
  <c r="D5080" i="1"/>
  <c r="D5078" i="1"/>
  <c r="D5077" i="1"/>
  <c r="D5076" i="1"/>
  <c r="D5075" i="1"/>
  <c r="D5074" i="1"/>
  <c r="D5073" i="1"/>
  <c r="D5072" i="1"/>
  <c r="D5071" i="1"/>
  <c r="D5070" i="1"/>
  <c r="D5069" i="1"/>
  <c r="D5068" i="1"/>
  <c r="D5067" i="1"/>
  <c r="D5066" i="1"/>
  <c r="D5065" i="1"/>
  <c r="D5064" i="1"/>
  <c r="D5063" i="1"/>
  <c r="D5062" i="1"/>
  <c r="D5061" i="1"/>
  <c r="D5060" i="1"/>
  <c r="D5059" i="1"/>
  <c r="D5058" i="1"/>
  <c r="D5057" i="1"/>
  <c r="D5056" i="1"/>
  <c r="D5055" i="1"/>
  <c r="D5053" i="1"/>
  <c r="D5052" i="1"/>
  <c r="D5051" i="1"/>
  <c r="D5050" i="1"/>
  <c r="D5049" i="1"/>
  <c r="D5048" i="1"/>
  <c r="D5047" i="1"/>
  <c r="D5046" i="1"/>
  <c r="D5045" i="1"/>
  <c r="D5044" i="1"/>
  <c r="D5043" i="1"/>
  <c r="D5042" i="1"/>
  <c r="D5041" i="1"/>
  <c r="D5040" i="1"/>
  <c r="D5039" i="1"/>
  <c r="D5038" i="1"/>
  <c r="D5037" i="1"/>
  <c r="D5036" i="1"/>
  <c r="D5035" i="1"/>
  <c r="D5034" i="1"/>
  <c r="D5033" i="1"/>
  <c r="D5032" i="1"/>
  <c r="D5031" i="1"/>
  <c r="D5030" i="1"/>
  <c r="D5029" i="1"/>
  <c r="D5028" i="1"/>
  <c r="D5027" i="1"/>
  <c r="D5026" i="1"/>
  <c r="D5025" i="1"/>
  <c r="D5024" i="1"/>
  <c r="D5023" i="1"/>
  <c r="D5022" i="1"/>
  <c r="D5021" i="1"/>
  <c r="D5020" i="1"/>
  <c r="D5019" i="1"/>
  <c r="D5018" i="1"/>
  <c r="D5017" i="1"/>
  <c r="D5016" i="1"/>
  <c r="D5015" i="1"/>
  <c r="D5014" i="1"/>
  <c r="D5013" i="1"/>
  <c r="D5012" i="1"/>
  <c r="D5011" i="1"/>
  <c r="D5010" i="1"/>
  <c r="D5009" i="1"/>
  <c r="D5008" i="1"/>
  <c r="D5007" i="1"/>
  <c r="D5006" i="1"/>
  <c r="D5005" i="1"/>
  <c r="D5004" i="1"/>
  <c r="D5003" i="1"/>
  <c r="D5002" i="1"/>
  <c r="D5001" i="1"/>
  <c r="D5000" i="1"/>
  <c r="D4999" i="1"/>
  <c r="D4998" i="1"/>
  <c r="D4997" i="1"/>
  <c r="D4996" i="1"/>
  <c r="D4995" i="1"/>
  <c r="D4994" i="1"/>
  <c r="D4993" i="1"/>
  <c r="D4992" i="1"/>
  <c r="D4991" i="1"/>
  <c r="D4989" i="1"/>
  <c r="D4987" i="1"/>
  <c r="D4985" i="1"/>
  <c r="D4984" i="1"/>
  <c r="D4983" i="1"/>
  <c r="D4982" i="1"/>
  <c r="D4981" i="1"/>
  <c r="D4980" i="1"/>
  <c r="D4979" i="1"/>
  <c r="D4978" i="1"/>
  <c r="D4977" i="1"/>
  <c r="D4976" i="1"/>
  <c r="D4975" i="1"/>
  <c r="D4974" i="1"/>
  <c r="D4973" i="1"/>
  <c r="D4972" i="1"/>
  <c r="D4971" i="1"/>
  <c r="D4970" i="1"/>
  <c r="D4969" i="1"/>
  <c r="D4968" i="1"/>
  <c r="D4967" i="1"/>
  <c r="D4966" i="1"/>
  <c r="D4965" i="1"/>
  <c r="D4964" i="1"/>
  <c r="D4963" i="1"/>
  <c r="D4962" i="1"/>
  <c r="D4961" i="1"/>
  <c r="D4960" i="1"/>
  <c r="D4959" i="1"/>
  <c r="D4958" i="1"/>
  <c r="D4955" i="1"/>
  <c r="D4954" i="1"/>
  <c r="D4951" i="1" l="1"/>
  <c r="D4946" i="1"/>
  <c r="D4945" i="1"/>
  <c r="D4944" i="1"/>
  <c r="D4943" i="1"/>
  <c r="D4942" i="1"/>
  <c r="D4941" i="1"/>
  <c r="D4940" i="1"/>
  <c r="D4939" i="1"/>
  <c r="D4938" i="1"/>
  <c r="D4937" i="1"/>
  <c r="D4936" i="1"/>
  <c r="D4935" i="1"/>
  <c r="D4934" i="1"/>
  <c r="D4933" i="1"/>
  <c r="D4932" i="1"/>
  <c r="D4931" i="1"/>
  <c r="D4930" i="1"/>
  <c r="D4929" i="1"/>
  <c r="D4928" i="1"/>
  <c r="D4926" i="1"/>
  <c r="D4925" i="1"/>
  <c r="D4924" i="1"/>
  <c r="D4923" i="1"/>
  <c r="D4922" i="1"/>
  <c r="D4921" i="1"/>
  <c r="D4920" i="1"/>
  <c r="D4919" i="1"/>
  <c r="D4918" i="1"/>
  <c r="D4917" i="1"/>
  <c r="D4916" i="1"/>
  <c r="D4915" i="1"/>
  <c r="D4914" i="1"/>
  <c r="D4913" i="1"/>
  <c r="D4912" i="1"/>
  <c r="D4911" i="1"/>
  <c r="D4910" i="1"/>
  <c r="D4909" i="1"/>
  <c r="D4908" i="1"/>
  <c r="D4907" i="1"/>
  <c r="D4906" i="1"/>
  <c r="D4905" i="1"/>
  <c r="D4904" i="1"/>
  <c r="D4903" i="1"/>
  <c r="D4902" i="1"/>
  <c r="D4901" i="1"/>
  <c r="D4900" i="1"/>
  <c r="D4899" i="1"/>
  <c r="D4898" i="1"/>
  <c r="D4897" i="1"/>
  <c r="D4896" i="1"/>
  <c r="D4895" i="1"/>
  <c r="D4894" i="1"/>
  <c r="D4893" i="1"/>
  <c r="D4892" i="1"/>
  <c r="D4891" i="1"/>
  <c r="D4890" i="1"/>
  <c r="D4889" i="1"/>
  <c r="D4888" i="1"/>
  <c r="D4887" i="1"/>
  <c r="D4886" i="1"/>
  <c r="D4885" i="1"/>
  <c r="D4884" i="1"/>
  <c r="D4883" i="1"/>
  <c r="D4882" i="1"/>
  <c r="D4881" i="1"/>
  <c r="D4880" i="1"/>
  <c r="D4879" i="1"/>
  <c r="D4878" i="1"/>
  <c r="D4877" i="1"/>
  <c r="D4876" i="1"/>
  <c r="D4875" i="1"/>
  <c r="D4874" i="1"/>
  <c r="D4873" i="1"/>
  <c r="D4872" i="1"/>
  <c r="D4871" i="1"/>
  <c r="D4870" i="1"/>
  <c r="D4869" i="1"/>
  <c r="D4868" i="1"/>
  <c r="D4867" i="1"/>
  <c r="D4866" i="1"/>
  <c r="D4865" i="1"/>
  <c r="D4864" i="1"/>
  <c r="D4863" i="1"/>
  <c r="D4862" i="1"/>
  <c r="D4861" i="1"/>
  <c r="D4860" i="1"/>
  <c r="D4859" i="1"/>
  <c r="D4858" i="1"/>
  <c r="D4857" i="1"/>
  <c r="D4856" i="1"/>
  <c r="D4855" i="1"/>
  <c r="D4854" i="1"/>
  <c r="D4853" i="1"/>
  <c r="D4852" i="1"/>
  <c r="D4851" i="1"/>
  <c r="D4850" i="1"/>
  <c r="D4849" i="1"/>
  <c r="D4848" i="1"/>
  <c r="D4847" i="1"/>
  <c r="D4846" i="1"/>
  <c r="D4845" i="1"/>
  <c r="D4844" i="1"/>
  <c r="D4843" i="1"/>
  <c r="D4842" i="1"/>
  <c r="D4841" i="1"/>
  <c r="D4840" i="1"/>
  <c r="D4839" i="1"/>
  <c r="D4838" i="1"/>
  <c r="D4837" i="1"/>
  <c r="D4836" i="1"/>
  <c r="D4835" i="1"/>
  <c r="D4834" i="1"/>
  <c r="D4833" i="1"/>
  <c r="D4832" i="1"/>
  <c r="D4831" i="1"/>
  <c r="D4830" i="1"/>
  <c r="D4829" i="1"/>
  <c r="D4828" i="1"/>
  <c r="D4827" i="1"/>
  <c r="D4826" i="1"/>
  <c r="D4825" i="1"/>
  <c r="D4824" i="1"/>
  <c r="D4823" i="1"/>
  <c r="D4822" i="1"/>
  <c r="D4821" i="1"/>
  <c r="D4820" i="1"/>
  <c r="D4819" i="1"/>
  <c r="D4818" i="1"/>
  <c r="D4817" i="1"/>
  <c r="D4816" i="1"/>
  <c r="D4815" i="1"/>
  <c r="D4814" i="1"/>
  <c r="D4813" i="1"/>
  <c r="D4812" i="1"/>
  <c r="D4811" i="1"/>
  <c r="D4810" i="1"/>
  <c r="D4809" i="1"/>
  <c r="D4808" i="1"/>
  <c r="D4807" i="1"/>
  <c r="D4806" i="1"/>
  <c r="D4805" i="1"/>
  <c r="D4804" i="1"/>
  <c r="D4803" i="1"/>
  <c r="D4802" i="1"/>
  <c r="D4801" i="1"/>
  <c r="D4800" i="1"/>
  <c r="D4799" i="1"/>
  <c r="D4798" i="1"/>
  <c r="D4797" i="1"/>
  <c r="D4796" i="1"/>
  <c r="D4795" i="1"/>
  <c r="D4794" i="1"/>
  <c r="D4793" i="1"/>
  <c r="D4792" i="1"/>
  <c r="D4791" i="1"/>
  <c r="D4790" i="1"/>
  <c r="D4789" i="1"/>
  <c r="D4788" i="1"/>
  <c r="D4787" i="1"/>
  <c r="D4786" i="1"/>
  <c r="D4785" i="1"/>
  <c r="D4784" i="1"/>
  <c r="D4783" i="1"/>
  <c r="D4782" i="1"/>
  <c r="D4781" i="1"/>
  <c r="D4780" i="1"/>
  <c r="D4779" i="1"/>
  <c r="D4778" i="1"/>
  <c r="D4777" i="1"/>
  <c r="D4776" i="1"/>
  <c r="D4775" i="1"/>
  <c r="D4774" i="1"/>
  <c r="D4773" i="1"/>
  <c r="D4772" i="1"/>
  <c r="D4771" i="1"/>
  <c r="D4770" i="1"/>
  <c r="D4769" i="1"/>
  <c r="D4768" i="1"/>
  <c r="D4767" i="1"/>
  <c r="D4766" i="1"/>
  <c r="D4765" i="1"/>
  <c r="D4764" i="1"/>
  <c r="D4763" i="1"/>
  <c r="D4762" i="1"/>
  <c r="D4761" i="1"/>
  <c r="D4760" i="1"/>
  <c r="D4759" i="1"/>
  <c r="D4758" i="1"/>
  <c r="D4757" i="1"/>
  <c r="D4756" i="1"/>
  <c r="D4755" i="1"/>
  <c r="D4754" i="1"/>
  <c r="D4753" i="1"/>
  <c r="D4752" i="1"/>
  <c r="D4751" i="1"/>
  <c r="D4750" i="1"/>
  <c r="D4749" i="1"/>
  <c r="D4748" i="1"/>
  <c r="D4747" i="1"/>
  <c r="D4746" i="1"/>
  <c r="D4745" i="1"/>
  <c r="D4744" i="1"/>
  <c r="D4743" i="1"/>
  <c r="D4742" i="1"/>
  <c r="D4741" i="1"/>
  <c r="D4740" i="1"/>
  <c r="D4739" i="1"/>
  <c r="D4738" i="1"/>
  <c r="D4737" i="1"/>
  <c r="D4736" i="1"/>
  <c r="D4735" i="1"/>
  <c r="D4734" i="1"/>
  <c r="D4733" i="1"/>
  <c r="D4732" i="1"/>
  <c r="D4731" i="1"/>
  <c r="D4730" i="1"/>
  <c r="D4729" i="1"/>
  <c r="D4728" i="1"/>
  <c r="D4727" i="1"/>
  <c r="D4726" i="1"/>
  <c r="D4725" i="1"/>
  <c r="D4724" i="1"/>
  <c r="D4723" i="1"/>
  <c r="D4721" i="1"/>
  <c r="D4720" i="1"/>
  <c r="D4719" i="1"/>
  <c r="D4718" i="1"/>
  <c r="D4717" i="1"/>
  <c r="D4716" i="1"/>
  <c r="D4715" i="1"/>
  <c r="D4714" i="1"/>
  <c r="D4713" i="1"/>
  <c r="D4712" i="1"/>
  <c r="D4711" i="1"/>
  <c r="D4710" i="1"/>
  <c r="D4709" i="1"/>
  <c r="D4707" i="1"/>
  <c r="D4706" i="1"/>
  <c r="D4704" i="1"/>
  <c r="D4703" i="1"/>
  <c r="D4702" i="1"/>
  <c r="D4701" i="1"/>
  <c r="D4700" i="1"/>
  <c r="D4698" i="1"/>
  <c r="D4697" i="1"/>
  <c r="D4696" i="1"/>
  <c r="D4695" i="1"/>
  <c r="D4694" i="1"/>
  <c r="D4693" i="1"/>
  <c r="D4692" i="1"/>
  <c r="D4691" i="1"/>
  <c r="D4690" i="1"/>
  <c r="D4689" i="1"/>
  <c r="D4688" i="1"/>
  <c r="D4687" i="1"/>
  <c r="D4686" i="1"/>
  <c r="D4685" i="1"/>
  <c r="D4684" i="1"/>
  <c r="D4683" i="1"/>
  <c r="D4682" i="1"/>
  <c r="D4681" i="1"/>
  <c r="D4680" i="1"/>
  <c r="D4679" i="1"/>
  <c r="D4678" i="1"/>
  <c r="D4677" i="1"/>
  <c r="D4676" i="1"/>
  <c r="D4675" i="1"/>
  <c r="D4674" i="1"/>
  <c r="D4673" i="1"/>
  <c r="D4672" i="1"/>
  <c r="D4671" i="1"/>
  <c r="D4670" i="1"/>
  <c r="D4669" i="1"/>
  <c r="D4668" i="1"/>
  <c r="D4667" i="1"/>
  <c r="D4666" i="1"/>
  <c r="D4665" i="1"/>
  <c r="D4664" i="1"/>
  <c r="D4663" i="1"/>
  <c r="D4662" i="1"/>
  <c r="D4661" i="1"/>
  <c r="D4660" i="1"/>
  <c r="D4659" i="1"/>
  <c r="D4658" i="1"/>
  <c r="D4657" i="1"/>
  <c r="D4656" i="1"/>
  <c r="D4655" i="1"/>
  <c r="D4654" i="1"/>
  <c r="D4653" i="1"/>
  <c r="D4652" i="1"/>
  <c r="D4651" i="1"/>
  <c r="D4650" i="1"/>
  <c r="D4649" i="1"/>
  <c r="D4648" i="1"/>
  <c r="D4647" i="1"/>
  <c r="D4646" i="1"/>
  <c r="D4645" i="1"/>
  <c r="D4644" i="1"/>
  <c r="D4643" i="1"/>
  <c r="D4642" i="1"/>
  <c r="D4641" i="1"/>
  <c r="D4640" i="1"/>
  <c r="D4639" i="1"/>
  <c r="D4638" i="1"/>
  <c r="D4637" i="1"/>
  <c r="D4636" i="1"/>
  <c r="D4635" i="1"/>
  <c r="D4634" i="1"/>
  <c r="D4633" i="1"/>
  <c r="D4632" i="1"/>
  <c r="D4631" i="1"/>
  <c r="D4630" i="1"/>
  <c r="D4629" i="1"/>
  <c r="D4628" i="1"/>
  <c r="D4627" i="1"/>
  <c r="D4626" i="1"/>
  <c r="D4625" i="1"/>
  <c r="D4624" i="1"/>
  <c r="D4623" i="1"/>
  <c r="D4622" i="1"/>
  <c r="D4621" i="1"/>
  <c r="D4620" i="1"/>
  <c r="D4619" i="1"/>
  <c r="D4618" i="1"/>
  <c r="D4617" i="1"/>
  <c r="D4616" i="1"/>
  <c r="D4615" i="1"/>
  <c r="D4614" i="1"/>
  <c r="D4613" i="1"/>
  <c r="D4612" i="1"/>
  <c r="D4611" i="1"/>
  <c r="D4609" i="1"/>
  <c r="D4608" i="1"/>
  <c r="D4607" i="1"/>
  <c r="D4606" i="1"/>
  <c r="D4604" i="1"/>
  <c r="D4603" i="1"/>
  <c r="D4602" i="1"/>
  <c r="D4601" i="1"/>
  <c r="D4600" i="1"/>
  <c r="D4599" i="1"/>
  <c r="D4598" i="1"/>
  <c r="D4597" i="1"/>
  <c r="D4596" i="1"/>
  <c r="D4595" i="1"/>
  <c r="D4594" i="1"/>
  <c r="D4593" i="1"/>
  <c r="D4592" i="1"/>
  <c r="D4591" i="1"/>
  <c r="D4590" i="1"/>
  <c r="D4589" i="1"/>
  <c r="D4588" i="1"/>
  <c r="D4587" i="1"/>
  <c r="D4586" i="1"/>
  <c r="D4585" i="1"/>
  <c r="D4584" i="1"/>
  <c r="D4583" i="1"/>
  <c r="D4582" i="1"/>
  <c r="D4581" i="1"/>
  <c r="D4580" i="1"/>
  <c r="D4579" i="1"/>
  <c r="D4578" i="1"/>
  <c r="D4577" i="1"/>
  <c r="D4576" i="1"/>
  <c r="D4575" i="1"/>
  <c r="D4574" i="1"/>
  <c r="D4571" i="1" l="1"/>
  <c r="D4570" i="1"/>
  <c r="D4569" i="1"/>
  <c r="D4568" i="1"/>
  <c r="D4566" i="1"/>
  <c r="D4565" i="1"/>
  <c r="D4564" i="1"/>
  <c r="D4563" i="1"/>
  <c r="D4562" i="1"/>
  <c r="D4561" i="1"/>
  <c r="D4560" i="1"/>
  <c r="D4559" i="1"/>
  <c r="D4558" i="1"/>
  <c r="D4557" i="1"/>
  <c r="D4556" i="1"/>
  <c r="D4555" i="1"/>
  <c r="D4553" i="1"/>
  <c r="D4552" i="1"/>
  <c r="D4551" i="1"/>
  <c r="D4550" i="1"/>
  <c r="D4549" i="1"/>
  <c r="D4548" i="1"/>
  <c r="D4547" i="1"/>
  <c r="D4546" i="1"/>
  <c r="D4545" i="1"/>
  <c r="D4544" i="1"/>
  <c r="D4543" i="1"/>
  <c r="D4542" i="1"/>
  <c r="D4541" i="1"/>
  <c r="D4540" i="1"/>
  <c r="D4539" i="1"/>
  <c r="D4538" i="1"/>
  <c r="D4537" i="1"/>
  <c r="D4536" i="1"/>
  <c r="D4535" i="1"/>
  <c r="D4534" i="1"/>
  <c r="D4533" i="1"/>
  <c r="D4532" i="1"/>
  <c r="D4531" i="1"/>
  <c r="D4530" i="1"/>
  <c r="D4529" i="1"/>
  <c r="D4528" i="1"/>
  <c r="D4527" i="1"/>
  <c r="D4526" i="1"/>
  <c r="D4525" i="1"/>
  <c r="D4524" i="1"/>
  <c r="D4523" i="1"/>
  <c r="D4522" i="1"/>
  <c r="D4521" i="1"/>
  <c r="D4520" i="1"/>
  <c r="D4519" i="1"/>
  <c r="D4518" i="1"/>
  <c r="D4517" i="1"/>
  <c r="D4516" i="1"/>
  <c r="D4515" i="1"/>
  <c r="D4514" i="1"/>
  <c r="D4513" i="1"/>
  <c r="D4512" i="1"/>
  <c r="D4511" i="1"/>
  <c r="D4510" i="1"/>
  <c r="D4509" i="1"/>
  <c r="D4508" i="1"/>
  <c r="D4507" i="1"/>
  <c r="D4506" i="1"/>
  <c r="D4505" i="1"/>
  <c r="D4504" i="1"/>
  <c r="D4503" i="1"/>
  <c r="D4502" i="1"/>
  <c r="D4501" i="1"/>
  <c r="D4500" i="1"/>
  <c r="D4499" i="1"/>
  <c r="D4498" i="1"/>
  <c r="D4497" i="1"/>
  <c r="D4496" i="1"/>
  <c r="D4495" i="1"/>
  <c r="D4494" i="1"/>
  <c r="D4493" i="1"/>
  <c r="D4492" i="1"/>
  <c r="D4491" i="1"/>
  <c r="D4490" i="1"/>
  <c r="D4489" i="1"/>
  <c r="D4488" i="1"/>
  <c r="D4487" i="1"/>
  <c r="D4486" i="1"/>
  <c r="D4485" i="1"/>
  <c r="D4484" i="1"/>
  <c r="D4483" i="1"/>
  <c r="D4482" i="1"/>
  <c r="D4481" i="1"/>
  <c r="D4480" i="1"/>
  <c r="D4479" i="1"/>
  <c r="D4478" i="1"/>
  <c r="D4477" i="1"/>
  <c r="D4476" i="1"/>
  <c r="D4475" i="1"/>
  <c r="D4474" i="1"/>
  <c r="D4473" i="1"/>
  <c r="D4472" i="1"/>
  <c r="D4471" i="1"/>
  <c r="D4470" i="1"/>
  <c r="D4469" i="1"/>
  <c r="D4468" i="1"/>
  <c r="D4467" i="1"/>
  <c r="D4466" i="1"/>
  <c r="D4465" i="1"/>
  <c r="D4464" i="1"/>
  <c r="D4463" i="1"/>
  <c r="D4462" i="1"/>
  <c r="D4461" i="1"/>
  <c r="D4460" i="1"/>
  <c r="D4459" i="1"/>
  <c r="D4458" i="1"/>
  <c r="D4457" i="1"/>
  <c r="D4456" i="1"/>
  <c r="D4455" i="1"/>
  <c r="D4454" i="1"/>
  <c r="D4453" i="1"/>
  <c r="D4452" i="1"/>
  <c r="D4451" i="1"/>
  <c r="D4450" i="1"/>
  <c r="D4449" i="1"/>
  <c r="D4447" i="1"/>
  <c r="D4446" i="1"/>
  <c r="D4445" i="1"/>
  <c r="D4444" i="1"/>
  <c r="D4443" i="1"/>
  <c r="D4442" i="1"/>
  <c r="D4441" i="1"/>
  <c r="D4440" i="1"/>
  <c r="D4439" i="1"/>
  <c r="D4438" i="1"/>
  <c r="D4437" i="1"/>
  <c r="D4436" i="1"/>
  <c r="D4435" i="1"/>
  <c r="D4434" i="1"/>
  <c r="D4433" i="1"/>
  <c r="D4432" i="1"/>
  <c r="D4431" i="1"/>
  <c r="D4430" i="1"/>
  <c r="D4429" i="1"/>
  <c r="D4428" i="1"/>
  <c r="D4427" i="1"/>
  <c r="D4426" i="1"/>
  <c r="D4425" i="1"/>
  <c r="D4424" i="1"/>
  <c r="D4423" i="1"/>
  <c r="D4422" i="1"/>
  <c r="D4421" i="1"/>
  <c r="D4420" i="1"/>
  <c r="D4419" i="1"/>
  <c r="D4418" i="1"/>
  <c r="D4417" i="1"/>
  <c r="D4416" i="1"/>
  <c r="D4415" i="1"/>
  <c r="D4414" i="1"/>
  <c r="D4413" i="1"/>
  <c r="D4412" i="1"/>
  <c r="D4411" i="1"/>
  <c r="D4410" i="1"/>
  <c r="D4409" i="1"/>
  <c r="D4408" i="1"/>
  <c r="D4407" i="1"/>
  <c r="D4406" i="1"/>
  <c r="D4405" i="1"/>
  <c r="D4404" i="1"/>
  <c r="D4403" i="1"/>
  <c r="D4402" i="1"/>
  <c r="D4401" i="1"/>
  <c r="D4400" i="1"/>
  <c r="D4399" i="1"/>
  <c r="D4398" i="1"/>
  <c r="D4397" i="1"/>
  <c r="D4396" i="1"/>
  <c r="D4395" i="1"/>
  <c r="D4394" i="1"/>
  <c r="D4393" i="1"/>
  <c r="D4392" i="1"/>
  <c r="D4391" i="1"/>
  <c r="D4390" i="1"/>
  <c r="D4389" i="1"/>
  <c r="D4388" i="1"/>
  <c r="D4387" i="1"/>
  <c r="D4386" i="1"/>
  <c r="D4385" i="1"/>
  <c r="D4384" i="1"/>
  <c r="D4383" i="1"/>
  <c r="D4382" i="1"/>
  <c r="D4381" i="1"/>
  <c r="D4380" i="1"/>
  <c r="D4379" i="1"/>
  <c r="D4378" i="1"/>
  <c r="D4377" i="1"/>
  <c r="D4376" i="1"/>
  <c r="D4375" i="1"/>
  <c r="D4374" i="1"/>
  <c r="D4373" i="1"/>
  <c r="D4372" i="1"/>
  <c r="D4371" i="1"/>
  <c r="D4370" i="1"/>
  <c r="D4368" i="1"/>
  <c r="D4367" i="1"/>
  <c r="D4366" i="1"/>
  <c r="D4365" i="1"/>
  <c r="D4364" i="1"/>
  <c r="D4363" i="1"/>
  <c r="D4362" i="1"/>
  <c r="D4361" i="1"/>
  <c r="D4360" i="1"/>
  <c r="D4359" i="1"/>
  <c r="D4358" i="1"/>
  <c r="D4357" i="1"/>
  <c r="D4356" i="1"/>
  <c r="D4355" i="1"/>
  <c r="D4354" i="1"/>
  <c r="D4353" i="1"/>
  <c r="D4352" i="1"/>
  <c r="D4350" i="1"/>
  <c r="D4349" i="1"/>
  <c r="D4348" i="1"/>
  <c r="D4347" i="1"/>
  <c r="D4345" i="1"/>
  <c r="D4344" i="1"/>
  <c r="D4343" i="1"/>
  <c r="D4342" i="1"/>
  <c r="D4341" i="1"/>
  <c r="D4340" i="1"/>
  <c r="D4339" i="1"/>
  <c r="D4338" i="1"/>
  <c r="D4337" i="1"/>
  <c r="D4336" i="1"/>
  <c r="D4335" i="1"/>
  <c r="D4333" i="1"/>
  <c r="D4332" i="1"/>
  <c r="D4331" i="1"/>
  <c r="D4330" i="1"/>
  <c r="D4329" i="1"/>
  <c r="D4328" i="1"/>
  <c r="D4327" i="1"/>
  <c r="D4325" i="1"/>
  <c r="D4324" i="1"/>
  <c r="D4323" i="1"/>
  <c r="D4322" i="1"/>
  <c r="D4321" i="1"/>
  <c r="D4320" i="1"/>
  <c r="D4319" i="1"/>
  <c r="D4318" i="1"/>
  <c r="D4317" i="1"/>
  <c r="D4316" i="1"/>
  <c r="D4315" i="1"/>
  <c r="D4314" i="1"/>
  <c r="D4313" i="1"/>
  <c r="D4312" i="1"/>
  <c r="D4311" i="1"/>
  <c r="D4310" i="1"/>
  <c r="D4309" i="1"/>
  <c r="D4308" i="1"/>
  <c r="D4307" i="1"/>
  <c r="D4306" i="1"/>
  <c r="D4305" i="1"/>
  <c r="D4304" i="1"/>
  <c r="D4303" i="1"/>
  <c r="D4302" i="1"/>
  <c r="D4301" i="1"/>
  <c r="D4300" i="1"/>
  <c r="D4299" i="1"/>
  <c r="D4298" i="1"/>
  <c r="D4297" i="1"/>
  <c r="D4296" i="1"/>
  <c r="D4295" i="1"/>
  <c r="D4294" i="1"/>
  <c r="D4293" i="1"/>
  <c r="D4292" i="1"/>
  <c r="D4291" i="1"/>
  <c r="D4290" i="1"/>
  <c r="D4289" i="1"/>
  <c r="D4288" i="1"/>
  <c r="D4287" i="1"/>
  <c r="D4286" i="1"/>
  <c r="D4285" i="1"/>
  <c r="D4284" i="1"/>
  <c r="D4283" i="1"/>
  <c r="D4282" i="1"/>
  <c r="D4281" i="1"/>
  <c r="D4280" i="1"/>
  <c r="D4279" i="1"/>
  <c r="D4278" i="1"/>
  <c r="D4277" i="1"/>
  <c r="D4276" i="1"/>
  <c r="D4275" i="1"/>
  <c r="D4274" i="1"/>
  <c r="D4273" i="1"/>
  <c r="D4272" i="1"/>
  <c r="D4271" i="1"/>
  <c r="D4270" i="1"/>
  <c r="D4269" i="1"/>
  <c r="D4268" i="1"/>
  <c r="D4267" i="1"/>
  <c r="D4266" i="1"/>
  <c r="D4265" i="1"/>
  <c r="D4264" i="1"/>
  <c r="D4263" i="1"/>
  <c r="D4262" i="1"/>
  <c r="D4261" i="1"/>
  <c r="D4260" i="1"/>
  <c r="D4259" i="1"/>
  <c r="D4258" i="1"/>
  <c r="D4257" i="1"/>
  <c r="D4256" i="1"/>
  <c r="D4255" i="1"/>
  <c r="D4254" i="1"/>
  <c r="D4253" i="1"/>
  <c r="D4252" i="1"/>
  <c r="D4251" i="1"/>
  <c r="D4250" i="1"/>
  <c r="D4249" i="1"/>
  <c r="D4248" i="1"/>
  <c r="D4247" i="1"/>
  <c r="D4246" i="1"/>
  <c r="D4245" i="1"/>
  <c r="D4244" i="1"/>
  <c r="D4243" i="1"/>
  <c r="D4242" i="1"/>
  <c r="D4241" i="1"/>
  <c r="D4240" i="1"/>
  <c r="D4239" i="1"/>
  <c r="D4237" i="1"/>
  <c r="D4235" i="1"/>
  <c r="D4234" i="1"/>
  <c r="D4232" i="1"/>
  <c r="D4231" i="1"/>
  <c r="D4229" i="1"/>
  <c r="D4227" i="1"/>
  <c r="D4226" i="1"/>
  <c r="D4225" i="1"/>
  <c r="D4224" i="1"/>
  <c r="D4223" i="1"/>
  <c r="D4222" i="1"/>
  <c r="D4221" i="1"/>
  <c r="D4220" i="1"/>
  <c r="D4219" i="1"/>
  <c r="D4218" i="1"/>
  <c r="D4217" i="1"/>
  <c r="D4216" i="1"/>
  <c r="D4215" i="1"/>
  <c r="D4214" i="1"/>
  <c r="D4213" i="1"/>
  <c r="D4212" i="1"/>
  <c r="D4211" i="1"/>
  <c r="D4210" i="1"/>
  <c r="D4209" i="1"/>
  <c r="D4208" i="1"/>
  <c r="D4207" i="1"/>
  <c r="D4205" i="1"/>
  <c r="D4204" i="1"/>
  <c r="D4203" i="1"/>
  <c r="D4202" i="1"/>
  <c r="D4201" i="1"/>
  <c r="D4200" i="1"/>
  <c r="D4199" i="1"/>
  <c r="D4198" i="1"/>
  <c r="D4197" i="1"/>
  <c r="D4194" i="1"/>
  <c r="D4190" i="1"/>
  <c r="D4189" i="1"/>
  <c r="D4187" i="1" l="1"/>
  <c r="D4184" i="1"/>
  <c r="D4183" i="1"/>
  <c r="D4182" i="1"/>
  <c r="D4181" i="1"/>
  <c r="D4180" i="1"/>
  <c r="D4179" i="1"/>
  <c r="D4178" i="1"/>
  <c r="D4177" i="1"/>
  <c r="D4176" i="1"/>
  <c r="D4175" i="1"/>
  <c r="D4174" i="1"/>
  <c r="D4173" i="1"/>
  <c r="D4172" i="1"/>
  <c r="D4171" i="1"/>
  <c r="D4170" i="1"/>
  <c r="D4169" i="1"/>
  <c r="D4168" i="1"/>
  <c r="D4167" i="1"/>
  <c r="D4166" i="1"/>
  <c r="D4165" i="1"/>
  <c r="D4164" i="1"/>
  <c r="D4163" i="1"/>
  <c r="D4162" i="1"/>
  <c r="D4161" i="1"/>
  <c r="D4160" i="1"/>
  <c r="D4159" i="1"/>
  <c r="D4158" i="1"/>
  <c r="D4157" i="1"/>
  <c r="D4156" i="1"/>
  <c r="D4155" i="1"/>
  <c r="D4154" i="1"/>
  <c r="D4153" i="1"/>
  <c r="D4152" i="1"/>
  <c r="D4151" i="1"/>
  <c r="D4150" i="1"/>
  <c r="D4149" i="1"/>
  <c r="D4148" i="1"/>
  <c r="D4147" i="1"/>
  <c r="D4146" i="1"/>
  <c r="D4145" i="1"/>
  <c r="D4144" i="1"/>
  <c r="D4143" i="1"/>
  <c r="D4142" i="1"/>
  <c r="D4141" i="1"/>
  <c r="D4140" i="1"/>
  <c r="D4139" i="1"/>
  <c r="D4138" i="1"/>
  <c r="D4137" i="1"/>
  <c r="D4136" i="1"/>
  <c r="D4135" i="1"/>
  <c r="D4134" i="1"/>
  <c r="D4133" i="1"/>
  <c r="D4132" i="1"/>
  <c r="D4131" i="1"/>
  <c r="D4130" i="1"/>
  <c r="D4129" i="1"/>
  <c r="D4128" i="1"/>
  <c r="D4127" i="1"/>
  <c r="D4126" i="1"/>
  <c r="D4125" i="1"/>
  <c r="D4124" i="1"/>
  <c r="D4123" i="1"/>
  <c r="D4122" i="1"/>
  <c r="D4121" i="1"/>
  <c r="D4120" i="1"/>
  <c r="D4119" i="1"/>
  <c r="D4118" i="1"/>
  <c r="D4117" i="1"/>
  <c r="D4116" i="1"/>
  <c r="D4115" i="1"/>
  <c r="D4114" i="1"/>
  <c r="D4113" i="1"/>
  <c r="D4112" i="1"/>
  <c r="D4111" i="1"/>
  <c r="D4110" i="1"/>
  <c r="D4109" i="1"/>
  <c r="D4108" i="1"/>
  <c r="D4107" i="1"/>
  <c r="D4106" i="1"/>
  <c r="D4105" i="1"/>
  <c r="D4104" i="1"/>
  <c r="D4103" i="1"/>
  <c r="D4102" i="1"/>
  <c r="D4101" i="1"/>
  <c r="D4100" i="1"/>
  <c r="D4099" i="1"/>
  <c r="D4098" i="1"/>
  <c r="D4097" i="1"/>
  <c r="D4096" i="1"/>
  <c r="D4095" i="1"/>
  <c r="D4094" i="1"/>
  <c r="D4093" i="1"/>
  <c r="D4092" i="1"/>
  <c r="D4091" i="1"/>
  <c r="D4090" i="1"/>
  <c r="D4089" i="1"/>
  <c r="D4088" i="1"/>
  <c r="D4087" i="1"/>
  <c r="D4086" i="1"/>
  <c r="D4085" i="1"/>
  <c r="D4084" i="1"/>
  <c r="D4083" i="1"/>
  <c r="D4082" i="1"/>
  <c r="D4081" i="1"/>
  <c r="D4080" i="1"/>
  <c r="D4079" i="1"/>
  <c r="D4078" i="1"/>
  <c r="D4077" i="1"/>
  <c r="D4076" i="1"/>
  <c r="D4075" i="1"/>
  <c r="D4074" i="1"/>
  <c r="D4073" i="1"/>
  <c r="D4072" i="1"/>
  <c r="D4071" i="1"/>
  <c r="D4070" i="1"/>
  <c r="D4069" i="1"/>
  <c r="D4068" i="1"/>
  <c r="D4067" i="1"/>
  <c r="D4066" i="1"/>
  <c r="D4065" i="1"/>
  <c r="D4064" i="1"/>
  <c r="D4063" i="1"/>
  <c r="D4062" i="1"/>
  <c r="D4061" i="1"/>
  <c r="D4060" i="1"/>
  <c r="D4059" i="1"/>
  <c r="D4058" i="1"/>
  <c r="D4057" i="1"/>
  <c r="D4056" i="1"/>
  <c r="D4055" i="1"/>
  <c r="D4054" i="1"/>
  <c r="D4053" i="1"/>
  <c r="D4052" i="1"/>
  <c r="D4051" i="1"/>
  <c r="D4050" i="1"/>
  <c r="D4049" i="1"/>
  <c r="D4048" i="1"/>
  <c r="D4047" i="1"/>
  <c r="D4046" i="1"/>
  <c r="D4045" i="1"/>
  <c r="D4044" i="1"/>
  <c r="D4043" i="1"/>
  <c r="D4042" i="1"/>
  <c r="D4041" i="1"/>
  <c r="D4040" i="1"/>
  <c r="D4039" i="1"/>
  <c r="D4038" i="1"/>
  <c r="D4037" i="1"/>
  <c r="D4036" i="1"/>
  <c r="D4035" i="1"/>
  <c r="D4034" i="1"/>
  <c r="D4033" i="1"/>
  <c r="D4032" i="1"/>
  <c r="D4031" i="1"/>
  <c r="D4030" i="1"/>
  <c r="D4029" i="1"/>
  <c r="D4028" i="1"/>
  <c r="D4027" i="1"/>
  <c r="D4026" i="1"/>
  <c r="D4025" i="1"/>
  <c r="D4024" i="1"/>
  <c r="D4023" i="1"/>
  <c r="D4022" i="1"/>
  <c r="D4021" i="1"/>
  <c r="D4020" i="1"/>
  <c r="D4019" i="1"/>
  <c r="D4018" i="1"/>
  <c r="D4017" i="1"/>
  <c r="D4016" i="1"/>
  <c r="D4015" i="1"/>
  <c r="D4014" i="1"/>
  <c r="D4013" i="1"/>
  <c r="D4012" i="1"/>
  <c r="D4011" i="1"/>
  <c r="D4010" i="1"/>
  <c r="D4009" i="1"/>
  <c r="D4008" i="1"/>
  <c r="D4007" i="1"/>
  <c r="D4006" i="1"/>
  <c r="D4005" i="1"/>
  <c r="D4004" i="1"/>
  <c r="D4003" i="1"/>
  <c r="D4002" i="1"/>
  <c r="D4001" i="1"/>
  <c r="D4000" i="1"/>
  <c r="D3999" i="1"/>
  <c r="D3998" i="1"/>
  <c r="D3997" i="1"/>
  <c r="D3996" i="1"/>
  <c r="D3995" i="1"/>
  <c r="D3994" i="1"/>
  <c r="D3993" i="1"/>
  <c r="D3992" i="1"/>
  <c r="D3991" i="1"/>
  <c r="D3990" i="1"/>
  <c r="D3989" i="1"/>
  <c r="D3988" i="1"/>
  <c r="D3987" i="1"/>
  <c r="D3986" i="1"/>
  <c r="D3985" i="1"/>
  <c r="D3984" i="1"/>
  <c r="D3983" i="1"/>
  <c r="D3982" i="1"/>
  <c r="D3981" i="1"/>
  <c r="D3980" i="1"/>
  <c r="D3979" i="1"/>
  <c r="D3978" i="1"/>
  <c r="D3977" i="1"/>
  <c r="D3976" i="1"/>
  <c r="D3975" i="1"/>
  <c r="D3974" i="1"/>
  <c r="D3973" i="1"/>
  <c r="D3972" i="1"/>
  <c r="D3971" i="1"/>
  <c r="D3969" i="1"/>
  <c r="D3968" i="1"/>
  <c r="D3967" i="1"/>
  <c r="D3965" i="1"/>
  <c r="D3963" i="1"/>
  <c r="D3962" i="1"/>
  <c r="D3961" i="1"/>
  <c r="D3960" i="1"/>
  <c r="D3959" i="1"/>
  <c r="D3958" i="1"/>
  <c r="D3957" i="1"/>
  <c r="D3956" i="1"/>
  <c r="D3955" i="1"/>
  <c r="D3954" i="1"/>
  <c r="D3953" i="1"/>
  <c r="D3952" i="1"/>
  <c r="D3951" i="1"/>
  <c r="D3950" i="1"/>
  <c r="D3949" i="1"/>
  <c r="D3948" i="1"/>
  <c r="D3947" i="1"/>
  <c r="D3946" i="1"/>
  <c r="D3945" i="1"/>
  <c r="D3944" i="1"/>
  <c r="D3943" i="1"/>
  <c r="D3942" i="1"/>
  <c r="D3941" i="1"/>
  <c r="D3940" i="1"/>
  <c r="D3939" i="1"/>
  <c r="D3938" i="1"/>
  <c r="D3937" i="1"/>
  <c r="D3936" i="1"/>
  <c r="D3935" i="1"/>
  <c r="D3934" i="1"/>
  <c r="D3933" i="1"/>
  <c r="D3932" i="1"/>
  <c r="D3931" i="1"/>
  <c r="D3930" i="1"/>
  <c r="D3929" i="1"/>
  <c r="D3928" i="1"/>
  <c r="D3927" i="1"/>
  <c r="D3926" i="1"/>
  <c r="D3925" i="1"/>
  <c r="D3924" i="1"/>
  <c r="D3923" i="1"/>
  <c r="D3922" i="1"/>
  <c r="D3921" i="1"/>
  <c r="D3920" i="1"/>
  <c r="D3919" i="1"/>
  <c r="D3918" i="1"/>
  <c r="D3917" i="1"/>
  <c r="D3916" i="1"/>
  <c r="D3915" i="1"/>
  <c r="D3914" i="1"/>
  <c r="D3913" i="1"/>
  <c r="D3912" i="1"/>
  <c r="D3911" i="1"/>
  <c r="D3910" i="1"/>
  <c r="D3909" i="1"/>
  <c r="D3908" i="1"/>
  <c r="D3907" i="1"/>
  <c r="D3906" i="1"/>
  <c r="D3905" i="1"/>
  <c r="D3904" i="1"/>
  <c r="D3903" i="1"/>
  <c r="D3902" i="1"/>
  <c r="D3901" i="1"/>
  <c r="D3900" i="1"/>
  <c r="D3899" i="1"/>
  <c r="D3898" i="1"/>
  <c r="D3897" i="1"/>
  <c r="D3896" i="1"/>
  <c r="D3895" i="1"/>
  <c r="D3894" i="1"/>
  <c r="D3893" i="1"/>
  <c r="D3892" i="1"/>
  <c r="D3891" i="1"/>
  <c r="D3890" i="1"/>
  <c r="D3889" i="1"/>
  <c r="D3888" i="1"/>
  <c r="D3887" i="1"/>
  <c r="D3886" i="1"/>
  <c r="D3885" i="1"/>
  <c r="D3884" i="1"/>
  <c r="D3883" i="1"/>
  <c r="D3882" i="1"/>
  <c r="D3881" i="1"/>
  <c r="D3880" i="1"/>
  <c r="D3879" i="1"/>
  <c r="D3878" i="1"/>
  <c r="D3876" i="1"/>
  <c r="D3875" i="1"/>
  <c r="D3874" i="1"/>
  <c r="D3873" i="1"/>
  <c r="D3872" i="1"/>
  <c r="D3871" i="1"/>
  <c r="D3870" i="1"/>
  <c r="D3869" i="1"/>
  <c r="D3868" i="1"/>
  <c r="D3867" i="1"/>
  <c r="D3866" i="1"/>
  <c r="D3865" i="1"/>
  <c r="D3864" i="1"/>
  <c r="D3863" i="1"/>
  <c r="D3862" i="1"/>
  <c r="D3861" i="1"/>
  <c r="D3860" i="1"/>
  <c r="D3859" i="1"/>
  <c r="D3858" i="1"/>
  <c r="D3857" i="1"/>
  <c r="D3856" i="1"/>
  <c r="D3855" i="1"/>
  <c r="D3854" i="1"/>
  <c r="D3853" i="1"/>
  <c r="D3852" i="1"/>
  <c r="D3851" i="1"/>
  <c r="D3849" i="1"/>
  <c r="D3848" i="1"/>
  <c r="D3846" i="1"/>
  <c r="D3845" i="1"/>
  <c r="D3844" i="1"/>
  <c r="D3843" i="1"/>
  <c r="D3842" i="1"/>
  <c r="D3841" i="1"/>
  <c r="D3840" i="1"/>
  <c r="D3839" i="1"/>
  <c r="D3838" i="1"/>
  <c r="D3837" i="1"/>
  <c r="D3836" i="1"/>
  <c r="D3835" i="1"/>
  <c r="D3834" i="1"/>
  <c r="D3832" i="1"/>
  <c r="D3831" i="1"/>
  <c r="D3830" i="1"/>
  <c r="D3829" i="1"/>
  <c r="D3827" i="1"/>
  <c r="D3826" i="1"/>
  <c r="D3825" i="1"/>
  <c r="D3824" i="1"/>
  <c r="D3823" i="1"/>
  <c r="D3822" i="1"/>
  <c r="D3821" i="1"/>
  <c r="D3820" i="1"/>
  <c r="D3819" i="1"/>
  <c r="D3818" i="1"/>
  <c r="D3817" i="1"/>
  <c r="D3816" i="1"/>
  <c r="D3815" i="1"/>
  <c r="D3814" i="1"/>
  <c r="D3813" i="1"/>
  <c r="D3812" i="1"/>
  <c r="D3811" i="1"/>
  <c r="D3810" i="1"/>
  <c r="D3809" i="1"/>
  <c r="D3808" i="1"/>
  <c r="D3807" i="1"/>
  <c r="D3806" i="1"/>
  <c r="D3805" i="1"/>
  <c r="D3804" i="1"/>
  <c r="D3803" i="1"/>
  <c r="D3802" i="1"/>
  <c r="D3801" i="1"/>
  <c r="D3800" i="1"/>
  <c r="D3799" i="1"/>
  <c r="D3798" i="1"/>
  <c r="D3797" i="1"/>
  <c r="D3796" i="1"/>
  <c r="D3795" i="1"/>
  <c r="D3794" i="1"/>
  <c r="D3793" i="1"/>
  <c r="D3792" i="1"/>
  <c r="D3791" i="1"/>
  <c r="D3790" i="1"/>
  <c r="D3789" i="1"/>
  <c r="D3788" i="1"/>
  <c r="D3787" i="1"/>
  <c r="D3786" i="1"/>
  <c r="D3785" i="1"/>
  <c r="D3784" i="1"/>
  <c r="D3783" i="1"/>
  <c r="D3782" i="1"/>
  <c r="D3781" i="1"/>
  <c r="D3780" i="1"/>
  <c r="D3779" i="1"/>
  <c r="D3778" i="1"/>
  <c r="D3777" i="1"/>
  <c r="D3776" i="1"/>
  <c r="D3775" i="1"/>
  <c r="D3774" i="1"/>
  <c r="D3773" i="1"/>
  <c r="D3772" i="1"/>
  <c r="D3771" i="1"/>
  <c r="D3770" i="1"/>
  <c r="D3769" i="1"/>
  <c r="D3768" i="1"/>
  <c r="D3767" i="1"/>
  <c r="D3766" i="1"/>
  <c r="D3765" i="1"/>
  <c r="D3764" i="1"/>
  <c r="D3763" i="1"/>
  <c r="D3762" i="1"/>
  <c r="D3761" i="1"/>
  <c r="D3760" i="1"/>
  <c r="D3759" i="1"/>
  <c r="D3758" i="1"/>
  <c r="D3757" i="1"/>
  <c r="D3756" i="1"/>
  <c r="D3755" i="1"/>
  <c r="D3754" i="1"/>
  <c r="D3753" i="1"/>
  <c r="D3752" i="1"/>
  <c r="D3751" i="1"/>
  <c r="D3750" i="1"/>
  <c r="D3749" i="1"/>
  <c r="D3748" i="1"/>
  <c r="D3747" i="1"/>
  <c r="D3746" i="1"/>
  <c r="D3745" i="1"/>
  <c r="D3744" i="1"/>
  <c r="D3743" i="1"/>
  <c r="D3742" i="1"/>
  <c r="D3741" i="1"/>
  <c r="D3740" i="1"/>
  <c r="D3739" i="1"/>
  <c r="D3738" i="1"/>
  <c r="D3737" i="1"/>
  <c r="D3736" i="1"/>
  <c r="D3735" i="1"/>
  <c r="D3734" i="1"/>
  <c r="D3733" i="1"/>
  <c r="D3732" i="1"/>
  <c r="D3731" i="1"/>
  <c r="D3730" i="1"/>
  <c r="D3729" i="1"/>
  <c r="D3728" i="1"/>
  <c r="D3727" i="1"/>
  <c r="D3726" i="1"/>
  <c r="D3725" i="1"/>
  <c r="D3724" i="1"/>
  <c r="D3723" i="1"/>
  <c r="D3722" i="1"/>
  <c r="D3721" i="1"/>
  <c r="D3720" i="1"/>
  <c r="D3719" i="1"/>
  <c r="D3717" i="1"/>
  <c r="D3716" i="1"/>
  <c r="D3715" i="1"/>
  <c r="D3713" i="1"/>
  <c r="D3711" i="1"/>
  <c r="D3710" i="1"/>
  <c r="D3709" i="1"/>
  <c r="D3708" i="1"/>
  <c r="D3707" i="1"/>
  <c r="D3706" i="1"/>
  <c r="D3705" i="1"/>
  <c r="D3703" i="1"/>
  <c r="D3702" i="1"/>
  <c r="D3701" i="1"/>
  <c r="D3699" i="1"/>
  <c r="D3698" i="1"/>
  <c r="D3696" i="1"/>
  <c r="D3695" i="1"/>
  <c r="D3694" i="1"/>
  <c r="D3693" i="1"/>
  <c r="D3692" i="1"/>
  <c r="D3691" i="1"/>
  <c r="D3690" i="1"/>
  <c r="D3689" i="1"/>
  <c r="D3688" i="1"/>
  <c r="D3687" i="1"/>
  <c r="D3686" i="1"/>
  <c r="D3685" i="1"/>
  <c r="D3684" i="1"/>
  <c r="D3683" i="1"/>
  <c r="D3682" i="1"/>
  <c r="D3681" i="1"/>
  <c r="D3680" i="1"/>
  <c r="D3679" i="1"/>
  <c r="D3678" i="1"/>
  <c r="D3677" i="1"/>
  <c r="D3676" i="1"/>
  <c r="D3675" i="1"/>
  <c r="D3674" i="1"/>
  <c r="D3673" i="1"/>
  <c r="D3672" i="1"/>
  <c r="D3671" i="1"/>
  <c r="D3670" i="1"/>
  <c r="D3669" i="1"/>
  <c r="D3668" i="1"/>
  <c r="D3667" i="1"/>
  <c r="D3666" i="1"/>
  <c r="D3665" i="1"/>
  <c r="D3664" i="1"/>
  <c r="D3663" i="1"/>
  <c r="D3662" i="1"/>
  <c r="D3661" i="1"/>
  <c r="D3660" i="1"/>
  <c r="D3659" i="1"/>
  <c r="D3658" i="1"/>
  <c r="D3657" i="1"/>
  <c r="D3656" i="1"/>
  <c r="D3655" i="1"/>
  <c r="D3654" i="1"/>
  <c r="D3653" i="1"/>
  <c r="D3650" i="1"/>
  <c r="D3649" i="1"/>
  <c r="D3648" i="1"/>
  <c r="D3646" i="1"/>
  <c r="D3645" i="1"/>
  <c r="D3641" i="1"/>
  <c r="D3640" i="1"/>
  <c r="D3639" i="1"/>
  <c r="D3638" i="1"/>
  <c r="D3637" i="1"/>
  <c r="D3634" i="1"/>
  <c r="D3631" i="1" l="1"/>
  <c r="D3630" i="1"/>
  <c r="D3629" i="1"/>
  <c r="D3628" i="1"/>
  <c r="D3627" i="1"/>
  <c r="D3626" i="1"/>
  <c r="D3625" i="1"/>
  <c r="D3624" i="1"/>
  <c r="D3623" i="1"/>
  <c r="D3622" i="1"/>
  <c r="D3621" i="1"/>
  <c r="D3620" i="1"/>
  <c r="D3619" i="1"/>
  <c r="D3618" i="1"/>
  <c r="D3617" i="1"/>
  <c r="D3616" i="1"/>
  <c r="D3615" i="1"/>
  <c r="D3614" i="1"/>
  <c r="D3613" i="1"/>
  <c r="D3612" i="1"/>
  <c r="D3611" i="1"/>
  <c r="D3610" i="1"/>
  <c r="D3609" i="1"/>
  <c r="D3608" i="1"/>
  <c r="D3607" i="1"/>
  <c r="D3606" i="1"/>
  <c r="D3605" i="1"/>
  <c r="D3604" i="1"/>
  <c r="D3603" i="1"/>
  <c r="D3602" i="1"/>
  <c r="D3601" i="1"/>
  <c r="D3600" i="1"/>
  <c r="D3599" i="1"/>
  <c r="D3598" i="1"/>
  <c r="D3597" i="1"/>
  <c r="D3596" i="1"/>
  <c r="D3595" i="1"/>
  <c r="D3594" i="1"/>
  <c r="D3593" i="1"/>
  <c r="D3592" i="1"/>
  <c r="D3591" i="1"/>
  <c r="D3590" i="1"/>
  <c r="D3589" i="1"/>
  <c r="D3588" i="1"/>
  <c r="D3587" i="1"/>
  <c r="D3586" i="1"/>
  <c r="D3585" i="1"/>
  <c r="D3584" i="1"/>
  <c r="D3583" i="1"/>
  <c r="D3582" i="1"/>
  <c r="D3581" i="1"/>
  <c r="D3580" i="1"/>
  <c r="D3579" i="1"/>
  <c r="D3578" i="1"/>
  <c r="D3577" i="1"/>
  <c r="D3576" i="1"/>
  <c r="D3575" i="1"/>
  <c r="D3574" i="1"/>
  <c r="D3573" i="1"/>
  <c r="D3572" i="1"/>
  <c r="D3571" i="1"/>
  <c r="D3570" i="1"/>
  <c r="D3569" i="1"/>
  <c r="D3568" i="1"/>
  <c r="D3567" i="1"/>
  <c r="D3566" i="1"/>
  <c r="D3565" i="1"/>
  <c r="D3564" i="1"/>
  <c r="D3563" i="1"/>
  <c r="D3562" i="1"/>
  <c r="D3561" i="1"/>
  <c r="D3560" i="1"/>
  <c r="D3559" i="1"/>
  <c r="D3558" i="1"/>
  <c r="D3557" i="1"/>
  <c r="D3556" i="1"/>
  <c r="D3555" i="1"/>
  <c r="D3554" i="1"/>
  <c r="D3553" i="1"/>
  <c r="D3552" i="1"/>
  <c r="D3551" i="1"/>
  <c r="D3550" i="1"/>
  <c r="D3549" i="1"/>
  <c r="D3548" i="1"/>
  <c r="D3547" i="1"/>
  <c r="D3546" i="1"/>
  <c r="D3545" i="1"/>
  <c r="D3544" i="1"/>
  <c r="D3543" i="1"/>
  <c r="D3542" i="1"/>
  <c r="D3541" i="1"/>
  <c r="D3540" i="1"/>
  <c r="D3538" i="1"/>
  <c r="D3537" i="1"/>
  <c r="D3536" i="1"/>
  <c r="D3535" i="1"/>
  <c r="D3534" i="1"/>
  <c r="D3533" i="1"/>
  <c r="D3532" i="1"/>
  <c r="D3531" i="1"/>
  <c r="D3530" i="1"/>
  <c r="D3529" i="1"/>
  <c r="D3528" i="1"/>
  <c r="D3527" i="1"/>
  <c r="D3526" i="1"/>
  <c r="D3525" i="1"/>
  <c r="D3524" i="1"/>
  <c r="D3523" i="1"/>
  <c r="D3522" i="1"/>
  <c r="D3521" i="1"/>
  <c r="D3520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88" i="1"/>
  <c r="D3487" i="1"/>
  <c r="D3486" i="1"/>
  <c r="D3485" i="1"/>
  <c r="D3484" i="1"/>
  <c r="D3483" i="1"/>
  <c r="D3482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7" i="1"/>
  <c r="D3466" i="1"/>
  <c r="D3465" i="1"/>
  <c r="D3464" i="1"/>
  <c r="D3463" i="1"/>
  <c r="D3462" i="1"/>
  <c r="D3461" i="1"/>
  <c r="D3460" i="1"/>
  <c r="D3459" i="1"/>
  <c r="D3458" i="1"/>
  <c r="D3457" i="1"/>
  <c r="D3456" i="1"/>
  <c r="D3455" i="1"/>
  <c r="D3454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1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7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410" i="1"/>
  <c r="D3409" i="1"/>
  <c r="D3408" i="1"/>
  <c r="D3407" i="1"/>
  <c r="D3406" i="1"/>
  <c r="D3405" i="1"/>
  <c r="D3404" i="1"/>
  <c r="D3403" i="1"/>
  <c r="D3402" i="1"/>
  <c r="D3401" i="1"/>
  <c r="D3400" i="1"/>
  <c r="D3399" i="1"/>
  <c r="D3398" i="1"/>
  <c r="D3397" i="1"/>
  <c r="D3396" i="1"/>
  <c r="D3395" i="1"/>
  <c r="D3393" i="1"/>
  <c r="D3392" i="1"/>
  <c r="D3391" i="1"/>
  <c r="D3390" i="1"/>
  <c r="D3389" i="1"/>
  <c r="D3388" i="1"/>
  <c r="D3387" i="1"/>
  <c r="D3386" i="1"/>
  <c r="D3384" i="1"/>
  <c r="D3382" i="1"/>
  <c r="D3381" i="1"/>
  <c r="D3380" i="1"/>
  <c r="D3379" i="1"/>
  <c r="D3378" i="1"/>
  <c r="D3377" i="1"/>
  <c r="D3376" i="1"/>
  <c r="D3375" i="1"/>
  <c r="D3374" i="1"/>
  <c r="D3373" i="1"/>
  <c r="D3372" i="1"/>
  <c r="D3371" i="1"/>
  <c r="D3370" i="1"/>
  <c r="D3369" i="1"/>
  <c r="D3368" i="1"/>
  <c r="D3367" i="1"/>
  <c r="D3366" i="1"/>
  <c r="D3365" i="1"/>
  <c r="D3364" i="1"/>
  <c r="D3363" i="1"/>
  <c r="D3362" i="1"/>
  <c r="D3361" i="1"/>
  <c r="D3360" i="1"/>
  <c r="D3359" i="1"/>
  <c r="D3358" i="1"/>
  <c r="D3357" i="1"/>
  <c r="D3356" i="1"/>
  <c r="D3355" i="1"/>
  <c r="D3354" i="1"/>
  <c r="D3353" i="1"/>
  <c r="D3352" i="1"/>
  <c r="D3351" i="1"/>
  <c r="D3350" i="1"/>
  <c r="D3349" i="1"/>
  <c r="D3348" i="1"/>
  <c r="D3347" i="1"/>
  <c r="D3346" i="1"/>
  <c r="D3345" i="1"/>
  <c r="D3344" i="1"/>
  <c r="D3343" i="1"/>
  <c r="D3342" i="1"/>
  <c r="D3341" i="1"/>
  <c r="D3340" i="1"/>
  <c r="D3339" i="1"/>
  <c r="D3338" i="1"/>
  <c r="D3337" i="1"/>
  <c r="D3336" i="1"/>
  <c r="D3335" i="1"/>
  <c r="D3334" i="1"/>
  <c r="D3333" i="1"/>
  <c r="D3332" i="1"/>
  <c r="D3331" i="1"/>
  <c r="D3330" i="1"/>
  <c r="D3329" i="1"/>
  <c r="D3328" i="1"/>
  <c r="D3327" i="1"/>
  <c r="D3326" i="1"/>
  <c r="D3325" i="1"/>
  <c r="D3324" i="1"/>
  <c r="D3323" i="1"/>
  <c r="D3322" i="1"/>
  <c r="D3321" i="1"/>
  <c r="D3320" i="1"/>
  <c r="D3319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5" i="1"/>
  <c r="D3304" i="1"/>
  <c r="D3302" i="1"/>
  <c r="D3301" i="1"/>
  <c r="D3300" i="1"/>
  <c r="D3299" i="1"/>
  <c r="D3298" i="1"/>
  <c r="D3297" i="1"/>
  <c r="D3296" i="1"/>
  <c r="D3295" i="1"/>
  <c r="D3294" i="1"/>
  <c r="D3293" i="1"/>
  <c r="D3292" i="1"/>
  <c r="D3291" i="1"/>
  <c r="D3290" i="1"/>
  <c r="D3289" i="1"/>
  <c r="D3288" i="1"/>
  <c r="D3287" i="1"/>
  <c r="D3286" i="1"/>
  <c r="D3285" i="1"/>
  <c r="D3284" i="1"/>
  <c r="D3282" i="1"/>
  <c r="D3281" i="1"/>
  <c r="D3280" i="1"/>
  <c r="D3279" i="1"/>
  <c r="D3278" i="1"/>
  <c r="D3277" i="1"/>
  <c r="D3276" i="1"/>
  <c r="D3275" i="1"/>
  <c r="D3273" i="1"/>
  <c r="D3272" i="1"/>
  <c r="D3271" i="1"/>
  <c r="D3270" i="1"/>
  <c r="D3269" i="1"/>
  <c r="D3268" i="1"/>
  <c r="D3267" i="1"/>
  <c r="D3266" i="1"/>
  <c r="D3265" i="1"/>
  <c r="D3264" i="1"/>
  <c r="D3263" i="1"/>
  <c r="D3262" i="1"/>
  <c r="D3261" i="1"/>
  <c r="D3260" i="1"/>
  <c r="D3259" i="1"/>
  <c r="D3258" i="1"/>
  <c r="D3257" i="1"/>
  <c r="D3256" i="1"/>
  <c r="D3255" i="1"/>
  <c r="D3254" i="1"/>
  <c r="D3253" i="1"/>
  <c r="D3252" i="1"/>
  <c r="D3251" i="1"/>
  <c r="D3250" i="1"/>
  <c r="D3249" i="1"/>
  <c r="D3248" i="1"/>
  <c r="D3247" i="1"/>
  <c r="D3246" i="1"/>
  <c r="D3245" i="1"/>
  <c r="D3244" i="1"/>
  <c r="D3243" i="1"/>
  <c r="D3242" i="1"/>
  <c r="D3241" i="1"/>
  <c r="D3240" i="1"/>
  <c r="D3239" i="1"/>
  <c r="D3238" i="1"/>
  <c r="D3237" i="1"/>
  <c r="D3236" i="1"/>
  <c r="D3235" i="1"/>
  <c r="D3234" i="1"/>
  <c r="D3233" i="1"/>
  <c r="D3232" i="1"/>
  <c r="D3231" i="1"/>
  <c r="D3230" i="1"/>
  <c r="D3229" i="1"/>
  <c r="D3228" i="1"/>
  <c r="D3227" i="1"/>
  <c r="D3226" i="1"/>
  <c r="D3225" i="1"/>
  <c r="D3224" i="1"/>
  <c r="D3223" i="1"/>
  <c r="D3222" i="1"/>
  <c r="D3221" i="1"/>
  <c r="D3220" i="1"/>
  <c r="D3219" i="1"/>
  <c r="D3218" i="1"/>
  <c r="D3217" i="1"/>
  <c r="D3216" i="1"/>
  <c r="D3215" i="1"/>
  <c r="D3214" i="1"/>
  <c r="D3213" i="1"/>
  <c r="D3212" i="1"/>
  <c r="D3211" i="1"/>
  <c r="D3210" i="1"/>
  <c r="D3209" i="1"/>
  <c r="D3208" i="1"/>
  <c r="D3207" i="1"/>
  <c r="D3206" i="1"/>
  <c r="D3205" i="1"/>
  <c r="D3204" i="1"/>
  <c r="D3203" i="1"/>
  <c r="D3202" i="1"/>
  <c r="D3201" i="1"/>
  <c r="D3200" i="1"/>
  <c r="D3199" i="1"/>
  <c r="D3198" i="1"/>
  <c r="D3197" i="1"/>
  <c r="D3196" i="1"/>
  <c r="D3195" i="1"/>
  <c r="D3194" i="1"/>
  <c r="D3193" i="1"/>
  <c r="D3192" i="1"/>
  <c r="D3191" i="1"/>
  <c r="D3190" i="1"/>
  <c r="D3189" i="1"/>
  <c r="D3188" i="1"/>
  <c r="D3187" i="1"/>
  <c r="D3186" i="1"/>
  <c r="D3185" i="1"/>
  <c r="D3184" i="1"/>
  <c r="D3183" i="1"/>
  <c r="D3182" i="1"/>
  <c r="D3181" i="1"/>
  <c r="D3179" i="1"/>
  <c r="D3178" i="1"/>
  <c r="D3177" i="1"/>
  <c r="D3176" i="1"/>
  <c r="D3175" i="1"/>
  <c r="D3174" i="1"/>
  <c r="D3173" i="1"/>
  <c r="D3171" i="1"/>
  <c r="D3170" i="1"/>
  <c r="D3169" i="1"/>
  <c r="D3168" i="1"/>
  <c r="D3167" i="1"/>
  <c r="D3166" i="1"/>
  <c r="D3165" i="1"/>
  <c r="D3164" i="1"/>
  <c r="D3163" i="1"/>
  <c r="D3162" i="1"/>
  <c r="D3161" i="1"/>
  <c r="D3160" i="1"/>
  <c r="D3159" i="1"/>
  <c r="D3158" i="1"/>
  <c r="D3157" i="1"/>
  <c r="D3156" i="1"/>
  <c r="D3155" i="1"/>
  <c r="D3154" i="1"/>
  <c r="D3153" i="1"/>
  <c r="D3152" i="1"/>
  <c r="D3151" i="1"/>
  <c r="D3150" i="1"/>
  <c r="D3149" i="1"/>
  <c r="D3148" i="1"/>
  <c r="D3147" i="1"/>
  <c r="D3145" i="1"/>
  <c r="D3144" i="1"/>
  <c r="D3141" i="1"/>
  <c r="D3139" i="1"/>
  <c r="D3138" i="1"/>
  <c r="D3137" i="1"/>
  <c r="D3136" i="1"/>
  <c r="D3135" i="1"/>
  <c r="D3134" i="1"/>
  <c r="D3132" i="1"/>
  <c r="D3130" i="1"/>
  <c r="D3129" i="1"/>
  <c r="D3127" i="1"/>
  <c r="D3126" i="1"/>
  <c r="D3125" i="1"/>
  <c r="D3124" i="1"/>
  <c r="D3123" i="1"/>
  <c r="D3122" i="1"/>
  <c r="D3121" i="1"/>
  <c r="D3120" i="1"/>
  <c r="D3119" i="1"/>
  <c r="D3118" i="1"/>
  <c r="D3117" i="1"/>
  <c r="D3116" i="1"/>
  <c r="D3115" i="1"/>
  <c r="D3114" i="1"/>
  <c r="D3113" i="1"/>
  <c r="D3112" i="1"/>
  <c r="D3111" i="1"/>
  <c r="D3110" i="1"/>
  <c r="D3109" i="1"/>
  <c r="D3108" i="1"/>
  <c r="D3107" i="1"/>
  <c r="D3106" i="1"/>
  <c r="D3105" i="1"/>
  <c r="D3104" i="1"/>
  <c r="D3103" i="1"/>
  <c r="D3102" i="1"/>
  <c r="D3101" i="1"/>
  <c r="D3100" i="1"/>
  <c r="D3099" i="1"/>
  <c r="D3098" i="1"/>
  <c r="D3097" i="1"/>
  <c r="D3096" i="1"/>
  <c r="D3095" i="1"/>
  <c r="D3094" i="1"/>
  <c r="D3093" i="1"/>
  <c r="D3092" i="1"/>
  <c r="D3091" i="1"/>
  <c r="D3090" i="1"/>
  <c r="D3089" i="1"/>
  <c r="D3088" i="1"/>
  <c r="D3087" i="1"/>
  <c r="D3086" i="1"/>
  <c r="D3085" i="1"/>
  <c r="D3084" i="1"/>
  <c r="D3083" i="1"/>
  <c r="D3082" i="1"/>
  <c r="D3081" i="1"/>
  <c r="D3080" i="1"/>
  <c r="D3079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6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7" i="1"/>
  <c r="D3046" i="1"/>
  <c r="D3045" i="1"/>
  <c r="D3044" i="1"/>
  <c r="D3043" i="1"/>
  <c r="D3042" i="1"/>
  <c r="D3041" i="1"/>
  <c r="D3040" i="1"/>
  <c r="D3039" i="1"/>
  <c r="D3038" i="1"/>
  <c r="D3037" i="1"/>
  <c r="D3036" i="1"/>
  <c r="D3035" i="1"/>
  <c r="D3034" i="1"/>
  <c r="D3033" i="1"/>
  <c r="D3032" i="1"/>
  <c r="D3031" i="1"/>
  <c r="D3030" i="1"/>
  <c r="D3029" i="1"/>
  <c r="D3028" i="1"/>
  <c r="D3027" i="1"/>
  <c r="D3026" i="1"/>
  <c r="D3025" i="1"/>
  <c r="D3024" i="1"/>
  <c r="D3023" i="1"/>
  <c r="D3022" i="1"/>
  <c r="D3021" i="1"/>
  <c r="D3020" i="1"/>
  <c r="D3019" i="1"/>
  <c r="D3018" i="1"/>
  <c r="D3017" i="1"/>
  <c r="D3016" i="1"/>
  <c r="D3015" i="1"/>
  <c r="D3013" i="1"/>
  <c r="D3012" i="1"/>
  <c r="D3011" i="1"/>
  <c r="D3010" i="1"/>
  <c r="D3009" i="1"/>
  <c r="D3008" i="1"/>
  <c r="D3007" i="1"/>
  <c r="D3006" i="1"/>
  <c r="D3005" i="1"/>
  <c r="D3004" i="1"/>
  <c r="D3003" i="1"/>
  <c r="D3002" i="1"/>
  <c r="D3000" i="1"/>
  <c r="D2999" i="1"/>
  <c r="D2998" i="1"/>
  <c r="D2997" i="1"/>
  <c r="D2996" i="1"/>
  <c r="D2995" i="1"/>
  <c r="D2994" i="1"/>
  <c r="D2993" i="1"/>
  <c r="D2992" i="1"/>
  <c r="D2990" i="1"/>
  <c r="D2989" i="1"/>
  <c r="D2986" i="1"/>
  <c r="D2983" i="1"/>
  <c r="D2982" i="1"/>
  <c r="D2981" i="1"/>
  <c r="D2978" i="1" l="1"/>
  <c r="D2975" i="1"/>
  <c r="D2974" i="1"/>
  <c r="D2973" i="1"/>
  <c r="D2972" i="1"/>
  <c r="D2970" i="1"/>
  <c r="D2969" i="1"/>
  <c r="D2968" i="1"/>
  <c r="D2967" i="1"/>
  <c r="D2966" i="1"/>
  <c r="D2965" i="1"/>
  <c r="D2964" i="1"/>
  <c r="D2963" i="1"/>
  <c r="D2962" i="1"/>
  <c r="D2961" i="1"/>
  <c r="D2960" i="1"/>
  <c r="D2959" i="1"/>
  <c r="D2958" i="1"/>
  <c r="D2957" i="1"/>
  <c r="D2956" i="1"/>
  <c r="D2955" i="1"/>
  <c r="D2954" i="1"/>
  <c r="D2953" i="1"/>
  <c r="D2952" i="1"/>
  <c r="D2951" i="1"/>
  <c r="D2950" i="1"/>
  <c r="D2949" i="1"/>
  <c r="D2948" i="1"/>
  <c r="D2947" i="1"/>
  <c r="D2946" i="1"/>
  <c r="D2945" i="1"/>
  <c r="D2944" i="1"/>
  <c r="D2943" i="1"/>
  <c r="D2942" i="1"/>
  <c r="D2941" i="1"/>
  <c r="D2940" i="1"/>
  <c r="D2939" i="1"/>
  <c r="D2938" i="1"/>
  <c r="D2937" i="1"/>
  <c r="D2936" i="1"/>
  <c r="D2935" i="1"/>
  <c r="D2934" i="1"/>
  <c r="D2933" i="1"/>
  <c r="D2932" i="1"/>
  <c r="D2931" i="1"/>
  <c r="D2930" i="1"/>
  <c r="D2929" i="1"/>
  <c r="D2928" i="1"/>
  <c r="D2927" i="1"/>
  <c r="D2926" i="1"/>
  <c r="D2925" i="1"/>
  <c r="D2924" i="1"/>
  <c r="D2923" i="1"/>
  <c r="D2922" i="1"/>
  <c r="D2921" i="1"/>
  <c r="D2920" i="1"/>
  <c r="D2919" i="1"/>
  <c r="D2918" i="1"/>
  <c r="D2917" i="1"/>
  <c r="D2916" i="1"/>
  <c r="D2915" i="1"/>
  <c r="D2914" i="1"/>
  <c r="D2913" i="1"/>
  <c r="D2912" i="1"/>
  <c r="D2911" i="1"/>
  <c r="D2910" i="1"/>
  <c r="D2909" i="1"/>
  <c r="D2908" i="1"/>
  <c r="D2907" i="1"/>
  <c r="D2906" i="1"/>
  <c r="D2905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8" i="1"/>
  <c r="D2887" i="1"/>
  <c r="D2886" i="1"/>
  <c r="D2885" i="1"/>
  <c r="D2884" i="1"/>
  <c r="D2883" i="1"/>
  <c r="D2882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38" i="1"/>
  <c r="D2836" i="1"/>
  <c r="D2835" i="1"/>
  <c r="D2834" i="1"/>
  <c r="D2833" i="1"/>
  <c r="D2832" i="1"/>
  <c r="D2831" i="1"/>
  <c r="D2830" i="1"/>
  <c r="D2829" i="1"/>
  <c r="D2828" i="1"/>
  <c r="D2827" i="1"/>
  <c r="D2826" i="1"/>
  <c r="D2825" i="1"/>
  <c r="D2824" i="1"/>
  <c r="D2823" i="1"/>
  <c r="D2822" i="1"/>
  <c r="D2821" i="1"/>
  <c r="D2820" i="1"/>
  <c r="D2819" i="1"/>
  <c r="D2818" i="1"/>
  <c r="D2817" i="1"/>
  <c r="D2816" i="1"/>
  <c r="D2815" i="1"/>
  <c r="D2814" i="1"/>
  <c r="D2811" i="1"/>
  <c r="D2810" i="1"/>
  <c r="D2809" i="1"/>
  <c r="D2808" i="1"/>
  <c r="D2806" i="1"/>
  <c r="D2805" i="1"/>
  <c r="D2804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77" i="1"/>
  <c r="D2776" i="1"/>
  <c r="D2775" i="1"/>
  <c r="D2774" i="1"/>
  <c r="D2773" i="1"/>
  <c r="D2772" i="1"/>
  <c r="D2771" i="1"/>
  <c r="D2770" i="1"/>
  <c r="D2769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5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40" i="1"/>
  <c r="D2739" i="1"/>
  <c r="D2738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11" i="1"/>
  <c r="D2710" i="1"/>
  <c r="D2708" i="1"/>
  <c r="D2707" i="1"/>
  <c r="D2706" i="1"/>
  <c r="D2705" i="1"/>
  <c r="D2704" i="1"/>
  <c r="D2703" i="1"/>
  <c r="D2702" i="1"/>
  <c r="D2701" i="1"/>
  <c r="D2700" i="1"/>
  <c r="D2699" i="1"/>
  <c r="D2698" i="1"/>
  <c r="D2697" i="1"/>
  <c r="D2696" i="1"/>
  <c r="D2695" i="1"/>
  <c r="D2694" i="1"/>
  <c r="D2693" i="1"/>
  <c r="D2692" i="1"/>
  <c r="D2691" i="1"/>
  <c r="D2690" i="1"/>
  <c r="D2688" i="1"/>
  <c r="D2687" i="1"/>
  <c r="D2686" i="1"/>
  <c r="D2685" i="1"/>
  <c r="D2684" i="1"/>
  <c r="D2683" i="1"/>
  <c r="D2682" i="1"/>
  <c r="D2680" i="1"/>
  <c r="D2679" i="1"/>
  <c r="D2678" i="1"/>
  <c r="D2677" i="1"/>
  <c r="D2676" i="1"/>
  <c r="D2675" i="1"/>
  <c r="D2674" i="1"/>
  <c r="D2673" i="1"/>
  <c r="D2672" i="1"/>
  <c r="D2671" i="1"/>
  <c r="D2670" i="1"/>
  <c r="D2669" i="1"/>
  <c r="D2668" i="1"/>
  <c r="D2667" i="1"/>
  <c r="D2666" i="1"/>
  <c r="D2665" i="1"/>
  <c r="D2664" i="1"/>
  <c r="D2663" i="1"/>
  <c r="D2662" i="1"/>
  <c r="D2661" i="1"/>
  <c r="D2660" i="1"/>
  <c r="D2659" i="1"/>
  <c r="D2658" i="1"/>
  <c r="D2657" i="1"/>
  <c r="D2656" i="1"/>
  <c r="D2655" i="1"/>
  <c r="D2654" i="1"/>
  <c r="D2653" i="1"/>
  <c r="D2652" i="1"/>
  <c r="D2651" i="1"/>
  <c r="D2650" i="1"/>
  <c r="D2649" i="1"/>
  <c r="D2648" i="1"/>
  <c r="D2647" i="1"/>
  <c r="D2646" i="1"/>
  <c r="D2645" i="1"/>
  <c r="D2644" i="1"/>
  <c r="D2643" i="1"/>
  <c r="D2642" i="1"/>
  <c r="D2641" i="1"/>
  <c r="D2640" i="1"/>
  <c r="D2639" i="1"/>
  <c r="D2638" i="1"/>
  <c r="D2637" i="1"/>
  <c r="D2636" i="1"/>
  <c r="D2635" i="1"/>
  <c r="D2634" i="1"/>
  <c r="D2633" i="1"/>
  <c r="D2632" i="1"/>
  <c r="D2631" i="1"/>
  <c r="D2630" i="1"/>
  <c r="D2629" i="1"/>
  <c r="D2628" i="1"/>
  <c r="D2627" i="1"/>
  <c r="D2626" i="1"/>
  <c r="D2625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600" i="1"/>
  <c r="D2599" i="1"/>
  <c r="D2598" i="1"/>
  <c r="D2597" i="1"/>
  <c r="D2596" i="1"/>
  <c r="D2595" i="1"/>
  <c r="D2594" i="1"/>
  <c r="D2593" i="1"/>
  <c r="D2592" i="1"/>
  <c r="D2591" i="1"/>
  <c r="D2590" i="1"/>
  <c r="D2589" i="1"/>
  <c r="D2588" i="1"/>
  <c r="D2587" i="1"/>
  <c r="D2586" i="1"/>
  <c r="D2585" i="1"/>
  <c r="D2584" i="1"/>
  <c r="D2582" i="1"/>
  <c r="D2581" i="1"/>
  <c r="D2580" i="1"/>
  <c r="D2579" i="1"/>
  <c r="D2577" i="1"/>
  <c r="D2576" i="1"/>
  <c r="D2575" i="1"/>
  <c r="D2574" i="1"/>
  <c r="D2573" i="1"/>
  <c r="D2572" i="1"/>
  <c r="D2571" i="1"/>
  <c r="D2570" i="1"/>
  <c r="D2569" i="1"/>
  <c r="D2568" i="1"/>
  <c r="D2567" i="1"/>
  <c r="D2566" i="1"/>
  <c r="D2565" i="1"/>
  <c r="D2564" i="1"/>
  <c r="D2563" i="1"/>
  <c r="D2562" i="1"/>
  <c r="D2561" i="1"/>
  <c r="D2560" i="1"/>
  <c r="D2559" i="1"/>
  <c r="D2558" i="1"/>
  <c r="D2557" i="1"/>
  <c r="D2556" i="1"/>
  <c r="D2555" i="1"/>
  <c r="D2554" i="1"/>
  <c r="D2553" i="1"/>
  <c r="D2552" i="1"/>
  <c r="D2551" i="1"/>
  <c r="D2550" i="1"/>
  <c r="D2549" i="1"/>
  <c r="D2548" i="1"/>
  <c r="D2547" i="1"/>
  <c r="D2546" i="1"/>
  <c r="D2545" i="1"/>
  <c r="D2544" i="1"/>
  <c r="D2543" i="1"/>
  <c r="D2542" i="1"/>
  <c r="D2541" i="1"/>
  <c r="D2540" i="1"/>
  <c r="D2539" i="1"/>
  <c r="D2538" i="1"/>
  <c r="D2537" i="1"/>
  <c r="D2536" i="1"/>
  <c r="D2534" i="1"/>
  <c r="D2532" i="1"/>
  <c r="D2531" i="1"/>
  <c r="D2527" i="1" l="1"/>
  <c r="D2526" i="1"/>
  <c r="D2525" i="1"/>
  <c r="D2524" i="1"/>
  <c r="D2522" i="1"/>
  <c r="D2521" i="1"/>
  <c r="D2520" i="1"/>
  <c r="D2519" i="1"/>
  <c r="D2518" i="1"/>
  <c r="D2517" i="1"/>
  <c r="D2516" i="1"/>
  <c r="D2515" i="1"/>
  <c r="D2514" i="1"/>
  <c r="D2513" i="1"/>
  <c r="D2512" i="1"/>
  <c r="D2511" i="1"/>
  <c r="D2510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6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65" i="1"/>
  <c r="D2464" i="1"/>
  <c r="D2463" i="1"/>
  <c r="D2462" i="1"/>
  <c r="D2461" i="1"/>
  <c r="D2460" i="1"/>
  <c r="D2459" i="1"/>
  <c r="D2458" i="1"/>
  <c r="D2457" i="1"/>
  <c r="D2456" i="1"/>
  <c r="D2455" i="1"/>
  <c r="D2454" i="1"/>
  <c r="D2453" i="1"/>
  <c r="D2452" i="1"/>
  <c r="D2451" i="1"/>
  <c r="D2450" i="1"/>
  <c r="D2449" i="1"/>
  <c r="D2448" i="1"/>
  <c r="D2447" i="1"/>
  <c r="D2446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6" i="1"/>
  <c r="D2405" i="1"/>
  <c r="D2404" i="1"/>
  <c r="D2403" i="1"/>
  <c r="D2402" i="1"/>
  <c r="D2401" i="1"/>
  <c r="D2400" i="1"/>
  <c r="D2399" i="1"/>
  <c r="D2398" i="1"/>
  <c r="D2397" i="1"/>
  <c r="D2396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6" i="1"/>
  <c r="D2375" i="1"/>
  <c r="D2374" i="1"/>
  <c r="D2373" i="1"/>
  <c r="D2372" i="1"/>
  <c r="D2371" i="1"/>
  <c r="D2369" i="1"/>
  <c r="D2368" i="1"/>
  <c r="D2367" i="1"/>
  <c r="D2366" i="1"/>
  <c r="D2365" i="1"/>
  <c r="D2364" i="1"/>
  <c r="D2363" i="1"/>
  <c r="D2362" i="1"/>
  <c r="D2361" i="1"/>
  <c r="D2360" i="1"/>
  <c r="D2359" i="1"/>
  <c r="D2358" i="1"/>
  <c r="D2357" i="1"/>
  <c r="D2356" i="1"/>
  <c r="D2355" i="1"/>
  <c r="D2354" i="1"/>
  <c r="D2353" i="1"/>
  <c r="D2352" i="1"/>
  <c r="D2351" i="1"/>
  <c r="D2350" i="1"/>
  <c r="D2349" i="1"/>
  <c r="D2348" i="1"/>
  <c r="D2347" i="1"/>
  <c r="D2346" i="1"/>
  <c r="D2345" i="1"/>
  <c r="D2344" i="1"/>
  <c r="D2343" i="1"/>
  <c r="D2342" i="1"/>
  <c r="D2341" i="1"/>
  <c r="D2340" i="1"/>
  <c r="D2339" i="1"/>
  <c r="D2338" i="1"/>
  <c r="D2337" i="1"/>
  <c r="D2336" i="1"/>
  <c r="D2335" i="1"/>
  <c r="D2334" i="1"/>
  <c r="D2333" i="1"/>
  <c r="D2332" i="1"/>
  <c r="D2331" i="1"/>
  <c r="D2330" i="1"/>
  <c r="D2329" i="1"/>
  <c r="D2328" i="1"/>
  <c r="D2327" i="1"/>
  <c r="D2326" i="1"/>
  <c r="D2325" i="1"/>
  <c r="D2324" i="1"/>
  <c r="D2323" i="1"/>
  <c r="D2322" i="1"/>
  <c r="D2321" i="1"/>
  <c r="D2320" i="1"/>
  <c r="D2319" i="1"/>
  <c r="D2318" i="1"/>
  <c r="D2317" i="1"/>
  <c r="D2316" i="1"/>
  <c r="D2315" i="1"/>
  <c r="D2314" i="1"/>
  <c r="D2313" i="1"/>
  <c r="D2312" i="1"/>
  <c r="D2311" i="1"/>
  <c r="D2310" i="1"/>
  <c r="D2309" i="1"/>
  <c r="D2308" i="1"/>
  <c r="D2307" i="1"/>
  <c r="D2306" i="1"/>
  <c r="D2305" i="1"/>
  <c r="D2304" i="1"/>
  <c r="D2303" i="1"/>
  <c r="D2302" i="1"/>
  <c r="D2301" i="1"/>
  <c r="D2300" i="1"/>
  <c r="D2299" i="1"/>
  <c r="D2298" i="1"/>
  <c r="D2297" i="1"/>
  <c r="D2296" i="1"/>
  <c r="D2295" i="1"/>
  <c r="D2294" i="1"/>
  <c r="D2293" i="1"/>
  <c r="D2292" i="1"/>
  <c r="D2291" i="1"/>
  <c r="D2290" i="1"/>
  <c r="D2289" i="1"/>
  <c r="D2288" i="1"/>
  <c r="D2287" i="1"/>
  <c r="D2286" i="1"/>
  <c r="D2285" i="1"/>
  <c r="D2284" i="1"/>
  <c r="D2283" i="1"/>
  <c r="D2282" i="1"/>
  <c r="D2281" i="1"/>
  <c r="D2280" i="1"/>
  <c r="D2279" i="1"/>
  <c r="D2278" i="1"/>
  <c r="D2277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3" i="1"/>
  <c r="D2262" i="1"/>
  <c r="D2261" i="1"/>
  <c r="D2260" i="1"/>
  <c r="D2259" i="1"/>
  <c r="D2258" i="1"/>
  <c r="D2257" i="1"/>
  <c r="D2256" i="1"/>
  <c r="D2255" i="1"/>
  <c r="D2254" i="1"/>
  <c r="D2253" i="1"/>
  <c r="D2252" i="1"/>
  <c r="D2251" i="1"/>
  <c r="D2250" i="1"/>
  <c r="D2249" i="1"/>
  <c r="D2248" i="1"/>
  <c r="D2247" i="1"/>
  <c r="D2246" i="1"/>
  <c r="D2245" i="1"/>
  <c r="D2244" i="1"/>
  <c r="D2243" i="1"/>
  <c r="D2242" i="1"/>
  <c r="D2241" i="1"/>
  <c r="D2240" i="1"/>
  <c r="D2239" i="1"/>
  <c r="D2238" i="1"/>
  <c r="D2237" i="1"/>
  <c r="D2236" i="1"/>
  <c r="D2235" i="1"/>
  <c r="D2233" i="1"/>
  <c r="D2232" i="1"/>
  <c r="D2231" i="1"/>
  <c r="D2230" i="1"/>
  <c r="D2229" i="1"/>
  <c r="D2228" i="1"/>
  <c r="D2227" i="1"/>
  <c r="D2226" i="1"/>
  <c r="D2225" i="1"/>
  <c r="D2224" i="1"/>
  <c r="D2223" i="1"/>
  <c r="D2222" i="1"/>
  <c r="D2221" i="1"/>
  <c r="D2220" i="1"/>
  <c r="D2219" i="1"/>
  <c r="D2218" i="1"/>
  <c r="D2217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8" i="1"/>
  <c r="D218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67" i="1"/>
  <c r="D2166" i="1"/>
  <c r="D2165" i="1"/>
  <c r="D2164" i="1"/>
  <c r="D2163" i="1"/>
  <c r="D2162" i="1"/>
  <c r="D2161" i="1"/>
  <c r="D2160" i="1"/>
  <c r="D2159" i="1"/>
  <c r="D2158" i="1"/>
  <c r="D2157" i="1"/>
  <c r="D2156" i="1"/>
  <c r="D2155" i="1"/>
  <c r="D2154" i="1"/>
  <c r="D2153" i="1"/>
  <c r="D2152" i="1"/>
  <c r="D2151" i="1"/>
  <c r="D2150" i="1"/>
  <c r="D2149" i="1"/>
  <c r="D2148" i="1"/>
  <c r="D2147" i="1"/>
  <c r="D2146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29" i="1"/>
  <c r="D2128" i="1"/>
  <c r="D2127" i="1"/>
  <c r="D2126" i="1"/>
  <c r="D2125" i="1"/>
  <c r="D2124" i="1"/>
  <c r="D2123" i="1"/>
  <c r="D2122" i="1"/>
  <c r="D2121" i="1"/>
  <c r="D2120" i="1"/>
  <c r="D2119" i="1"/>
  <c r="D2118" i="1"/>
  <c r="D2117" i="1"/>
  <c r="D2116" i="1"/>
  <c r="D2114" i="1"/>
  <c r="D2113" i="1"/>
  <c r="D2110" i="1"/>
  <c r="D2109" i="1"/>
  <c r="D2108" i="1"/>
  <c r="D2107" i="1"/>
  <c r="D2105" i="1"/>
  <c r="D2104" i="1"/>
  <c r="D2103" i="1"/>
  <c r="D2102" i="1"/>
  <c r="D2101" i="1"/>
  <c r="D2100" i="1"/>
  <c r="D2099" i="1"/>
  <c r="D2098" i="1"/>
  <c r="D2097" i="1"/>
  <c r="D2096" i="1"/>
  <c r="D2095" i="1"/>
  <c r="D2094" i="1"/>
  <c r="D2093" i="1"/>
  <c r="D2092" i="1"/>
  <c r="D2091" i="1"/>
  <c r="D2090" i="1"/>
  <c r="D2089" i="1"/>
  <c r="D2088" i="1"/>
  <c r="D2087" i="1"/>
  <c r="D2086" i="1"/>
  <c r="D2085" i="1"/>
  <c r="D2084" i="1"/>
  <c r="D2083" i="1"/>
  <c r="D2082" i="1"/>
  <c r="D2081" i="1"/>
  <c r="D2080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4" i="1"/>
  <c r="D2061" i="1"/>
  <c r="D2057" i="1" l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2005" i="1"/>
  <c r="D2004" i="1"/>
  <c r="D2003" i="1"/>
  <c r="D2002" i="1"/>
  <c r="D2001" i="1"/>
  <c r="D2000" i="1"/>
  <c r="D1999" i="1"/>
  <c r="D1998" i="1"/>
  <c r="D1997" i="1"/>
  <c r="D1996" i="1"/>
  <c r="D1995" i="1"/>
  <c r="D1994" i="1"/>
  <c r="D1993" i="1"/>
  <c r="D1992" i="1"/>
  <c r="D1991" i="1"/>
  <c r="D1990" i="1"/>
  <c r="D1989" i="1"/>
  <c r="D1988" i="1"/>
  <c r="D1987" i="1"/>
  <c r="D1986" i="1"/>
  <c r="D1985" i="1"/>
  <c r="D1984" i="1"/>
  <c r="D1983" i="1"/>
  <c r="D1982" i="1"/>
  <c r="D1981" i="1"/>
  <c r="D1980" i="1"/>
  <c r="D1979" i="1"/>
  <c r="D1978" i="1"/>
  <c r="D1977" i="1"/>
  <c r="D1976" i="1"/>
  <c r="D1975" i="1"/>
  <c r="D1974" i="1"/>
  <c r="D1973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7" i="1"/>
  <c r="D1956" i="1"/>
  <c r="D1955" i="1"/>
  <c r="D1954" i="1"/>
  <c r="D1953" i="1"/>
  <c r="D1952" i="1"/>
  <c r="D1951" i="1"/>
  <c r="D1950" i="1"/>
  <c r="D1949" i="1"/>
  <c r="D1948" i="1"/>
  <c r="D1947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1" i="1"/>
  <c r="D1930" i="1"/>
  <c r="D1929" i="1"/>
  <c r="D1927" i="1"/>
  <c r="D1926" i="1"/>
  <c r="D1925" i="1"/>
  <c r="D1924" i="1"/>
  <c r="D1923" i="1"/>
  <c r="D1922" i="1"/>
  <c r="D1921" i="1"/>
  <c r="D1920" i="1"/>
  <c r="D1919" i="1"/>
  <c r="D1918" i="1"/>
  <c r="D1917" i="1"/>
  <c r="D1916" i="1"/>
  <c r="D1915" i="1"/>
  <c r="D1914" i="1"/>
  <c r="D1913" i="1"/>
  <c r="D1912" i="1"/>
  <c r="D1911" i="1"/>
  <c r="D1910" i="1"/>
  <c r="D1909" i="1"/>
  <c r="D1908" i="1"/>
  <c r="D1907" i="1"/>
  <c r="D1906" i="1"/>
  <c r="D1905" i="1"/>
  <c r="D1904" i="1"/>
  <c r="D1903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90" i="1"/>
  <c r="D1889" i="1"/>
  <c r="D1888" i="1"/>
  <c r="D1887" i="1"/>
  <c r="D1886" i="1"/>
  <c r="D1885" i="1"/>
  <c r="D1884" i="1"/>
  <c r="D1883" i="1"/>
  <c r="D1882" i="1"/>
  <c r="D1881" i="1"/>
  <c r="D1880" i="1"/>
  <c r="D1879" i="1"/>
  <c r="D1878" i="1"/>
  <c r="D1877" i="1"/>
  <c r="D1876" i="1"/>
  <c r="D1875" i="1"/>
  <c r="D1874" i="1"/>
  <c r="D1873" i="1"/>
  <c r="D1872" i="1"/>
  <c r="D1871" i="1"/>
  <c r="D1870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6" i="1"/>
  <c r="D1855" i="1"/>
  <c r="D1854" i="1"/>
  <c r="D1853" i="1"/>
  <c r="D1852" i="1"/>
  <c r="D1851" i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7" i="1"/>
  <c r="D1806" i="1"/>
  <c r="D1805" i="1"/>
  <c r="D1804" i="1"/>
  <c r="D1803" i="1"/>
  <c r="D1802" i="1"/>
  <c r="D1801" i="1"/>
  <c r="D1800" i="1"/>
  <c r="D1799" i="1"/>
  <c r="D1798" i="1"/>
  <c r="D1797" i="1"/>
  <c r="D1796" i="1"/>
  <c r="D1795" i="1"/>
  <c r="D1794" i="1"/>
  <c r="D1793" i="1"/>
  <c r="D1792" i="1"/>
  <c r="D1791" i="1"/>
  <c r="D1790" i="1"/>
  <c r="D1789" i="1"/>
  <c r="D1788" i="1"/>
  <c r="D1787" i="1"/>
  <c r="D1786" i="1"/>
  <c r="D1785" i="1"/>
  <c r="D1784" i="1"/>
  <c r="D1783" i="1"/>
  <c r="D1782" i="1"/>
  <c r="D1781" i="1"/>
  <c r="D1780" i="1"/>
  <c r="D1778" i="1"/>
  <c r="D1777" i="1"/>
  <c r="D1776" i="1"/>
  <c r="D1775" i="1"/>
  <c r="D1774" i="1"/>
  <c r="D1773" i="1"/>
  <c r="D1772" i="1"/>
  <c r="D1771" i="1"/>
  <c r="D1770" i="1"/>
  <c r="D1769" i="1"/>
  <c r="D1768" i="1"/>
  <c r="D1767" i="1"/>
  <c r="D1766" i="1"/>
  <c r="D1765" i="1"/>
  <c r="D1764" i="1"/>
  <c r="D1763" i="1"/>
  <c r="D1762" i="1"/>
  <c r="D1761" i="1"/>
  <c r="D1760" i="1"/>
  <c r="D1759" i="1"/>
  <c r="D1758" i="1"/>
  <c r="D1757" i="1"/>
  <c r="D1756" i="1"/>
  <c r="D1755" i="1"/>
  <c r="D1754" i="1"/>
  <c r="D1753" i="1"/>
  <c r="D1752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9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3" i="1"/>
  <c r="D1722" i="1"/>
  <c r="D1721" i="1"/>
  <c r="D1720" i="1"/>
  <c r="D1718" i="1"/>
  <c r="D1716" i="1"/>
  <c r="D1715" i="1"/>
  <c r="D1714" i="1"/>
  <c r="D1713" i="1"/>
  <c r="D1712" i="1"/>
  <c r="D1711" i="1"/>
  <c r="D1710" i="1"/>
  <c r="D1709" i="1"/>
  <c r="D1708" i="1"/>
  <c r="D1707" i="1"/>
  <c r="D1706" i="1"/>
  <c r="D1705" i="1"/>
  <c r="D1704" i="1"/>
  <c r="D1703" i="1"/>
  <c r="D1702" i="1"/>
  <c r="D1701" i="1"/>
  <c r="D1700" i="1"/>
  <c r="D1699" i="1"/>
  <c r="D1698" i="1"/>
  <c r="D1697" i="1"/>
  <c r="D1696" i="1"/>
  <c r="D1695" i="1"/>
  <c r="D1694" i="1"/>
  <c r="D1693" i="1"/>
  <c r="D1692" i="1"/>
  <c r="D1691" i="1"/>
  <c r="D1690" i="1"/>
  <c r="D1689" i="1"/>
  <c r="D1688" i="1"/>
  <c r="D1687" i="1"/>
  <c r="D1686" i="1"/>
  <c r="D1683" i="1"/>
  <c r="D1680" i="1" l="1"/>
  <c r="D1679" i="1"/>
  <c r="D1678" i="1"/>
  <c r="D1676" i="1"/>
  <c r="D1675" i="1"/>
  <c r="D1674" i="1"/>
  <c r="D1673" i="1"/>
  <c r="D1672" i="1"/>
  <c r="D1671" i="1"/>
  <c r="D1670" i="1"/>
  <c r="D1669" i="1"/>
  <c r="D1668" i="1"/>
  <c r="D1667" i="1"/>
  <c r="D1665" i="1"/>
  <c r="D1664" i="1"/>
  <c r="D1663" i="1"/>
  <c r="D1662" i="1"/>
  <c r="D1661" i="1"/>
  <c r="D1660" i="1"/>
  <c r="D1659" i="1"/>
  <c r="D1658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27" i="1"/>
  <c r="D1626" i="1"/>
  <c r="D1625" i="1"/>
  <c r="D1624" i="1"/>
  <c r="D1623" i="1"/>
  <c r="D1622" i="1"/>
  <c r="D1621" i="1"/>
  <c r="D1620" i="1"/>
  <c r="D1619" i="1"/>
  <c r="D1618" i="1"/>
  <c r="D1617" i="1"/>
  <c r="D1616" i="1"/>
  <c r="D1615" i="1"/>
  <c r="D1614" i="1"/>
  <c r="D1613" i="1"/>
  <c r="D1612" i="1"/>
  <c r="D1611" i="1"/>
  <c r="D1610" i="1"/>
  <c r="D1609" i="1"/>
  <c r="D1608" i="1"/>
  <c r="D1607" i="1"/>
  <c r="D1606" i="1"/>
  <c r="D1605" i="1"/>
  <c r="D1604" i="1"/>
  <c r="D1603" i="1"/>
  <c r="D1602" i="1"/>
  <c r="D1601" i="1"/>
  <c r="D1600" i="1"/>
  <c r="D1599" i="1"/>
  <c r="D1598" i="1"/>
  <c r="D1597" i="1"/>
  <c r="D1596" i="1"/>
  <c r="D1595" i="1"/>
  <c r="D1594" i="1"/>
  <c r="D1593" i="1"/>
  <c r="D1592" i="1"/>
  <c r="D1591" i="1"/>
  <c r="D1590" i="1"/>
  <c r="D1589" i="1"/>
  <c r="D1588" i="1"/>
  <c r="D1587" i="1"/>
  <c r="D1586" i="1"/>
  <c r="D1585" i="1"/>
  <c r="D1584" i="1"/>
  <c r="D1583" i="1"/>
  <c r="D1582" i="1"/>
  <c r="D1581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6" i="1"/>
  <c r="D1565" i="1"/>
  <c r="D1564" i="1"/>
  <c r="D1563" i="1"/>
  <c r="D1562" i="1"/>
  <c r="D1561" i="1"/>
  <c r="D1560" i="1"/>
  <c r="D1559" i="1"/>
  <c r="D1558" i="1"/>
  <c r="D1557" i="1"/>
  <c r="D1556" i="1"/>
  <c r="D1555" i="1"/>
  <c r="D1554" i="1"/>
  <c r="D1553" i="1"/>
  <c r="D1552" i="1"/>
  <c r="D1551" i="1"/>
  <c r="D1550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2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5" i="1"/>
  <c r="D1504" i="1"/>
  <c r="D1503" i="1"/>
  <c r="D1502" i="1"/>
  <c r="D1501" i="1"/>
  <c r="D1500" i="1"/>
  <c r="D1499" i="1"/>
  <c r="D1498" i="1"/>
  <c r="D1497" i="1"/>
  <c r="D1496" i="1"/>
  <c r="D1494" i="1"/>
  <c r="D1493" i="1"/>
  <c r="D1492" i="1"/>
  <c r="D1491" i="1"/>
  <c r="D1490" i="1"/>
  <c r="D1489" i="1"/>
  <c r="D1488" i="1"/>
  <c r="D1487" i="1"/>
  <c r="D1486" i="1"/>
  <c r="D1485" i="1"/>
  <c r="D1484" i="1"/>
  <c r="D1483" i="1"/>
  <c r="D1482" i="1"/>
  <c r="D1481" i="1"/>
  <c r="D1480" i="1"/>
  <c r="D1479" i="1"/>
  <c r="D1478" i="1"/>
  <c r="D1477" i="1"/>
  <c r="D1476" i="1"/>
  <c r="D1475" i="1"/>
  <c r="D1474" i="1"/>
  <c r="D1473" i="1"/>
  <c r="D1472" i="1"/>
  <c r="D1471" i="1"/>
  <c r="D1470" i="1"/>
  <c r="D1469" i="1"/>
  <c r="D1468" i="1"/>
  <c r="D1467" i="1"/>
  <c r="D1466" i="1"/>
  <c r="D1465" i="1"/>
  <c r="D1464" i="1"/>
  <c r="D1463" i="1"/>
  <c r="D1462" i="1"/>
  <c r="D1461" i="1"/>
  <c r="D1460" i="1"/>
  <c r="D1459" i="1"/>
  <c r="D1458" i="1"/>
  <c r="D1457" i="1"/>
  <c r="D1456" i="1"/>
  <c r="D1455" i="1"/>
  <c r="D1454" i="1"/>
  <c r="D1453" i="1"/>
  <c r="D1452" i="1"/>
  <c r="D1451" i="1"/>
  <c r="D1450" i="1"/>
  <c r="D1449" i="1"/>
  <c r="D1448" i="1"/>
  <c r="D1447" i="1"/>
  <c r="D1446" i="1"/>
  <c r="D1445" i="1"/>
  <c r="D1444" i="1"/>
  <c r="D1443" i="1"/>
  <c r="D1442" i="1"/>
  <c r="D1441" i="1"/>
  <c r="D1440" i="1"/>
  <c r="D1439" i="1"/>
  <c r="D1438" i="1"/>
  <c r="D1437" i="1"/>
  <c r="D1436" i="1"/>
  <c r="D1435" i="1"/>
  <c r="D1434" i="1"/>
  <c r="D1433" i="1"/>
  <c r="D1432" i="1"/>
  <c r="D1431" i="1"/>
  <c r="D1430" i="1"/>
  <c r="D1429" i="1"/>
  <c r="D1428" i="1"/>
  <c r="D1427" i="1"/>
  <c r="D1426" i="1"/>
  <c r="D1425" i="1"/>
  <c r="D1424" i="1"/>
  <c r="D1423" i="1"/>
  <c r="D1422" i="1"/>
  <c r="D1421" i="1"/>
  <c r="D1420" i="1"/>
  <c r="D1419" i="1"/>
  <c r="D1418" i="1"/>
  <c r="D1417" i="1"/>
  <c r="D1416" i="1"/>
  <c r="D1415" i="1"/>
  <c r="D1414" i="1"/>
  <c r="D1413" i="1"/>
  <c r="D1412" i="1"/>
  <c r="D1411" i="1"/>
  <c r="D1410" i="1"/>
  <c r="D1409" i="1"/>
  <c r="D1408" i="1"/>
  <c r="D1407" i="1"/>
  <c r="D1406" i="1"/>
  <c r="D1405" i="1"/>
  <c r="D1404" i="1"/>
  <c r="D1403" i="1"/>
  <c r="D1402" i="1"/>
  <c r="D1401" i="1"/>
  <c r="D1400" i="1"/>
  <c r="D1399" i="1"/>
  <c r="D1398" i="1"/>
  <c r="D1397" i="1"/>
  <c r="D1396" i="1"/>
  <c r="D1395" i="1"/>
  <c r="D1394" i="1"/>
  <c r="D1393" i="1"/>
  <c r="D1392" i="1"/>
  <c r="D1391" i="1"/>
  <c r="D1390" i="1"/>
  <c r="D1389" i="1"/>
  <c r="D1388" i="1"/>
  <c r="D1387" i="1"/>
  <c r="D1386" i="1"/>
  <c r="D1385" i="1"/>
  <c r="D1384" i="1"/>
  <c r="D1383" i="1"/>
  <c r="D1382" i="1"/>
  <c r="D1381" i="1"/>
  <c r="D1380" i="1"/>
  <c r="D1379" i="1"/>
  <c r="D1378" i="1"/>
  <c r="D1377" i="1"/>
  <c r="D1376" i="1"/>
  <c r="D1375" i="1"/>
  <c r="D1373" i="1"/>
  <c r="D1372" i="1"/>
  <c r="D1371" i="1"/>
  <c r="D1370" i="1"/>
  <c r="D1369" i="1"/>
  <c r="D1368" i="1"/>
  <c r="D1367" i="1"/>
  <c r="D1365" i="1"/>
  <c r="D1364" i="1"/>
  <c r="D1363" i="1"/>
  <c r="D1362" i="1"/>
  <c r="D1361" i="1"/>
  <c r="D1360" i="1"/>
  <c r="D1359" i="1"/>
  <c r="D1358" i="1"/>
  <c r="D1357" i="1"/>
  <c r="D1356" i="1"/>
  <c r="D1355" i="1"/>
  <c r="D1354" i="1"/>
  <c r="D1353" i="1"/>
  <c r="D1352" i="1"/>
  <c r="D1351" i="1"/>
  <c r="D1350" i="1"/>
  <c r="D1349" i="1"/>
  <c r="D1348" i="1"/>
  <c r="D1347" i="1"/>
  <c r="D1346" i="1"/>
  <c r="D1345" i="1"/>
  <c r="D1344" i="1"/>
  <c r="D1343" i="1"/>
  <c r="D1342" i="1"/>
  <c r="D1341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21" i="1"/>
  <c r="D1320" i="1"/>
  <c r="D1319" i="1"/>
  <c r="D1318" i="1"/>
  <c r="D1317" i="1"/>
  <c r="D1316" i="1"/>
  <c r="D1315" i="1"/>
  <c r="D1314" i="1"/>
  <c r="D1313" i="1"/>
  <c r="D1312" i="1"/>
  <c r="D1311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79" i="1"/>
  <c r="D1278" i="1"/>
  <c r="D1277" i="1"/>
  <c r="D1276" i="1"/>
  <c r="D1275" i="1"/>
  <c r="D1274" i="1"/>
  <c r="D1273" i="1"/>
  <c r="D1272" i="1"/>
  <c r="D1271" i="1"/>
  <c r="D1270" i="1"/>
  <c r="D1269" i="1"/>
  <c r="D1268" i="1"/>
  <c r="D1267" i="1"/>
  <c r="D1266" i="1"/>
  <c r="D1265" i="1"/>
  <c r="D1264" i="1"/>
  <c r="D1263" i="1"/>
  <c r="D1261" i="1"/>
  <c r="D1260" i="1"/>
  <c r="D1259" i="1"/>
  <c r="D1258" i="1"/>
  <c r="D1257" i="1"/>
  <c r="D1255" i="1"/>
  <c r="D1253" i="1"/>
  <c r="D1251" i="1"/>
  <c r="D1250" i="1"/>
  <c r="D1249" i="1"/>
  <c r="D1248" i="1"/>
  <c r="D1247" i="1"/>
  <c r="D1246" i="1"/>
  <c r="D1245" i="1"/>
  <c r="D1244" i="1"/>
  <c r="D1243" i="1"/>
  <c r="D1242" i="1"/>
  <c r="D1241" i="1"/>
  <c r="D1240" i="1"/>
  <c r="D1239" i="1"/>
  <c r="D1238" i="1"/>
  <c r="D1237" i="1"/>
  <c r="D1236" i="1"/>
  <c r="D1235" i="1"/>
  <c r="D1234" i="1"/>
  <c r="D1233" i="1"/>
  <c r="D1232" i="1"/>
  <c r="D1231" i="1"/>
  <c r="D1230" i="1"/>
  <c r="D1229" i="1"/>
  <c r="D1228" i="1"/>
  <c r="D1227" i="1"/>
  <c r="D1226" i="1"/>
  <c r="D1225" i="1"/>
  <c r="D1224" i="1"/>
  <c r="D1223" i="1"/>
  <c r="D1222" i="1"/>
  <c r="D1221" i="1"/>
  <c r="D1220" i="1"/>
  <c r="D1219" i="1"/>
  <c r="D1218" i="1"/>
  <c r="D1217" i="1"/>
  <c r="D1216" i="1"/>
  <c r="D1214" i="1"/>
  <c r="D1212" i="1"/>
  <c r="D1211" i="1"/>
  <c r="D1209" i="1"/>
  <c r="D1208" i="1"/>
  <c r="D1207" i="1"/>
  <c r="D1203" i="1"/>
  <c r="D1201" i="1"/>
  <c r="D1198" i="1" l="1"/>
  <c r="D1196" i="1"/>
  <c r="D1195" i="1"/>
  <c r="D1194" i="1"/>
  <c r="D1193" i="1"/>
  <c r="D1192" i="1"/>
  <c r="D1191" i="1"/>
  <c r="D1190" i="1"/>
  <c r="D1189" i="1"/>
  <c r="D1188" i="1"/>
  <c r="D1187" i="1"/>
  <c r="D1186" i="1"/>
  <c r="D1185" i="1"/>
  <c r="D1184" i="1"/>
  <c r="D1183" i="1"/>
  <c r="D1182" i="1"/>
  <c r="D1181" i="1"/>
  <c r="D1180" i="1"/>
  <c r="D1179" i="1"/>
  <c r="D1178" i="1"/>
  <c r="D1177" i="1"/>
  <c r="D1176" i="1"/>
  <c r="D1175" i="1"/>
  <c r="D1174" i="1"/>
  <c r="D1173" i="1"/>
  <c r="D1172" i="1"/>
  <c r="D1171" i="1"/>
  <c r="D1170" i="1"/>
  <c r="D1169" i="1"/>
  <c r="D1168" i="1"/>
  <c r="D1167" i="1"/>
  <c r="D1166" i="1"/>
  <c r="D1164" i="1"/>
  <c r="D1163" i="1"/>
  <c r="D1162" i="1"/>
  <c r="D1161" i="1"/>
  <c r="D1160" i="1"/>
  <c r="D1159" i="1"/>
  <c r="D1158" i="1"/>
  <c r="D1157" i="1"/>
  <c r="D1156" i="1"/>
  <c r="D1154" i="1"/>
  <c r="D1153" i="1"/>
  <c r="D1151" i="1"/>
  <c r="D1149" i="1"/>
  <c r="D1148" i="1"/>
  <c r="D1147" i="1"/>
  <c r="D1144" i="1"/>
  <c r="D1143" i="1"/>
  <c r="D1140" i="1" l="1"/>
  <c r="D1136" i="1"/>
  <c r="D1135" i="1"/>
  <c r="D1134" i="1"/>
  <c r="D1133" i="1"/>
  <c r="D1132" i="1"/>
  <c r="D1131" i="1"/>
  <c r="D1130" i="1"/>
  <c r="D1129" i="1"/>
  <c r="D1128" i="1"/>
  <c r="D1127" i="1"/>
  <c r="D1126" i="1"/>
  <c r="D1125" i="1"/>
  <c r="D1124" i="1"/>
  <c r="D1123" i="1"/>
  <c r="D1122" i="1"/>
  <c r="D1121" i="1"/>
  <c r="D1120" i="1"/>
  <c r="D1119" i="1"/>
  <c r="D1118" i="1"/>
  <c r="D1117" i="1"/>
  <c r="D1116" i="1"/>
  <c r="D1115" i="1"/>
  <c r="D1114" i="1"/>
  <c r="D1113" i="1"/>
  <c r="D1112" i="1"/>
  <c r="D1111" i="1"/>
  <c r="D1110" i="1"/>
  <c r="D1109" i="1"/>
  <c r="D1108" i="1"/>
  <c r="D1107" i="1"/>
  <c r="D1106" i="1"/>
  <c r="D1105" i="1"/>
  <c r="D1104" i="1"/>
  <c r="D1103" i="1"/>
  <c r="D1102" i="1"/>
  <c r="D1101" i="1"/>
  <c r="D1100" i="1"/>
  <c r="D1099" i="1"/>
  <c r="D1098" i="1"/>
  <c r="D1097" i="1"/>
  <c r="D1096" i="1"/>
  <c r="D1095" i="1"/>
  <c r="D1094" i="1"/>
  <c r="D1093" i="1"/>
  <c r="D1092" i="1"/>
  <c r="D1091" i="1"/>
  <c r="D1090" i="1"/>
  <c r="D1089" i="1"/>
  <c r="D1088" i="1"/>
  <c r="D1087" i="1"/>
  <c r="D1086" i="1"/>
  <c r="D1085" i="1"/>
  <c r="D1084" i="1"/>
  <c r="D1083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70" i="1"/>
  <c r="D1069" i="1"/>
  <c r="D1068" i="1"/>
  <c r="D1067" i="1"/>
  <c r="D1066" i="1"/>
  <c r="D1065" i="1"/>
  <c r="D1064" i="1"/>
  <c r="D1063" i="1"/>
  <c r="D1062" i="1"/>
  <c r="D1061" i="1"/>
  <c r="D1060" i="1"/>
  <c r="D1059" i="1"/>
  <c r="D1058" i="1"/>
  <c r="D1057" i="1"/>
  <c r="D1056" i="1"/>
  <c r="D1055" i="1"/>
  <c r="D1054" i="1"/>
  <c r="D1053" i="1"/>
  <c r="D1052" i="1"/>
  <c r="D1051" i="1"/>
  <c r="D1050" i="1"/>
  <c r="D1049" i="1"/>
  <c r="D1048" i="1"/>
  <c r="D1047" i="1"/>
  <c r="D1046" i="1"/>
  <c r="D1045" i="1"/>
  <c r="D1044" i="1"/>
  <c r="D1043" i="1"/>
  <c r="D1042" i="1"/>
  <c r="D1040" i="1"/>
  <c r="D1039" i="1"/>
  <c r="D1038" i="1"/>
  <c r="D1037" i="1"/>
  <c r="D1036" i="1"/>
  <c r="D1035" i="1"/>
  <c r="D1034" i="1"/>
  <c r="D1033" i="1"/>
  <c r="D1032" i="1"/>
  <c r="D1031" i="1"/>
  <c r="D1030" i="1"/>
  <c r="D1029" i="1"/>
  <c r="D1028" i="1"/>
  <c r="D1027" i="1"/>
  <c r="D1026" i="1"/>
  <c r="D1025" i="1"/>
  <c r="D1024" i="1"/>
  <c r="D1023" i="1"/>
  <c r="D1022" i="1"/>
  <c r="D1021" i="1"/>
  <c r="D1020" i="1"/>
  <c r="D1019" i="1"/>
  <c r="D1018" i="1"/>
  <c r="D1017" i="1"/>
  <c r="D1016" i="1"/>
  <c r="D1015" i="1"/>
  <c r="D1014" i="1"/>
  <c r="D1013" i="1"/>
  <c r="D1012" i="1"/>
  <c r="D1011" i="1"/>
  <c r="D1010" i="1"/>
  <c r="D1009" i="1"/>
  <c r="D1008" i="1"/>
  <c r="D1007" i="1"/>
  <c r="D1006" i="1"/>
  <c r="D1005" i="1"/>
  <c r="D1004" i="1"/>
  <c r="D1003" i="1"/>
  <c r="D1002" i="1"/>
  <c r="D1001" i="1"/>
  <c r="D1000" i="1"/>
  <c r="D999" i="1"/>
  <c r="D998" i="1"/>
  <c r="D997" i="1"/>
  <c r="D996" i="1"/>
  <c r="D995" i="1"/>
  <c r="D994" i="1"/>
  <c r="D993" i="1"/>
  <c r="D992" i="1"/>
  <c r="D991" i="1"/>
  <c r="D990" i="1"/>
  <c r="D989" i="1"/>
  <c r="D988" i="1"/>
  <c r="D987" i="1"/>
  <c r="D986" i="1"/>
  <c r="D985" i="1"/>
  <c r="D984" i="1"/>
  <c r="D983" i="1"/>
  <c r="D982" i="1"/>
  <c r="D981" i="1"/>
  <c r="D980" i="1"/>
  <c r="D979" i="1"/>
  <c r="D978" i="1"/>
  <c r="D977" i="1"/>
  <c r="D976" i="1"/>
  <c r="D975" i="1"/>
  <c r="D974" i="1"/>
  <c r="D973" i="1"/>
  <c r="D972" i="1"/>
  <c r="D971" i="1"/>
  <c r="D970" i="1"/>
  <c r="D969" i="1"/>
  <c r="D968" i="1"/>
  <c r="D967" i="1"/>
  <c r="D966" i="1"/>
  <c r="D965" i="1"/>
  <c r="D964" i="1"/>
  <c r="D963" i="1"/>
  <c r="D962" i="1"/>
  <c r="D961" i="1"/>
  <c r="D960" i="1"/>
  <c r="D959" i="1"/>
  <c r="D958" i="1"/>
  <c r="D957" i="1"/>
  <c r="D956" i="1"/>
  <c r="D955" i="1"/>
  <c r="D954" i="1"/>
  <c r="D953" i="1"/>
  <c r="D952" i="1"/>
  <c r="D951" i="1"/>
  <c r="D950" i="1"/>
  <c r="D949" i="1"/>
  <c r="D948" i="1"/>
  <c r="D947" i="1"/>
  <c r="D946" i="1"/>
  <c r="D945" i="1"/>
  <c r="D944" i="1"/>
  <c r="D943" i="1"/>
  <c r="D942" i="1"/>
  <c r="D941" i="1"/>
  <c r="D940" i="1"/>
  <c r="D939" i="1"/>
  <c r="D938" i="1"/>
  <c r="D937" i="1"/>
  <c r="D936" i="1"/>
  <c r="D935" i="1"/>
  <c r="D934" i="1"/>
  <c r="D933" i="1"/>
  <c r="D932" i="1"/>
  <c r="D931" i="1"/>
  <c r="D930" i="1"/>
  <c r="D929" i="1"/>
  <c r="D928" i="1"/>
  <c r="D927" i="1"/>
  <c r="D926" i="1"/>
  <c r="D925" i="1"/>
  <c r="D924" i="1"/>
  <c r="D923" i="1"/>
  <c r="D922" i="1"/>
  <c r="D921" i="1"/>
  <c r="D920" i="1"/>
  <c r="D919" i="1"/>
  <c r="D918" i="1"/>
  <c r="D917" i="1"/>
  <c r="D916" i="1"/>
  <c r="D915" i="1"/>
  <c r="D914" i="1"/>
  <c r="D913" i="1"/>
  <c r="D912" i="1"/>
  <c r="D911" i="1"/>
  <c r="D910" i="1"/>
  <c r="D909" i="1"/>
  <c r="D908" i="1"/>
  <c r="D907" i="1"/>
  <c r="D906" i="1"/>
  <c r="D905" i="1"/>
  <c r="D904" i="1"/>
  <c r="D903" i="1"/>
  <c r="D902" i="1"/>
  <c r="D901" i="1"/>
  <c r="D900" i="1"/>
  <c r="D899" i="1"/>
  <c r="D898" i="1"/>
  <c r="D897" i="1"/>
  <c r="D896" i="1"/>
  <c r="D895" i="1"/>
  <c r="D894" i="1"/>
  <c r="D893" i="1"/>
  <c r="D892" i="1"/>
  <c r="D891" i="1"/>
  <c r="D890" i="1"/>
  <c r="D889" i="1"/>
  <c r="D888" i="1"/>
  <c r="D887" i="1"/>
  <c r="D886" i="1"/>
  <c r="D885" i="1"/>
  <c r="D884" i="1"/>
  <c r="D883" i="1"/>
  <c r="D882" i="1"/>
  <c r="D881" i="1"/>
  <c r="D879" i="1"/>
  <c r="D878" i="1"/>
  <c r="D877" i="1"/>
  <c r="D876" i="1"/>
  <c r="D875" i="1"/>
  <c r="D873" i="1"/>
  <c r="D872" i="1"/>
  <c r="D870" i="1"/>
  <c r="D869" i="1"/>
  <c r="D868" i="1"/>
  <c r="D867" i="1"/>
  <c r="D866" i="1"/>
  <c r="D865" i="1"/>
  <c r="D864" i="1"/>
  <c r="D863" i="1"/>
  <c r="D862" i="1"/>
  <c r="D861" i="1"/>
  <c r="D860" i="1"/>
  <c r="D859" i="1"/>
  <c r="D858" i="1"/>
  <c r="D857" i="1"/>
  <c r="D856" i="1"/>
  <c r="D855" i="1"/>
  <c r="D854" i="1"/>
  <c r="D853" i="1"/>
  <c r="D852" i="1"/>
  <c r="D851" i="1"/>
  <c r="D850" i="1"/>
  <c r="D849" i="1"/>
  <c r="D848" i="1"/>
  <c r="D847" i="1"/>
  <c r="D846" i="1"/>
  <c r="D845" i="1"/>
  <c r="D844" i="1"/>
  <c r="D843" i="1"/>
  <c r="D842" i="1"/>
  <c r="D841" i="1"/>
  <c r="D840" i="1"/>
  <c r="D839" i="1"/>
  <c r="D838" i="1"/>
  <c r="D837" i="1"/>
  <c r="D836" i="1"/>
  <c r="D835" i="1"/>
  <c r="D834" i="1"/>
  <c r="D833" i="1"/>
  <c r="D832" i="1"/>
  <c r="D831" i="1"/>
  <c r="D830" i="1"/>
  <c r="D829" i="1"/>
  <c r="D828" i="1"/>
  <c r="D827" i="1"/>
  <c r="D826" i="1"/>
  <c r="D825" i="1"/>
  <c r="D824" i="1"/>
  <c r="D823" i="1"/>
  <c r="D822" i="1"/>
  <c r="D821" i="1"/>
  <c r="D820" i="1"/>
  <c r="D819" i="1"/>
  <c r="D818" i="1"/>
  <c r="D817" i="1"/>
  <c r="D816" i="1"/>
  <c r="D815" i="1"/>
  <c r="D814" i="1"/>
  <c r="D813" i="1"/>
  <c r="D812" i="1"/>
  <c r="D811" i="1"/>
  <c r="D810" i="1"/>
  <c r="D809" i="1"/>
  <c r="D808" i="1"/>
  <c r="D807" i="1"/>
  <c r="D806" i="1"/>
  <c r="D805" i="1"/>
  <c r="D804" i="1"/>
  <c r="D803" i="1"/>
  <c r="D802" i="1"/>
  <c r="D801" i="1"/>
  <c r="D800" i="1"/>
  <c r="D799" i="1"/>
  <c r="D798" i="1"/>
  <c r="D797" i="1"/>
  <c r="D796" i="1"/>
  <c r="D795" i="1"/>
  <c r="D794" i="1"/>
  <c r="D793" i="1"/>
  <c r="D792" i="1"/>
  <c r="D791" i="1"/>
  <c r="D790" i="1"/>
  <c r="D789" i="1"/>
  <c r="D788" i="1"/>
  <c r="D787" i="1"/>
  <c r="D786" i="1"/>
  <c r="D785" i="1"/>
  <c r="D784" i="1"/>
  <c r="D783" i="1"/>
  <c r="D782" i="1"/>
  <c r="D781" i="1"/>
  <c r="D780" i="1"/>
  <c r="D779" i="1"/>
  <c r="D778" i="1"/>
  <c r="D777" i="1"/>
  <c r="D776" i="1"/>
  <c r="D775" i="1"/>
  <c r="D774" i="1"/>
  <c r="D773" i="1"/>
  <c r="D772" i="1"/>
  <c r="D770" i="1"/>
  <c r="D769" i="1"/>
  <c r="D768" i="1"/>
  <c r="D767" i="1"/>
  <c r="D766" i="1"/>
  <c r="D765" i="1"/>
  <c r="D764" i="1"/>
  <c r="D763" i="1"/>
  <c r="D762" i="1"/>
  <c r="D761" i="1"/>
  <c r="D760" i="1"/>
  <c r="D759" i="1"/>
  <c r="D758" i="1"/>
  <c r="D757" i="1"/>
  <c r="D756" i="1"/>
  <c r="D755" i="1"/>
  <c r="D754" i="1"/>
  <c r="D753" i="1"/>
  <c r="D752" i="1"/>
  <c r="D751" i="1"/>
  <c r="D750" i="1"/>
  <c r="D749" i="1"/>
  <c r="D748" i="1"/>
  <c r="D747" i="1"/>
  <c r="D746" i="1"/>
  <c r="D745" i="1"/>
  <c r="D744" i="1"/>
  <c r="D743" i="1"/>
  <c r="D742" i="1"/>
  <c r="D741" i="1"/>
  <c r="D740" i="1"/>
  <c r="D739" i="1"/>
  <c r="D738" i="1"/>
  <c r="D737" i="1"/>
  <c r="D736" i="1"/>
  <c r="D735" i="1"/>
  <c r="D734" i="1"/>
  <c r="D733" i="1"/>
  <c r="D732" i="1"/>
  <c r="D731" i="1"/>
  <c r="D730" i="1"/>
  <c r="D729" i="1"/>
  <c r="D728" i="1"/>
  <c r="D727" i="1"/>
  <c r="D726" i="1"/>
  <c r="D725" i="1"/>
  <c r="D724" i="1"/>
  <c r="D723" i="1"/>
  <c r="D722" i="1"/>
  <c r="D721" i="1"/>
  <c r="D720" i="1"/>
  <c r="D719" i="1"/>
  <c r="D718" i="1"/>
  <c r="D717" i="1"/>
  <c r="D716" i="1"/>
  <c r="D715" i="1"/>
  <c r="D714" i="1"/>
  <c r="D713" i="1"/>
  <c r="D711" i="1"/>
  <c r="D710" i="1"/>
  <c r="D709" i="1"/>
  <c r="D708" i="1"/>
  <c r="D707" i="1"/>
  <c r="D706" i="1"/>
  <c r="D705" i="1"/>
  <c r="D704" i="1"/>
  <c r="D703" i="1"/>
  <c r="D702" i="1"/>
  <c r="D701" i="1"/>
  <c r="D700" i="1"/>
  <c r="D699" i="1"/>
  <c r="D698" i="1"/>
  <c r="D697" i="1"/>
  <c r="D695" i="1"/>
  <c r="D694" i="1"/>
  <c r="D693" i="1"/>
  <c r="D692" i="1"/>
  <c r="D691" i="1"/>
  <c r="D690" i="1"/>
  <c r="D689" i="1"/>
  <c r="D688" i="1"/>
  <c r="D687" i="1"/>
  <c r="D686" i="1"/>
  <c r="D685" i="1"/>
  <c r="D684" i="1"/>
  <c r="D683" i="1"/>
  <c r="D682" i="1"/>
  <c r="D681" i="1"/>
  <c r="D680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6" i="1"/>
  <c r="D665" i="1"/>
  <c r="D664" i="1"/>
  <c r="D663" i="1"/>
  <c r="D662" i="1"/>
  <c r="D661" i="1"/>
  <c r="D660" i="1"/>
  <c r="D659" i="1"/>
  <c r="D658" i="1"/>
  <c r="D657" i="1"/>
  <c r="D656" i="1"/>
  <c r="D655" i="1"/>
  <c r="D654" i="1"/>
  <c r="D653" i="1"/>
  <c r="D652" i="1"/>
  <c r="D651" i="1"/>
  <c r="D650" i="1"/>
  <c r="D649" i="1"/>
  <c r="D648" i="1"/>
  <c r="D647" i="1"/>
  <c r="D646" i="1"/>
  <c r="D645" i="1"/>
  <c r="D644" i="1"/>
  <c r="D643" i="1"/>
  <c r="D642" i="1"/>
  <c r="D641" i="1"/>
  <c r="D640" i="1"/>
  <c r="D639" i="1"/>
  <c r="D638" i="1"/>
  <c r="D637" i="1"/>
  <c r="D636" i="1"/>
  <c r="D635" i="1"/>
  <c r="D634" i="1"/>
  <c r="D633" i="1"/>
  <c r="D632" i="1"/>
  <c r="D631" i="1"/>
  <c r="D630" i="1"/>
  <c r="D629" i="1"/>
  <c r="D628" i="1"/>
  <c r="D627" i="1"/>
  <c r="D626" i="1"/>
  <c r="D625" i="1"/>
  <c r="D624" i="1"/>
  <c r="D623" i="1"/>
  <c r="D622" i="1"/>
  <c r="D621" i="1"/>
  <c r="D620" i="1"/>
  <c r="D619" i="1"/>
  <c r="D618" i="1"/>
  <c r="D617" i="1"/>
  <c r="D616" i="1"/>
  <c r="D615" i="1"/>
  <c r="D614" i="1"/>
  <c r="D613" i="1"/>
  <c r="D612" i="1"/>
  <c r="D611" i="1"/>
  <c r="D610" i="1"/>
  <c r="D609" i="1"/>
  <c r="D608" i="1"/>
  <c r="D607" i="1"/>
  <c r="D606" i="1"/>
  <c r="D605" i="1"/>
  <c r="D604" i="1"/>
  <c r="D603" i="1"/>
  <c r="D602" i="1"/>
  <c r="D601" i="1"/>
  <c r="D600" i="1"/>
  <c r="D599" i="1"/>
  <c r="D598" i="1"/>
  <c r="D597" i="1"/>
  <c r="D596" i="1"/>
  <c r="D595" i="1"/>
  <c r="D594" i="1"/>
  <c r="D593" i="1"/>
  <c r="D592" i="1"/>
  <c r="D591" i="1"/>
  <c r="D590" i="1"/>
  <c r="D589" i="1"/>
  <c r="D588" i="1"/>
  <c r="D587" i="1"/>
  <c r="D586" i="1"/>
  <c r="D585" i="1"/>
  <c r="D584" i="1"/>
  <c r="D583" i="1"/>
  <c r="D582" i="1"/>
  <c r="D581" i="1"/>
  <c r="D580" i="1"/>
  <c r="D579" i="1"/>
  <c r="D578" i="1"/>
  <c r="D577" i="1"/>
  <c r="D576" i="1"/>
  <c r="D575" i="1"/>
  <c r="D574" i="1"/>
  <c r="D573" i="1"/>
  <c r="D572" i="1"/>
  <c r="D571" i="1"/>
  <c r="D570" i="1"/>
  <c r="D569" i="1"/>
  <c r="D568" i="1"/>
  <c r="D567" i="1"/>
  <c r="D566" i="1"/>
  <c r="D564" i="1"/>
  <c r="D563" i="1"/>
  <c r="D562" i="1"/>
  <c r="D561" i="1"/>
  <c r="D560" i="1"/>
  <c r="D559" i="1"/>
  <c r="D558" i="1"/>
  <c r="D556" i="1"/>
  <c r="D555" i="1"/>
  <c r="D554" i="1"/>
  <c r="D553" i="1"/>
  <c r="D552" i="1"/>
  <c r="D551" i="1"/>
  <c r="D550" i="1"/>
  <c r="D549" i="1"/>
  <c r="D548" i="1"/>
  <c r="D547" i="1"/>
  <c r="D546" i="1"/>
  <c r="D545" i="1"/>
  <c r="D544" i="1"/>
  <c r="D543" i="1"/>
  <c r="D542" i="1"/>
  <c r="D541" i="1"/>
  <c r="D540" i="1"/>
  <c r="D539" i="1"/>
  <c r="D538" i="1"/>
  <c r="D537" i="1"/>
  <c r="D535" i="1"/>
  <c r="D532" i="1"/>
  <c r="D531" i="1"/>
  <c r="D530" i="1"/>
  <c r="D529" i="1"/>
  <c r="D527" i="1"/>
  <c r="D526" i="1"/>
  <c r="D525" i="1"/>
  <c r="D524" i="1"/>
  <c r="D523" i="1"/>
  <c r="D522" i="1"/>
  <c r="D521" i="1"/>
  <c r="D520" i="1"/>
  <c r="D518" i="1"/>
  <c r="D516" i="1"/>
  <c r="D515" i="1"/>
  <c r="D513" i="1"/>
  <c r="D512" i="1"/>
  <c r="D511" i="1"/>
  <c r="D510" i="1"/>
  <c r="D509" i="1"/>
  <c r="D508" i="1"/>
  <c r="D507" i="1"/>
  <c r="D506" i="1"/>
  <c r="D505" i="1"/>
  <c r="D504" i="1"/>
  <c r="D503" i="1"/>
  <c r="D502" i="1"/>
  <c r="D501" i="1"/>
  <c r="D500" i="1"/>
  <c r="D499" i="1"/>
  <c r="D498" i="1"/>
  <c r="D497" i="1"/>
  <c r="D496" i="1"/>
  <c r="D495" i="1"/>
  <c r="D494" i="1"/>
  <c r="D493" i="1"/>
  <c r="D492" i="1"/>
  <c r="D491" i="1"/>
  <c r="D490" i="1"/>
  <c r="D489" i="1"/>
  <c r="D488" i="1"/>
  <c r="D487" i="1"/>
  <c r="D486" i="1"/>
  <c r="D485" i="1"/>
  <c r="D484" i="1"/>
  <c r="D483" i="1"/>
  <c r="D482" i="1"/>
  <c r="D481" i="1"/>
  <c r="D480" i="1"/>
  <c r="D479" i="1"/>
  <c r="D478" i="1"/>
  <c r="D477" i="1"/>
  <c r="D476" i="1"/>
  <c r="D475" i="1"/>
  <c r="D474" i="1"/>
  <c r="D473" i="1"/>
  <c r="D472" i="1"/>
  <c r="D471" i="1"/>
  <c r="D470" i="1"/>
  <c r="D469" i="1"/>
  <c r="D468" i="1"/>
  <c r="D467" i="1"/>
  <c r="D466" i="1"/>
  <c r="D465" i="1"/>
  <c r="D464" i="1"/>
  <c r="D463" i="1"/>
  <c r="D462" i="1"/>
  <c r="D461" i="1"/>
  <c r="D460" i="1"/>
  <c r="D459" i="1"/>
  <c r="D458" i="1"/>
  <c r="D457" i="1"/>
  <c r="D456" i="1"/>
  <c r="D455" i="1"/>
  <c r="D454" i="1"/>
  <c r="D453" i="1"/>
  <c r="D452" i="1"/>
  <c r="D451" i="1"/>
  <c r="D450" i="1"/>
  <c r="D449" i="1"/>
  <c r="D448" i="1"/>
  <c r="D447" i="1"/>
  <c r="D446" i="1"/>
  <c r="D445" i="1"/>
  <c r="D444" i="1"/>
  <c r="D443" i="1"/>
  <c r="D442" i="1"/>
  <c r="D441" i="1"/>
  <c r="D440" i="1"/>
  <c r="D439" i="1"/>
  <c r="D438" i="1"/>
  <c r="D437" i="1"/>
  <c r="D436" i="1"/>
  <c r="D435" i="1"/>
  <c r="D434" i="1"/>
  <c r="D433" i="1"/>
  <c r="D432" i="1"/>
  <c r="D431" i="1"/>
  <c r="D430" i="1"/>
  <c r="D429" i="1"/>
  <c r="D428" i="1"/>
  <c r="D427" i="1"/>
  <c r="D426" i="1"/>
  <c r="D425" i="1"/>
  <c r="D424" i="1"/>
  <c r="D423" i="1"/>
  <c r="D422" i="1"/>
  <c r="D421" i="1"/>
  <c r="D420" i="1"/>
  <c r="D419" i="1"/>
  <c r="D418" i="1"/>
  <c r="D417" i="1"/>
  <c r="D416" i="1"/>
  <c r="D415" i="1"/>
  <c r="D414" i="1"/>
  <c r="D413" i="1"/>
  <c r="D412" i="1"/>
  <c r="D411" i="1"/>
  <c r="D410" i="1"/>
  <c r="D409" i="1"/>
  <c r="D408" i="1"/>
  <c r="D407" i="1"/>
  <c r="D406" i="1"/>
  <c r="D405" i="1"/>
  <c r="D404" i="1"/>
  <c r="D403" i="1"/>
  <c r="D402" i="1"/>
  <c r="D401" i="1"/>
  <c r="D400" i="1"/>
  <c r="D399" i="1"/>
  <c r="D398" i="1"/>
  <c r="D397" i="1"/>
  <c r="D396" i="1"/>
  <c r="D395" i="1"/>
  <c r="D394" i="1"/>
  <c r="D393" i="1"/>
  <c r="D392" i="1"/>
  <c r="D391" i="1"/>
  <c r="D390" i="1"/>
  <c r="D389" i="1"/>
  <c r="D388" i="1"/>
  <c r="D387" i="1"/>
  <c r="D386" i="1"/>
  <c r="D385" i="1"/>
  <c r="D384" i="1"/>
  <c r="D383" i="1"/>
  <c r="D382" i="1"/>
  <c r="D381" i="1"/>
  <c r="D380" i="1"/>
  <c r="D379" i="1"/>
  <c r="D378" i="1"/>
  <c r="D377" i="1"/>
  <c r="D376" i="1"/>
  <c r="D375" i="1"/>
  <c r="D374" i="1"/>
  <c r="D373" i="1"/>
  <c r="D372" i="1"/>
  <c r="D371" i="1"/>
  <c r="D370" i="1"/>
  <c r="D368" i="1"/>
  <c r="D367" i="1"/>
  <c r="D366" i="1"/>
  <c r="D365" i="1"/>
  <c r="D364" i="1"/>
  <c r="D363" i="1"/>
  <c r="D362" i="1"/>
  <c r="D361" i="1"/>
  <c r="D360" i="1"/>
  <c r="D359" i="1"/>
  <c r="D358" i="1"/>
  <c r="D357" i="1"/>
  <c r="D356" i="1"/>
  <c r="D355" i="1"/>
  <c r="D354" i="1"/>
  <c r="D353" i="1"/>
  <c r="D352" i="1"/>
  <c r="D351" i="1"/>
  <c r="D350" i="1"/>
  <c r="D349" i="1"/>
  <c r="D348" i="1"/>
  <c r="D347" i="1"/>
  <c r="D346" i="1"/>
  <c r="D345" i="1"/>
  <c r="D344" i="1"/>
  <c r="D343" i="1"/>
  <c r="D342" i="1"/>
  <c r="D341" i="1"/>
  <c r="D340" i="1"/>
  <c r="D339" i="1"/>
  <c r="D338" i="1"/>
  <c r="D337" i="1"/>
  <c r="D336" i="1"/>
  <c r="D335" i="1"/>
  <c r="D334" i="1"/>
  <c r="D333" i="1"/>
  <c r="D332" i="1"/>
  <c r="D331" i="1"/>
  <c r="D330" i="1"/>
  <c r="D329" i="1"/>
  <c r="D328" i="1"/>
  <c r="D327" i="1"/>
  <c r="D326" i="1"/>
  <c r="D324" i="1"/>
  <c r="D322" i="1"/>
  <c r="D321" i="1"/>
  <c r="D318" i="1"/>
  <c r="D315" i="1"/>
  <c r="D314" i="1"/>
  <c r="D311" i="1" l="1"/>
  <c r="D310" i="1"/>
  <c r="D309" i="1"/>
  <c r="D308" i="1"/>
  <c r="D307" i="1"/>
  <c r="D306" i="1"/>
  <c r="D305" i="1"/>
  <c r="D304" i="1"/>
  <c r="D303" i="1"/>
  <c r="D301" i="1"/>
  <c r="D300" i="1"/>
  <c r="D299" i="1"/>
  <c r="D298" i="1"/>
  <c r="D297" i="1"/>
  <c r="D296" i="1"/>
  <c r="D295" i="1"/>
  <c r="D294" i="1"/>
  <c r="D293" i="1"/>
  <c r="D292" i="1"/>
  <c r="D291" i="1"/>
  <c r="D290" i="1"/>
  <c r="D289" i="1"/>
  <c r="D288" i="1"/>
  <c r="D287" i="1"/>
  <c r="D286" i="1"/>
  <c r="D285" i="1"/>
  <c r="D284" i="1"/>
  <c r="D283" i="1"/>
  <c r="D282" i="1"/>
  <c r="D281" i="1"/>
  <c r="D280" i="1"/>
  <c r="D279" i="1"/>
  <c r="D278" i="1"/>
  <c r="D277" i="1"/>
  <c r="D276" i="1"/>
  <c r="D275" i="1"/>
  <c r="D274" i="1"/>
  <c r="D273" i="1"/>
  <c r="D272" i="1"/>
  <c r="D271" i="1"/>
  <c r="D270" i="1"/>
  <c r="D269" i="1"/>
  <c r="D268" i="1"/>
  <c r="D267" i="1"/>
  <c r="D266" i="1"/>
  <c r="D265" i="1"/>
  <c r="D264" i="1"/>
  <c r="D263" i="1"/>
  <c r="D262" i="1"/>
  <c r="D261" i="1"/>
  <c r="D260" i="1"/>
  <c r="D259" i="1"/>
  <c r="D258" i="1"/>
  <c r="D257" i="1"/>
  <c r="D256" i="1"/>
  <c r="D255" i="1"/>
  <c r="D254" i="1"/>
  <c r="D253" i="1"/>
  <c r="D252" i="1"/>
  <c r="D251" i="1"/>
  <c r="D250" i="1"/>
  <c r="D249" i="1"/>
  <c r="D248" i="1"/>
  <c r="D247" i="1"/>
  <c r="D246" i="1"/>
  <c r="D245" i="1"/>
  <c r="D244" i="1"/>
  <c r="D243" i="1"/>
  <c r="D242" i="1"/>
  <c r="D241" i="1"/>
  <c r="D240" i="1"/>
  <c r="D239" i="1"/>
  <c r="D238" i="1"/>
  <c r="D237" i="1"/>
  <c r="D236" i="1"/>
  <c r="D235" i="1"/>
  <c r="D234" i="1"/>
  <c r="D233" i="1"/>
  <c r="D232" i="1"/>
  <c r="D231" i="1"/>
  <c r="D230" i="1"/>
  <c r="D229" i="1"/>
  <c r="D228" i="1"/>
  <c r="D227" i="1"/>
  <c r="D226" i="1"/>
  <c r="D225" i="1"/>
  <c r="D224" i="1"/>
  <c r="D223" i="1"/>
  <c r="D222" i="1"/>
  <c r="D221" i="1"/>
  <c r="D220" i="1"/>
  <c r="D219" i="1"/>
  <c r="D218" i="1"/>
  <c r="D217" i="1"/>
  <c r="D216" i="1"/>
  <c r="D215" i="1"/>
  <c r="D214" i="1"/>
  <c r="D213" i="1"/>
  <c r="D212" i="1"/>
  <c r="D211" i="1"/>
  <c r="D210" i="1"/>
  <c r="D209" i="1"/>
  <c r="D208" i="1"/>
  <c r="D207" i="1"/>
  <c r="D206" i="1"/>
  <c r="D205" i="1"/>
  <c r="D204" i="1"/>
  <c r="D203" i="1"/>
  <c r="D202" i="1"/>
  <c r="D201" i="1"/>
  <c r="D200" i="1"/>
  <c r="D199" i="1"/>
  <c r="D198" i="1"/>
  <c r="D196" i="1"/>
  <c r="D195" i="1"/>
  <c r="D194" i="1"/>
  <c r="D192" i="1"/>
  <c r="D191" i="1"/>
  <c r="D190" i="1"/>
  <c r="D189" i="1"/>
  <c r="D188" i="1"/>
  <c r="D187" i="1"/>
  <c r="D186" i="1"/>
  <c r="D185" i="1"/>
  <c r="D184" i="1"/>
  <c r="D183" i="1"/>
  <c r="D182" i="1"/>
  <c r="D181" i="1"/>
  <c r="D180" i="1"/>
  <c r="D179" i="1"/>
  <c r="D178" i="1"/>
  <c r="D177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60" i="1"/>
  <c r="D159" i="1"/>
  <c r="D158" i="1"/>
  <c r="D157" i="1"/>
  <c r="D156" i="1"/>
  <c r="D155" i="1"/>
  <c r="D154" i="1"/>
  <c r="D153" i="1"/>
  <c r="D152" i="1"/>
  <c r="D151" i="1"/>
  <c r="D150" i="1"/>
  <c r="D149" i="1"/>
  <c r="D148" i="1"/>
  <c r="D147" i="1"/>
  <c r="D146" i="1"/>
  <c r="D145" i="1"/>
  <c r="D144" i="1"/>
  <c r="D143" i="1"/>
  <c r="D142" i="1"/>
  <c r="D141" i="1"/>
  <c r="D140" i="1"/>
  <c r="D139" i="1"/>
  <c r="D138" i="1"/>
  <c r="D137" i="1"/>
  <c r="D136" i="1"/>
  <c r="D135" i="1"/>
  <c r="D134" i="1"/>
  <c r="D132" i="1"/>
  <c r="D131" i="1"/>
  <c r="D130" i="1"/>
  <c r="D129" i="1"/>
  <c r="D128" i="1"/>
  <c r="D127" i="1"/>
  <c r="D126" i="1"/>
  <c r="D125" i="1"/>
  <c r="D124" i="1"/>
  <c r="D123" i="1"/>
  <c r="D122" i="1"/>
  <c r="D121" i="1"/>
  <c r="D120" i="1"/>
  <c r="D119" i="1"/>
  <c r="D118" i="1"/>
  <c r="D117" i="1"/>
  <c r="D115" i="1"/>
  <c r="D114" i="1"/>
  <c r="D113" i="1"/>
  <c r="D112" i="1"/>
  <c r="D111" i="1"/>
  <c r="D110" i="1"/>
  <c r="D108" i="1"/>
  <c r="D107" i="1"/>
  <c r="D105" i="1"/>
  <c r="D104" i="1"/>
  <c r="D103" i="1"/>
  <c r="D102" i="1"/>
  <c r="D101" i="1"/>
  <c r="D100" i="1"/>
  <c r="D99" i="1"/>
  <c r="D98" i="1"/>
  <c r="D97" i="1"/>
  <c r="D96" i="1"/>
  <c r="D95" i="1"/>
  <c r="D94" i="1"/>
  <c r="D93" i="1"/>
  <c r="D92" i="1"/>
  <c r="D91" i="1"/>
  <c r="D89" i="1"/>
  <c r="D88" i="1"/>
  <c r="D87" i="1"/>
  <c r="D86" i="1"/>
  <c r="D85" i="1"/>
  <c r="D84" i="1"/>
  <c r="D83" i="1"/>
  <c r="D82" i="1"/>
  <c r="D81" i="1"/>
  <c r="D80" i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5" i="1"/>
  <c r="D44" i="1"/>
  <c r="D42" i="1"/>
  <c r="D40" i="1"/>
  <c r="D39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9" i="1"/>
  <c r="D5" i="1"/>
  <c r="D4" i="1"/>
</calcChain>
</file>

<file path=xl/sharedStrings.xml><?xml version="1.0" encoding="utf-8"?>
<sst xmlns="http://schemas.openxmlformats.org/spreadsheetml/2006/main" count="34786" uniqueCount="8077">
  <si>
    <t xml:space="preserve">Component                                                                                           </t>
  </si>
  <si>
    <t xml:space="preserve">Component name                                                                                      </t>
  </si>
  <si>
    <t xml:space="preserve">Note number                                                                                         </t>
  </si>
  <si>
    <t xml:space="preserve">Note version                                                                                        </t>
  </si>
  <si>
    <t xml:space="preserve">Note description                                                                                    </t>
  </si>
  <si>
    <t>BW</t>
  </si>
  <si>
    <t>SAP Business Information Warehouse</t>
  </si>
  <si>
    <t>BW-BCT</t>
  </si>
  <si>
    <t>Business Content and Extractors</t>
  </si>
  <si>
    <t>BW-BCT-PA</t>
  </si>
  <si>
    <t>Personnel Management</t>
  </si>
  <si>
    <t>0ORGUNIT_ATTR: language logic is not correct</t>
  </si>
  <si>
    <t>BW-BCT-PT</t>
  </si>
  <si>
    <t>Personnel Time Management</t>
  </si>
  <si>
    <t>Extractor 0CA_TS_IS_1 and 2, text field too short</t>
  </si>
  <si>
    <t>EP</t>
  </si>
  <si>
    <t>Enterprise Portal</t>
  </si>
  <si>
    <t>EP-PCT</t>
  </si>
  <si>
    <t>Portal Content</t>
  </si>
  <si>
    <t>EP-PCT-MGR</t>
  </si>
  <si>
    <t>Manager functionality</t>
  </si>
  <si>
    <t>EP-PCT-MGR-HR</t>
  </si>
  <si>
    <t>BP for Manager Self-Service (HR)</t>
  </si>
  <si>
    <t>Bypassing cache validity check in OADP modules</t>
  </si>
  <si>
    <t>PA</t>
  </si>
  <si>
    <t>PA-PA</t>
  </si>
  <si>
    <t>Personnel Administration</t>
  </si>
  <si>
    <t>PA-PA-AR</t>
  </si>
  <si>
    <t>Argentina</t>
  </si>
  <si>
    <t>[AR] Description for Emp. Activity and Position Held missing</t>
  </si>
  <si>
    <t>PA-PA-CL</t>
  </si>
  <si>
    <t>Chile</t>
  </si>
  <si>
    <t>[CL] End date limitations for Garnishment (3235) infotype</t>
  </si>
  <si>
    <t>PA-PA-CN</t>
  </si>
  <si>
    <t>China</t>
  </si>
  <si>
    <t>HR Renewal for China: Add New Infotypes</t>
  </si>
  <si>
    <t>PA-PA-FI</t>
  </si>
  <si>
    <t>Finland</t>
  </si>
  <si>
    <t>HRFI: LC White collar statistic 2012 (HFISTWC0)</t>
  </si>
  <si>
    <t>HRFI: HFISTBC0 code improvement</t>
  </si>
  <si>
    <t>PA-PA-FR</t>
  </si>
  <si>
    <t>France</t>
  </si>
  <si>
    <t>Modifications to improve quality of ABAP Code</t>
  </si>
  <si>
    <t>PA-PA-FR-TNM</t>
  </si>
  <si>
    <t>Training Need Management</t>
  </si>
  <si>
    <t>Identical cost items are duplicated in ALV</t>
  </si>
  <si>
    <t>TNM: no 2483 category assigned to the trainer salary cost</t>
  </si>
  <si>
    <t>PA-PA-JP</t>
  </si>
  <si>
    <t>Japan</t>
  </si>
  <si>
    <t>ESS: Enhancement of Commuting Allowance Form</t>
  </si>
  <si>
    <t>LC2012: Life Insurance Exemption Revision Phase 4</t>
  </si>
  <si>
    <t>PA-PA-KR</t>
  </si>
  <si>
    <t>South Korea</t>
  </si>
  <si>
    <t>LC2012: Korea Year-End Adjustment Legal Changes</t>
  </si>
  <si>
    <t>PA-PA-NL</t>
  </si>
  <si>
    <t>Netherlands</t>
  </si>
  <si>
    <t>Pension Return to APG: Changes in documentation</t>
  </si>
  <si>
    <t>Pension Return for the Netherl.: Basis Objects for CD Proj.</t>
  </si>
  <si>
    <t>Incorrect Mapping Code Welfare Claimant 03</t>
  </si>
  <si>
    <t>Pension Return to APG: Correction for Juper Search Help</t>
  </si>
  <si>
    <t>PA-PA-QA</t>
  </si>
  <si>
    <t>State of Qatar</t>
  </si>
  <si>
    <t>Qatar HCM Private Sector Localization</t>
  </si>
  <si>
    <t>PA-PA-RU</t>
  </si>
  <si>
    <t>HR master data: Russia</t>
  </si>
  <si>
    <t>CHECKMAN errors correction in 470x/ECC500/ECC60x</t>
  </si>
  <si>
    <t>FSSDP: technical preparations</t>
  </si>
  <si>
    <t>T-2: vacation text (part VIII) and seniority (part I. p.8)</t>
  </si>
  <si>
    <t>HR-RU: update of signature block in T-2 PDF form</t>
  </si>
  <si>
    <t>HR-RU: specializations in form T-2</t>
  </si>
  <si>
    <t>Vacation prolongation when subsequent absence exists</t>
  </si>
  <si>
    <t>Issues with vacation prolongation after the Note 1770799</t>
  </si>
  <si>
    <t>Dump in function module HR_RU_GET_ALL_WORK_COND</t>
  </si>
  <si>
    <t>PA-PA-US</t>
  </si>
  <si>
    <t>USA</t>
  </si>
  <si>
    <t>IT0235: Formula number error message when creating infotype</t>
  </si>
  <si>
    <t>PA-PA-US-FML</t>
  </si>
  <si>
    <t>FMLA (Family Medical Leave Act)</t>
  </si>
  <si>
    <t>FMLA:Flexible Deduction Interval for rules of type 3</t>
  </si>
  <si>
    <t>PA-PF</t>
  </si>
  <si>
    <t>Pension Schemes</t>
  </si>
  <si>
    <t>PA-PF-DE</t>
  </si>
  <si>
    <t>Company Pension Scheme Germany</t>
  </si>
  <si>
    <t>CPS: Minor corrections (05/2012)</t>
  </si>
  <si>
    <t>RPCWPZD0: Deregistrations for employees w/o valid entitlemnt</t>
  </si>
  <si>
    <t>PE</t>
  </si>
  <si>
    <t>Training and Event Management</t>
  </si>
  <si>
    <t>PE-RPL</t>
  </si>
  <si>
    <t>Room Reservations Management</t>
  </si>
  <si>
    <t>Syntax error in programs of package PP05</t>
  </si>
  <si>
    <t>PT</t>
  </si>
  <si>
    <t>PT-SP</t>
  </si>
  <si>
    <t>Shift Planning</t>
  </si>
  <si>
    <t>PP61: Text for substitutions is not displayed</t>
  </si>
  <si>
    <t>Short dump PP61: Saving the column width</t>
  </si>
  <si>
    <t>PY</t>
  </si>
  <si>
    <t>Payroll</t>
  </si>
  <si>
    <t>PY-AT</t>
  </si>
  <si>
    <t>Austria</t>
  </si>
  <si>
    <t>rpcalca0: Redesign Steuerberechnung für AT</t>
  </si>
  <si>
    <t>Freibetrag für sonstige Zahlungen nach §67 (1)</t>
  </si>
  <si>
    <t>Neue Tabellen für Gemeindecode, Gemeindekennziffer und PLZ</t>
  </si>
  <si>
    <t>Montageprivileg (2012): Versteuerung Jahresechstelüberhang</t>
  </si>
  <si>
    <t>Montageprivileg 2012 Grundlagen für  FLAF und Kommunalsteuer</t>
  </si>
  <si>
    <t>Bescheinigungswesen: Unterbrechung falsch Lohnbescheinigung</t>
  </si>
  <si>
    <t>SV-Beitrag Umbuchung wegen /153 und Urlaubsersatzleistung</t>
  </si>
  <si>
    <t>Montageprivileg (2012): Steuerbefreiung und SV-HBG</t>
  </si>
  <si>
    <t>rpcalca0: Versteuerung SZ, StabG. 2012, EStG, §67(1,2)</t>
  </si>
  <si>
    <t>PCALZ: Prüfvorschrift 70 für KZ245 unvollständig</t>
  </si>
  <si>
    <t>UEKV: Abbruch,wenn die Personalnummer im IT0003 gesperrt ist</t>
  </si>
  <si>
    <t>IT0751: Vorschlagswert Beginn Beitragszahlung</t>
  </si>
  <si>
    <t>PCALZ: Auslieferung unreife Codingteile</t>
  </si>
  <si>
    <t>PCALZ: BAdI für Statusänderungen der Lohnzettel</t>
  </si>
  <si>
    <t>PCALZ: Auslieferung erweitertes Protokoll</t>
  </si>
  <si>
    <t>PY-AU</t>
  </si>
  <si>
    <t>Australia</t>
  </si>
  <si>
    <t>Superannuation Employee % cleared causing data entry errors</t>
  </si>
  <si>
    <t>Incorrect Marginal tax in periods having multiple bonuses</t>
  </si>
  <si>
    <t>Taxation on bonus payments incorrect for pay period splits</t>
  </si>
  <si>
    <t>Incorrect tax in retro across fin. year for Director Fee</t>
  </si>
  <si>
    <t>Infotype updation error and Leave loading Percentage config.</t>
  </si>
  <si>
    <t>Amendment for Note-1586765</t>
  </si>
  <si>
    <t>Amendement for Note-1719681</t>
  </si>
  <si>
    <t>Corrections for Termination DRQ</t>
  </si>
  <si>
    <t>Claim created for Lump Sum Termination paymnets</t>
  </si>
  <si>
    <t>Incorrect /106 for retroactive cross FY leave payments</t>
  </si>
  <si>
    <t>Wagetype /116 incorrect for leave loading paid across FY</t>
  </si>
  <si>
    <t>PY-AU-PS</t>
  </si>
  <si>
    <t>Public Sector</t>
  </si>
  <si>
    <t>Message handler not instantiated</t>
  </si>
  <si>
    <t>No IT2001 record when IT0573 stored on day with day type '4'</t>
  </si>
  <si>
    <t>PY-BE</t>
  </si>
  <si>
    <t>Belgium</t>
  </si>
  <si>
    <t>DmfA/DmfAPPL - Company car change and plate remains same</t>
  </si>
  <si>
    <t>DECAVA : Debtor type 3 - contribution has not to be computed</t>
  </si>
  <si>
    <t>DECAVA : Debtor 4 with Fund debtor of employer contribution</t>
  </si>
  <si>
    <t>DMFA: Natural Person without INSS in TemSe</t>
  </si>
  <si>
    <t>Payroll BEEVL: Dump for CAPELO before REMI functionality</t>
  </si>
  <si>
    <t>DmfA - Capelo - Dump during the temse generation</t>
  </si>
  <si>
    <t>Educational Leave - New values for constants</t>
  </si>
  <si>
    <t>Educational Leave: Fixed work schedule with annex</t>
  </si>
  <si>
    <t>SI contribution : BAdI Documentation</t>
  </si>
  <si>
    <t>Belcotax - Printout Language corrections for German</t>
  </si>
  <si>
    <t>SOCIAL BALANCE: Leave consider twice</t>
  </si>
  <si>
    <t>PY-BR</t>
  </si>
  <si>
    <t>Brazil</t>
  </si>
  <si>
    <t>HRBR_GET_ACCRUAL_PERIOD: Unicode conversion.</t>
  </si>
  <si>
    <t>HBRRTER3: PDF texts not in accordance to legal definition</t>
  </si>
  <si>
    <t>SEFIP: welfare contribution basis should not be filled</t>
  </si>
  <si>
    <t>HBRRTER3: Field 21 is showing a zero before the number</t>
  </si>
  <si>
    <t>PY-CA</t>
  </si>
  <si>
    <t>Canada</t>
  </si>
  <si>
    <t>PY-CA-CE</t>
  </si>
  <si>
    <t>Concurrent Employment - Payroll Canada</t>
  </si>
  <si>
    <t>CE - Negative ER contribution for EI not calculated</t>
  </si>
  <si>
    <t>PY-CA-RP</t>
  </si>
  <si>
    <t>Reporting</t>
  </si>
  <si>
    <t>ROE: Export file format change from BLK to XML enablement</t>
  </si>
  <si>
    <t>AUD: Audit report doesn't display results correctly</t>
  </si>
  <si>
    <t>PY-CH</t>
  </si>
  <si>
    <t>Switzerland</t>
  </si>
  <si>
    <t>HR-CH: QSt/withholding tax, dump in payroll driver RPCALCC0</t>
  </si>
  <si>
    <t>QST VD: EMP-ACI: Cross-quarter correct after retroact accnt</t>
  </si>
  <si>
    <t>QST VD: Cross-border employees in France cause errors</t>
  </si>
  <si>
    <t>CE-CH: New field HPERN FAK IT0036 - CE Utilities</t>
  </si>
  <si>
    <t>PY-CL</t>
  </si>
  <si>
    <t>[CL] Missing year in Voluntary Pension Savings report</t>
  </si>
  <si>
    <t>[CL] Social Insurance basis calculation with unpaid absence</t>
  </si>
  <si>
    <t>[CL] Changes to SI basis due to Oficio Ordinario Nr.20506</t>
  </si>
  <si>
    <t>PY-CN</t>
  </si>
  <si>
    <t>Renovation of Tax Calculation for Payroll China</t>
  </si>
  <si>
    <t>Enhancement: Tax Reduction for Disabled Employees</t>
  </si>
  <si>
    <t>Enhancement of PDF Form of Year End Tax Reports for China</t>
  </si>
  <si>
    <t>Adjustment for Taxable PHF Calculation in Guangzhou</t>
  </si>
  <si>
    <t>Enhancement for Printing Big Amounts in Year End Tax Report</t>
  </si>
  <si>
    <t>PY-DE</t>
  </si>
  <si>
    <t>Germany</t>
  </si>
  <si>
    <t>PY-DE-BA</t>
  </si>
  <si>
    <t>Business to Administration</t>
  </si>
  <si>
    <t>SI: Composite SAP Note for data exchange 7/2012</t>
  </si>
  <si>
    <t>PY-DE-CI</t>
  </si>
  <si>
    <t>Construction Industry</t>
  </si>
  <si>
    <t>SFP: Storing granted leave from current year for trainees</t>
  </si>
  <si>
    <t>PY-DE-FP</t>
  </si>
  <si>
    <t>Final Payroll Processing</t>
  </si>
  <si>
    <t>PY-DE-FP-MV</t>
  </si>
  <si>
    <t>SI Notifications</t>
  </si>
  <si>
    <t>EEL: Last payroll period for unpaid absence time</t>
  </si>
  <si>
    <t>Reporting AAG: New data record version 02</t>
  </si>
  <si>
    <t>EEL: Repeated creation for "Transferred Manually"</t>
  </si>
  <si>
    <t>EEL: Corrections and enhancements (11/2012)</t>
  </si>
  <si>
    <t>PY-DE-GR</t>
  </si>
  <si>
    <t>Gross</t>
  </si>
  <si>
    <t>Runtime error for notional net calc. (for example, for EEL)</t>
  </si>
  <si>
    <t>Prohibited activities: Termination after repetition run</t>
  </si>
  <si>
    <t>PY-DE-NT</t>
  </si>
  <si>
    <t>Net</t>
  </si>
  <si>
    <t>PY-DE-NT-CI</t>
  </si>
  <si>
    <t>Company Insurance</t>
  </si>
  <si>
    <t>BVV: Corrections 10 2012</t>
  </si>
  <si>
    <t>BVV: Corrections 10 2012 (2)</t>
  </si>
  <si>
    <t>PY-DE-NT-NI</t>
  </si>
  <si>
    <t>Social Insurance</t>
  </si>
  <si>
    <t>RPUBGDD0: Transporting deletions</t>
  </si>
  <si>
    <t>PY-DE-NT-TX</t>
  </si>
  <si>
    <t>Tax</t>
  </si>
  <si>
    <t>Employment tax statement: Errors for zero notification</t>
  </si>
  <si>
    <t>Annual employment tax declaration as of 2012</t>
  </si>
  <si>
    <t>ELStAM: Corrections 11 2012</t>
  </si>
  <si>
    <t>Termination in fictitious run for wage type /44N</t>
  </si>
  <si>
    <t>LStB: Corrections 10 2012</t>
  </si>
  <si>
    <t>PY-DE-PS</t>
  </si>
  <si>
    <t>SNrP: Mid-month tax split</t>
  </si>
  <si>
    <t>TV FlexAZ: RPCATXD0 adjustment for infotypes 0014 and 0015</t>
  </si>
  <si>
    <t>BUEZ: Negative tax exemption for pensions if tax exemption</t>
  </si>
  <si>
    <t>GOP: Error/warning if repayment is too high</t>
  </si>
  <si>
    <t>Corrections for personnel statistics</t>
  </si>
  <si>
    <t>ZfA: ZK01 notifications assigned only using first child</t>
  </si>
  <si>
    <t>PY-DE-PS-NV</t>
  </si>
  <si>
    <t>Retroactive Pension Insurance</t>
  </si>
  <si>
    <t>Error message when deleting empty posting runs 2</t>
  </si>
  <si>
    <t>PY-DE-PS-VA</t>
  </si>
  <si>
    <t>Pension Administration</t>
  </si>
  <si>
    <t>Treaty: Recipient address is not DIN-compliant</t>
  </si>
  <si>
    <t>PY-DE-RP</t>
  </si>
  <si>
    <t>PY-DE-RP-ES</t>
  </si>
  <si>
    <t>Evaluation/Statistics</t>
  </si>
  <si>
    <t>RPLEHAD3: Provide error in BAdI sample implementation</t>
  </si>
  <si>
    <t>RPLEHAD3: Batch creation with code page error</t>
  </si>
  <si>
    <t>PY-ES</t>
  </si>
  <si>
    <t>Spain</t>
  </si>
  <si>
    <t>190: Wrong page formatting in form HR_ES_I190_0032</t>
  </si>
  <si>
    <t>Issue with bonification method 0094 after SAP note 1679337</t>
  </si>
  <si>
    <t>BRD: wrong retro-control of note 1676900 due to note 1704374</t>
  </si>
  <si>
    <t>Contract Printing: general corrections I</t>
  </si>
  <si>
    <t>Off-Cycle: Issue with Special Payments on off cycle payroll</t>
  </si>
  <si>
    <t>IGA: Issue in case of irregular income with payment in kind</t>
  </si>
  <si>
    <t>TC: Field 601 is not filled with amounts of CD20, CD21, CD25</t>
  </si>
  <si>
    <t>TC: Issue with minimum hourly basis for part-time employees</t>
  </si>
  <si>
    <t>TC: Issue with number of worked days in DAT segment</t>
  </si>
  <si>
    <t>OFFCYCLE: Report RPCDTFE0 does not consider Off-cycle data</t>
  </si>
  <si>
    <t>190: 111 Model without zeros on left in numeric fields</t>
  </si>
  <si>
    <t>Certific@2: Wrong data in periods with payroll split</t>
  </si>
  <si>
    <t>RPIGA0E0: Documentation for Forzar regularización field</t>
  </si>
  <si>
    <t>AFI: additional movements missing in 0799 infotype subscreen</t>
  </si>
  <si>
    <t>190: Wrong fields lenght in Deduction Certificate</t>
  </si>
  <si>
    <t>Corrections for RED 02/2012 and RED 06/2012 II</t>
  </si>
  <si>
    <t>ERE: Customer decision for IT and IMS contribution</t>
  </si>
  <si>
    <t>CL_HRPAYES_PAYROLL_READER: Buffer read option</t>
  </si>
  <si>
    <t>GARNT: IBAN field being cleared in case of error message</t>
  </si>
  <si>
    <t>Certific@2: Missing data in periods with payroll split</t>
  </si>
  <si>
    <t>TC: Missing parameters in BAdI interface</t>
  </si>
  <si>
    <t>CALC: Issues on contribution bases in months with 31 days</t>
  </si>
  <si>
    <t>RED 07/2012</t>
  </si>
  <si>
    <t>CRT2: &amp;lt;ERE&amp;gt; element is not generated in XML file</t>
  </si>
  <si>
    <t>190: 111 Model without zeros on left in numeric fields II</t>
  </si>
  <si>
    <t>Contract Printing: Contracts update of RDL 03/2012</t>
  </si>
  <si>
    <t>Certific@2: Collision of ERE absences causing error</t>
  </si>
  <si>
    <t>CALC: Wrong indemnity payment for training contract</t>
  </si>
  <si>
    <t>CP: Contracts update of RDL 03/2012 II</t>
  </si>
  <si>
    <t>PY-FI</t>
  </si>
  <si>
    <t>HRFI: ALV columns mixed in reports HFISTWC0, HFISTBC0</t>
  </si>
  <si>
    <t>HRFI: Program HFICEDT0 missing text on selection screen</t>
  </si>
  <si>
    <t>PY-FR</t>
  </si>
  <si>
    <t>Corrections to French payslip</t>
  </si>
  <si>
    <t>Déclaration d'Accident du Travail (No 14463/01)</t>
  </si>
  <si>
    <t>Absence quota initialization (method A) - part 2</t>
  </si>
  <si>
    <t>RPCEDTF0: using RECOT fields impacts performance</t>
  </si>
  <si>
    <t>Common threshold wrong for complementary payments</t>
  </si>
  <si>
    <t>N4DS: IT3340, Corrections Infotype</t>
  </si>
  <si>
    <t>N4DS: data renderer / control report</t>
  </si>
  <si>
    <t>AED Bonus period wrong for partial payment at employee leave</t>
  </si>
  <si>
    <t>AED: fix for activity rates inconsistency</t>
  </si>
  <si>
    <t>S45 Additional fields for split of contract</t>
  </si>
  <si>
    <t>Alsace/Moselle not correctly determined for Maternity IJSS</t>
  </si>
  <si>
    <t>AED: issue with the CRA file integration</t>
  </si>
  <si>
    <t>RPLASMF3 / RPLASAF3 subrogation data missing</t>
  </si>
  <si>
    <t>HR-FR: N4DS analysis Tool</t>
  </si>
  <si>
    <t>N4DS: S45 additional split fields</t>
  </si>
  <si>
    <t>N4DS: New field S48.G10.00.021. Deletion of S48.G10.00.020</t>
  </si>
  <si>
    <t>AED: S48.G55.00.(007) incorrect number of days</t>
  </si>
  <si>
    <t>AED: No declaration generated for AED subsequent contract</t>
  </si>
  <si>
    <t>N4DS: implementation example MODIFY_PAYRES_PERIOD_ENDDA_POV</t>
  </si>
  <si>
    <t>AED: AER upload using the "EFI" mode</t>
  </si>
  <si>
    <t>N4DS: Check on S40.G10.05.011.002 'Code complément PCS-ESE'</t>
  </si>
  <si>
    <t>N4DS Version V01X07 - B2A</t>
  </si>
  <si>
    <t>PY-GB</t>
  </si>
  <si>
    <t>United Kingdom</t>
  </si>
  <si>
    <t>RTI: Tax YTD and Taxabale Pay TD incorrect for Tax ref chg</t>
  </si>
  <si>
    <t>RTI:Feature GBIT9 and other processing class settings</t>
  </si>
  <si>
    <t>RTI : Incorrect cumulatives on RTINI + Irr. Ind - pensioners</t>
  </si>
  <si>
    <t>RTI : Incorrect TP values in RTINI</t>
  </si>
  <si>
    <t>PY-GB-NT</t>
  </si>
  <si>
    <t>PY-GB-NT-GR</t>
  </si>
  <si>
    <t>Court Orders</t>
  </si>
  <si>
    <t>Student Loan threshold change effective from 2013/14</t>
  </si>
  <si>
    <t>PY-GB-NT-NI</t>
  </si>
  <si>
    <t>National Insurance</t>
  </si>
  <si>
    <t>Payroll dumps due to incorrect NI calculation in GBNIC</t>
  </si>
  <si>
    <t>PY-GB-PS</t>
  </si>
  <si>
    <t>SWF:Open ended sickness absence not reported and error 7100</t>
  </si>
  <si>
    <t>PY-GB-RP</t>
  </si>
  <si>
    <t>PY-GB-RP-SR</t>
  </si>
  <si>
    <t>Statutory reporting</t>
  </si>
  <si>
    <t>RTI Leaver report problem</t>
  </si>
  <si>
    <t>RTI: FPS ALV Doesn't have the employees &amp; Address in FPS</t>
  </si>
  <si>
    <t>PY-HK</t>
  </si>
  <si>
    <t>Hong Kong</t>
  </si>
  <si>
    <t>Years of Service Calculation for MPF exemption employees</t>
  </si>
  <si>
    <t>IR56 B/E/F/G form format update</t>
  </si>
  <si>
    <t>PY-ID</t>
  </si>
  <si>
    <t>Indonesia</t>
  </si>
  <si>
    <t>PY-ID: Enabling Functional Cost monthly Limits</t>
  </si>
  <si>
    <t>PY-IE</t>
  </si>
  <si>
    <t>Ireland</t>
  </si>
  <si>
    <t>Pension Related Development (PRD) DRQ's Effective 2011 (21)</t>
  </si>
  <si>
    <t>PY-IE: P60 SAP Script, Adobe and End of year report changes</t>
  </si>
  <si>
    <t>Critical: Corrections to USC Withhold flag/ USC Payroll Logs</t>
  </si>
  <si>
    <t>Incorrect USC paid for leavers in a few rare case scenarios.</t>
  </si>
  <si>
    <t>PY-IN</t>
  </si>
  <si>
    <t>India</t>
  </si>
  <si>
    <t>Package Adjustment For India Specific Loans Infotype Objects</t>
  </si>
  <si>
    <t>Monthly Taxable Income Incorrect With Prev. Employ. Details</t>
  </si>
  <si>
    <t>HINCALC0 : Employer's NPS Exemption Calculation Inconsistent</t>
  </si>
  <si>
    <t>Jharkhand Professional Tax</t>
  </si>
  <si>
    <t>Section 80CCG : Gross Total Income check</t>
  </si>
  <si>
    <t>IT0585 inconsistent due to delimit of a particular record</t>
  </si>
  <si>
    <t>PY-IT</t>
  </si>
  <si>
    <t>Italy</t>
  </si>
  <si>
    <t>HR-IT: CUD 2012 - Company Code Change during the year</t>
  </si>
  <si>
    <t>HR-IT: CUD 2012 - Correction Package III</t>
  </si>
  <si>
    <t>HR-IT: LibroUnico - ITIOT not being loaded</t>
  </si>
  <si>
    <t>HR-IT: 770/2012 Correction Package VI</t>
  </si>
  <si>
    <t>HR-IT: Payroll Operation RDTAB rejecting EE's</t>
  </si>
  <si>
    <t>HR-IT: UniEmens 1.2.7</t>
  </si>
  <si>
    <t>HR-IT: Lavoratori prima occupazione: system documentation</t>
  </si>
  <si>
    <t>UniEmens 2.0</t>
  </si>
  <si>
    <t>PY-JP</t>
  </si>
  <si>
    <t>RPCWTSJ0: Incorrect Key Date and Missing Payroll Reason</t>
  </si>
  <si>
    <t>Corrections for Outputs of RPCEWGJ1 and RPLLIDJ2/RPLLIDJ3</t>
  </si>
  <si>
    <t>PY-KR</t>
  </si>
  <si>
    <t>Overtime Allowance is Miscalculated as Non-taxable Income</t>
  </si>
  <si>
    <t>Correction of tax-deferring in Retirement Pension</t>
  </si>
  <si>
    <t>Wrong Refundable Tax in Off-cycle 0013 Payroll</t>
  </si>
  <si>
    <t>PY-MX</t>
  </si>
  <si>
    <t>Mexico</t>
  </si>
  <si>
    <t>[MX] Welfare tax exemption (/422) WT is removed from IT</t>
  </si>
  <si>
    <t>[MX] Wrong leave bonus exemption on company change</t>
  </si>
  <si>
    <t>[MX] Layout changes in HMXCRFC0 report for 2012</t>
  </si>
  <si>
    <t>[MX] Wrong sunday premium exemption at retro process</t>
  </si>
  <si>
    <t>PY-MY</t>
  </si>
  <si>
    <t>Malaysia</t>
  </si>
  <si>
    <t>PY-MY: Employer EPF contribution issues for Salary &amp;lt; 5000</t>
  </si>
  <si>
    <t>Truncated Comapany name in MBB download file</t>
  </si>
  <si>
    <t>PY-MY: Joining Form generated when payroll area is different</t>
  </si>
  <si>
    <t>PY-MY: Minor Form Layout Changes</t>
  </si>
  <si>
    <t>PY-NL</t>
  </si>
  <si>
    <t>Aangifte LH: Wage Return process is blocked in B2A Manager</t>
  </si>
  <si>
    <t>ULB: Part 1 - Change of Remuneration Statement</t>
  </si>
  <si>
    <t>SAP_HR CLC-NL 2012-3</t>
  </si>
  <si>
    <t>Aangifte LH: Automatic processing or response messages</t>
  </si>
  <si>
    <t>ULB (WUL): Part 1 - additional wage types</t>
  </si>
  <si>
    <t>PY-NO</t>
  </si>
  <si>
    <t>Norway</t>
  </si>
  <si>
    <t>HRNO: Annual tax statement- issues June 2012</t>
  </si>
  <si>
    <t>HRNO: OREF issues September 2012 II.</t>
  </si>
  <si>
    <t>LTO code 132A shows Period instead Date of acquisition</t>
  </si>
  <si>
    <t>Feature 20ARB - Edit the attributes to modify its contents</t>
  </si>
  <si>
    <t>HRNO: RPCALCV0 / VPSP1 division by zero</t>
  </si>
  <si>
    <t>HRNO: RPURMBV0 - Incorrect max date in IT0014</t>
  </si>
  <si>
    <t>RPLLONV0 - XML file for form RF-1301(Altinn) - main part 2/2</t>
  </si>
  <si>
    <t>HRNO: RPURMBV0 runtime error while uploading non-CSV file</t>
  </si>
  <si>
    <t>HRNO: RPCALCV0 / VPSP1 incorrect var. deduction for hourly</t>
  </si>
  <si>
    <t>HRNO: Transfer of accounting info from OREF into /87x WT's</t>
  </si>
  <si>
    <t>HRNO: Wagetype OFP1 only in period 06 (leave)- VPSH2</t>
  </si>
  <si>
    <t>HRNO: RPCRMBV0_MAIN - incorrect reimb. base if overruled</t>
  </si>
  <si>
    <t>Feature 20ARB - support for payroll year (PABRJ)</t>
  </si>
  <si>
    <t>HRNO: RPTEMFV0 - Error in Norwegian sickleave report</t>
  </si>
  <si>
    <t>RPLLONV0 - XML file for form RF-1301(Altinn) - int.incl. 1/2</t>
  </si>
  <si>
    <t>PY-NO-PS</t>
  </si>
  <si>
    <t>Payroll Norway - Public Sector</t>
  </si>
  <si>
    <t>SPK - correction of issues - September 2012</t>
  </si>
  <si>
    <t>SST - correction of issues - October 2012</t>
  </si>
  <si>
    <t>SPK - correction of issues - October 2012</t>
  </si>
  <si>
    <t>PY-NPO</t>
  </si>
  <si>
    <t>Payroll for Non-Profit-Organisationen (INTPSO)</t>
  </si>
  <si>
    <t>Schedule A file format corrections in UNJSPF year end report</t>
  </si>
  <si>
    <t>NPO: New Functionalities in EhP5 and EhP6</t>
  </si>
  <si>
    <t>NPO: Performance Issue with IT0008 Overview Screen</t>
  </si>
  <si>
    <t>IT0509 :Cannot Create Record Without Higher PERNR/Position</t>
  </si>
  <si>
    <t>System does not identify spouse dependent</t>
  </si>
  <si>
    <t>Attribute CHEAR is not Determined Correctly</t>
  </si>
  <si>
    <t>EG : Middle Name of Child is not Displayed on IT965 Screen</t>
  </si>
  <si>
    <t>EVE Override: System Does not Prorate According to BSGRD</t>
  </si>
  <si>
    <t>Enabling EVE for Special Post Allowance</t>
  </si>
  <si>
    <t>PY-NZ</t>
  </si>
  <si>
    <t>New Zealand</t>
  </si>
  <si>
    <t>Annual Leave in Days (Part 1) and Casual Holiday Pay</t>
  </si>
  <si>
    <t>PY-NZ: RDP Override not taking place in case of attendances</t>
  </si>
  <si>
    <t>PY-NZ: Field name is changed in the IT0312 and LVAWE table</t>
  </si>
  <si>
    <t>PY-NZ : Incorrect generation of refund on ER contribution</t>
  </si>
  <si>
    <t>PY-NZ: Cashup leaves are not paying at parental leave rate</t>
  </si>
  <si>
    <t>PY-PH</t>
  </si>
  <si>
    <t>Philippines</t>
  </si>
  <si>
    <t>PY-PH: Incorrect tax for multiple EE's via Projection method</t>
  </si>
  <si>
    <t>PY-PH: Issues in Projection Taxation method</t>
  </si>
  <si>
    <t>PY-PT</t>
  </si>
  <si>
    <t>Portugal</t>
  </si>
  <si>
    <t>HR-PT: RPLESUP0 Excel List button printing blank lines</t>
  </si>
  <si>
    <t>PY-PT-PS</t>
  </si>
  <si>
    <t>Public Sector Payroll</t>
  </si>
  <si>
    <t>ADSE XML report: Changes to consider RRFMR constant</t>
  </si>
  <si>
    <t>PY-PT-PS: reduction of CA and VA - corrections II</t>
  </si>
  <si>
    <t>CGA report: Corrections IV - 2012</t>
  </si>
  <si>
    <t>SIOE: new table for organization codes and description</t>
  </si>
  <si>
    <t>Correction in log collect data for Annual Staff Report</t>
  </si>
  <si>
    <t>SIOE: quarterly information - corrections II</t>
  </si>
  <si>
    <t>HR-PT: Family Allowance Certificate Delivery</t>
  </si>
  <si>
    <t>PY-QA</t>
  </si>
  <si>
    <t>Decimal Number Adjustment for Qatar Funiture Return Function</t>
  </si>
  <si>
    <t>PY-QA-PS</t>
  </si>
  <si>
    <t>State of Qatar Public Sector</t>
  </si>
  <si>
    <t>Qatar HCM Public Sector Localization</t>
  </si>
  <si>
    <t>PY-RU</t>
  </si>
  <si>
    <t>Payroll Accounting: Russia</t>
  </si>
  <si>
    <t>HR-RU:4FSS-Incorrect Number of Sicknesses with Rerto-calcul.</t>
  </si>
  <si>
    <t>HRULSICK_CS: New Sickness Certificates Register</t>
  </si>
  <si>
    <t>Sickness pay from MROT changes in case of basic pay change</t>
  </si>
  <si>
    <t>HR-RU: processing of different rates for one WT in RUSI0</t>
  </si>
  <si>
    <t>Reverse negative wage code in Russian legal reporting</t>
  </si>
  <si>
    <t>PY-SE</t>
  </si>
  <si>
    <t>Sweden</t>
  </si>
  <si>
    <t>HRCSE: RPLABSS0 - incorect Absence type set, Batch Input</t>
  </si>
  <si>
    <t>HRSE: RPLLASS1 - days decreased by period after key date</t>
  </si>
  <si>
    <t>HRSE: Unlimited absences error in payroll / absence report</t>
  </si>
  <si>
    <t>HRSE:RPTOVTS0 Pay scale and rounding</t>
  </si>
  <si>
    <t>HRSE: Payslip printing with RPCEDTS0_XML run too long</t>
  </si>
  <si>
    <t>PY-SG</t>
  </si>
  <si>
    <t>Singapore</t>
  </si>
  <si>
    <t>Retro amounts reporting in NRS report</t>
  </si>
  <si>
    <t>PY-SG-PS</t>
  </si>
  <si>
    <t>Report RPUPBSR8_SM - Pension paper simulation report</t>
  </si>
  <si>
    <t>Effective date for Medisave total contribution rounding</t>
  </si>
  <si>
    <t>PY-TH</t>
  </si>
  <si>
    <t>Thailand</t>
  </si>
  <si>
    <t>Tax exemptions for immovable property &amp; vehicle repair c</t>
  </si>
  <si>
    <t>PY-TH: Misalignment in Insurance form for Address section</t>
  </si>
  <si>
    <t>PY-TH: Amount in words contain separation as space in THAI</t>
  </si>
  <si>
    <t>PY-TH:Label text for two fields truncted in IT0365 screen</t>
  </si>
  <si>
    <t>PY-TH: SS Refund report &amp; SS negative contribution chang</t>
  </si>
  <si>
    <t>PY-TW</t>
  </si>
  <si>
    <t>Taiwan</t>
  </si>
  <si>
    <t>Tax Data Error in PC00_M42_CTXM</t>
  </si>
  <si>
    <t>PY-US</t>
  </si>
  <si>
    <t>PY-US-TP</t>
  </si>
  <si>
    <t>Third Party Remittance</t>
  </si>
  <si>
    <t>3PR: System preparation for 3PR and RPCPRRU0 improvements</t>
  </si>
  <si>
    <t>PY-US-TR</t>
  </si>
  <si>
    <t>Tax Reporter</t>
  </si>
  <si>
    <t>TR: Usage of HR Forms along with PAPS field</t>
  </si>
  <si>
    <t>TR: Negative taxable out of state wages for Florida</t>
  </si>
  <si>
    <t>PY-VE</t>
  </si>
  <si>
    <t>Venezuela</t>
  </si>
  <si>
    <t>[VE] Incorrect Hiring date reading from infotype 0041</t>
  </si>
  <si>
    <t>PY-ZA</t>
  </si>
  <si>
    <t>South Africa</t>
  </si>
  <si>
    <t>SARS code 4115 value / SARS code 4116 if age less than 65</t>
  </si>
  <si>
    <t>MA credit:Tax rebate not generated for an employee</t>
  </si>
  <si>
    <t>MA credit deducted/eligibility incorrect split</t>
  </si>
  <si>
    <t>Inconsistent entries in F4 help of OFO Codes in IT 1633</t>
  </si>
  <si>
    <t>IRP5-Data Appearing in Multiple forms after SARS Code 4116</t>
  </si>
  <si>
    <t>Support Pack</t>
  </si>
  <si>
    <t>BC</t>
  </si>
  <si>
    <t>Basis Components</t>
  </si>
  <si>
    <t>BC-BMT</t>
  </si>
  <si>
    <t>Business Management</t>
  </si>
  <si>
    <t>BC-BMT-OM</t>
  </si>
  <si>
    <t>Organizational Mgt</t>
  </si>
  <si>
    <t>BC-BMT-OM-ALE</t>
  </si>
  <si>
    <t>Distribution</t>
  </si>
  <si>
    <t>Pers.Time Management</t>
  </si>
  <si>
    <t>CA</t>
  </si>
  <si>
    <t>Cross-Application Components</t>
  </si>
  <si>
    <t>CA-ESS</t>
  </si>
  <si>
    <t>Employee Self-Service</t>
  </si>
  <si>
    <t>CA-ESS-ITS</t>
  </si>
  <si>
    <t>ESS ITS</t>
  </si>
  <si>
    <t>CA-MSS</t>
  </si>
  <si>
    <t>Manager Self-service</t>
  </si>
  <si>
    <t>CA-MSS-HCM</t>
  </si>
  <si>
    <t>CA-TS</t>
  </si>
  <si>
    <t>Time Sheet</t>
  </si>
  <si>
    <t>BP for MSS HR</t>
  </si>
  <si>
    <t>FI</t>
  </si>
  <si>
    <t>Financial Accounting</t>
  </si>
  <si>
    <t>FI-TV</t>
  </si>
  <si>
    <t>Business Trip Mgmt.</t>
  </si>
  <si>
    <t>FI-TV-COS</t>
  </si>
  <si>
    <t>Trip Costs</t>
  </si>
  <si>
    <t>PA-BC</t>
  </si>
  <si>
    <t>Basis</t>
  </si>
  <si>
    <t>PA-BC-IN</t>
  </si>
  <si>
    <t>Basis - Integration</t>
  </si>
  <si>
    <t>PA-BN</t>
  </si>
  <si>
    <t>Benefits</t>
  </si>
  <si>
    <t>PA-BN-CO</t>
  </si>
  <si>
    <t>COBRA</t>
  </si>
  <si>
    <t>PA-BN-ES</t>
  </si>
  <si>
    <t>PA-CM</t>
  </si>
  <si>
    <t>Compensation Manag.</t>
  </si>
  <si>
    <t>PA-IS</t>
  </si>
  <si>
    <t>Informations Systems</t>
  </si>
  <si>
    <t>PA-OS</t>
  </si>
  <si>
    <t>Organizational Plan</t>
  </si>
  <si>
    <t>PA-OS-BS</t>
  </si>
  <si>
    <t>Bases</t>
  </si>
  <si>
    <t>PA-OS-ST</t>
  </si>
  <si>
    <t>Staffing</t>
  </si>
  <si>
    <t>PA-PA-AT</t>
  </si>
  <si>
    <t>PA-PA-BE</t>
  </si>
  <si>
    <t>PA-PA-DE</t>
  </si>
  <si>
    <t>Training Need Mgmt.</t>
  </si>
  <si>
    <t>PA-PA-GB</t>
  </si>
  <si>
    <t>Great Britain</t>
  </si>
  <si>
    <t>PA-PA-MX</t>
  </si>
  <si>
    <t>PA-PA-MY</t>
  </si>
  <si>
    <t>PA-PA-PT</t>
  </si>
  <si>
    <t>HR master data: Russ</t>
  </si>
  <si>
    <t>PA-PA-TH</t>
  </si>
  <si>
    <t>PA-PA-US-BN</t>
  </si>
  <si>
    <t>Benefits USA</t>
  </si>
  <si>
    <t>PA-PA-XX</t>
  </si>
  <si>
    <t>General Parts</t>
  </si>
  <si>
    <t>PA-PA-XX-BS</t>
  </si>
  <si>
    <t>PA-PA-XX-BS-PY</t>
  </si>
  <si>
    <t>Basis f.Payroll Data</t>
  </si>
  <si>
    <t>PA-PD</t>
  </si>
  <si>
    <t>Personnel Development</t>
  </si>
  <si>
    <t>PA-PF-CH</t>
  </si>
  <si>
    <t>Company Pension DE</t>
  </si>
  <si>
    <t>PA-PM</t>
  </si>
  <si>
    <t>Funds and Position Management</t>
  </si>
  <si>
    <t>PA-PM-BM</t>
  </si>
  <si>
    <t>Pers. Budget Plan Mg</t>
  </si>
  <si>
    <t>PA-PM-CP</t>
  </si>
  <si>
    <t>Commitment/Budget Cr</t>
  </si>
  <si>
    <t>Error message 3G 300 when you execute RPCIPE00</t>
  </si>
  <si>
    <t>PA-PM-TO</t>
  </si>
  <si>
    <t>Cross App Tools</t>
  </si>
  <si>
    <t>PA-RC</t>
  </si>
  <si>
    <t>Recruitment</t>
  </si>
  <si>
    <t>PT-EV</t>
  </si>
  <si>
    <t>Time Evaluation</t>
  </si>
  <si>
    <t>PT-EV-FO</t>
  </si>
  <si>
    <t>Time Statement Form</t>
  </si>
  <si>
    <t>PT-IS</t>
  </si>
  <si>
    <t>Information System</t>
  </si>
  <si>
    <t>PT-RC</t>
  </si>
  <si>
    <t>Time Data Recording</t>
  </si>
  <si>
    <t>PT-RC-AA</t>
  </si>
  <si>
    <t>Attendances/Absences</t>
  </si>
  <si>
    <t>PT-RC-QT</t>
  </si>
  <si>
    <t>Quotas</t>
  </si>
  <si>
    <t>PT-RC-UI</t>
  </si>
  <si>
    <t>User Interface</t>
  </si>
  <si>
    <t>PT-RC-UI-TMW</t>
  </si>
  <si>
    <t>Time Man. Workplace</t>
  </si>
  <si>
    <t>PT-WS</t>
  </si>
  <si>
    <t>Work Schedule</t>
  </si>
  <si>
    <t>PY-AR</t>
  </si>
  <si>
    <t>PY-AT-PS</t>
  </si>
  <si>
    <t>general usability enhancements</t>
  </si>
  <si>
    <t>PY-CA-TP</t>
  </si>
  <si>
    <t>3rd Party Remittance</t>
  </si>
  <si>
    <t>Business to Admin.</t>
  </si>
  <si>
    <t>Construction Industr</t>
  </si>
  <si>
    <t>PY-DE-FP-DU</t>
  </si>
  <si>
    <t>DEUEV/Miners' DEUEV</t>
  </si>
  <si>
    <t>PY-DE-FP-PJ</t>
  </si>
  <si>
    <t>Payroll Journal</t>
  </si>
  <si>
    <t>PY-DE-NT-RH</t>
  </si>
  <si>
    <t>Red.Hrs./BadWtherPay</t>
  </si>
  <si>
    <t>PY-DE-NT-SR</t>
  </si>
  <si>
    <t>Part time for pens.</t>
  </si>
  <si>
    <t>Retroact.Pens.Insur.</t>
  </si>
  <si>
    <t>Pension Administr.</t>
  </si>
  <si>
    <t>PY-DE-PS-ZV</t>
  </si>
  <si>
    <t>Supplemental Pension</t>
  </si>
  <si>
    <t>Evaluation/Stats.</t>
  </si>
  <si>
    <t>PY-DE-RP-ST</t>
  </si>
  <si>
    <t>Statements</t>
  </si>
  <si>
    <t>GB : Usability Note</t>
  </si>
  <si>
    <t>PY-GB-NT-TX</t>
  </si>
  <si>
    <t>Changes missing in note 1603872</t>
  </si>
  <si>
    <t>PY-IT-PS</t>
  </si>
  <si>
    <t>Payroll Non-profit O</t>
  </si>
  <si>
    <t>Adjustment of Checkman errors (PT) (don't release it)</t>
  </si>
  <si>
    <t>Public Sector Payrol</t>
  </si>
  <si>
    <t>PA: Russia</t>
  </si>
  <si>
    <t>PY-US-BSI</t>
  </si>
  <si>
    <t>Tax Interface BSI</t>
  </si>
  <si>
    <t>PY-US-NT</t>
  </si>
  <si>
    <t>PY-US-NT-AJ</t>
  </si>
  <si>
    <t>US Payr. Adjustment</t>
  </si>
  <si>
    <t>PY-US-NT-GR</t>
  </si>
  <si>
    <t>Garnishments</t>
  </si>
  <si>
    <t>GRN: Wrong garn. document data retrieved in Ad-hoc Query.</t>
  </si>
  <si>
    <t>PY-US-RP</t>
  </si>
  <si>
    <t>PY-US-TX</t>
  </si>
  <si>
    <t>Taxes</t>
  </si>
  <si>
    <t>PY-XX</t>
  </si>
  <si>
    <t>PY-XX-BS</t>
  </si>
  <si>
    <t>PY-XX-CE</t>
  </si>
  <si>
    <t>Conc.Empl.-Int.Pay.</t>
  </si>
  <si>
    <t>PY-XX-DME</t>
  </si>
  <si>
    <t>Preliminary DME</t>
  </si>
  <si>
    <t>PY-XX-DT</t>
  </si>
  <si>
    <t>Posting</t>
  </si>
  <si>
    <t>PY-XX-FO</t>
  </si>
  <si>
    <t>Forms</t>
  </si>
  <si>
    <t>PY-XX-IE</t>
  </si>
  <si>
    <t>Interface</t>
  </si>
  <si>
    <t>PY-XX-OC</t>
  </si>
  <si>
    <t>Off-Cycle</t>
  </si>
  <si>
    <t>PY-XX-PF</t>
  </si>
  <si>
    <t>Payroll Functions</t>
  </si>
  <si>
    <t>PY-XX-RS</t>
  </si>
  <si>
    <t>Reuse Serv. for Co.D</t>
  </si>
  <si>
    <t>PY-XX-TL</t>
  </si>
  <si>
    <t>Tools</t>
  </si>
  <si>
    <t>ESS IRP5 Application</t>
  </si>
  <si>
    <t>Human Resources</t>
  </si>
  <si>
    <t>Pension Fund Switzerland</t>
  </si>
  <si>
    <t>PY-US-CE</t>
  </si>
  <si>
    <t>Concurrent Employment - Payroll USA</t>
  </si>
  <si>
    <t>Payroll: General Parts</t>
  </si>
  <si>
    <t>Interface to External Payroll Systems</t>
  </si>
  <si>
    <t>BW-BCT-PY</t>
  </si>
  <si>
    <t>Payroll Accounting</t>
  </si>
  <si>
    <t>CA-GTF</t>
  </si>
  <si>
    <t>General Application Functions</t>
  </si>
  <si>
    <t>Manager Self-service (HR)</t>
  </si>
  <si>
    <t>PA-PA-BR</t>
  </si>
  <si>
    <t>SPV-1: XML tag &amp;lt;DataSostavleniyaNa&amp;gt;</t>
  </si>
  <si>
    <t>PE-DA</t>
  </si>
  <si>
    <t>Day-to-Day Activities</t>
  </si>
  <si>
    <t>Time Data Recording and Management</t>
  </si>
  <si>
    <t>PT-RC-UI-XS</t>
  </si>
  <si>
    <t>Self Services Web Dynpro</t>
  </si>
  <si>
    <t>PY-FR-IE</t>
  </si>
  <si>
    <t>Directory traversal in PY-FR-IE</t>
  </si>
  <si>
    <t>PY-GB-GR</t>
  </si>
  <si>
    <t>PY-GB-GR-AP</t>
  </si>
  <si>
    <t>PY-US-PS</t>
  </si>
  <si>
    <t>Reuse Services for Country Development</t>
  </si>
  <si>
    <t>Business Trip Management</t>
  </si>
  <si>
    <t>FI-TV-COS-PS</t>
  </si>
  <si>
    <t>Travel Management Public Sector</t>
  </si>
  <si>
    <t>PA-PA-DK</t>
  </si>
  <si>
    <t>Denmark</t>
  </si>
  <si>
    <t>ADS error by running adobe form with RU language</t>
  </si>
  <si>
    <t>PA-PA-SG</t>
  </si>
  <si>
    <t>Recurring Activities</t>
  </si>
  <si>
    <t>Company Car - Parameters - ER Contribution / EE Advantage</t>
  </si>
  <si>
    <t>PY-DE-NT-CF</t>
  </si>
  <si>
    <t>Capital Formation</t>
  </si>
  <si>
    <t>PY-DE-NT-GR</t>
  </si>
  <si>
    <t>Garnishment/Cession</t>
  </si>
  <si>
    <t>PY-IE-RP</t>
  </si>
  <si>
    <t>PY-IE-RP-TX</t>
  </si>
  <si>
    <t>XX</t>
  </si>
  <si>
    <t>Miscellaneous</t>
  </si>
  <si>
    <t>XX-CSC</t>
  </si>
  <si>
    <t>Country-Specific Developments</t>
  </si>
  <si>
    <t>XX-CSC-ES</t>
  </si>
  <si>
    <t>XX-PROJ</t>
  </si>
  <si>
    <t>Project-based solutions</t>
  </si>
  <si>
    <t>XX-PROJ-CDP</t>
  </si>
  <si>
    <t>SAP Custom Development Projects (see note 689050)</t>
  </si>
  <si>
    <t>XX-PROJ-CDP-045</t>
  </si>
  <si>
    <t>PA-PA-AU</t>
  </si>
  <si>
    <t>PA-PA-IN</t>
  </si>
  <si>
    <t>PE-DA-CP</t>
  </si>
  <si>
    <t>Correspondence</t>
  </si>
  <si>
    <t>PA-PA-TW</t>
  </si>
  <si>
    <t>PY-AU-CE</t>
  </si>
  <si>
    <t>Concurrent Employment - Payroll Australia</t>
  </si>
  <si>
    <t>Minimum amount advantage company car increased</t>
  </si>
  <si>
    <t>PY-CA-YE</t>
  </si>
  <si>
    <t>Year End for Canada</t>
  </si>
  <si>
    <t>PY-MX-PS</t>
  </si>
  <si>
    <t>Public Sector Mexico</t>
  </si>
  <si>
    <t>XX-TRANSL</t>
  </si>
  <si>
    <t>Translation</t>
  </si>
  <si>
    <t>FI-TV-PL</t>
  </si>
  <si>
    <t>Travel Planning</t>
  </si>
  <si>
    <t>PE-LSO</t>
  </si>
  <si>
    <t>SAP Learning Solution</t>
  </si>
  <si>
    <t>PE-LSO-TM</t>
  </si>
  <si>
    <t>Training Management</t>
  </si>
  <si>
    <t>PE-LSO-TM-RW</t>
  </si>
  <si>
    <t>[AR] Update Min. &amp; Max. Social Insurance for SUSS - Mar/</t>
  </si>
  <si>
    <t>Guaranteed wage limits: 3rd - 4th week illness</t>
  </si>
  <si>
    <t>PY-BE-PS</t>
  </si>
  <si>
    <t>PY-FR-PS</t>
  </si>
  <si>
    <t>Real Time Information</t>
  </si>
  <si>
    <t>Calculation of earnings for 2 years (CE)</t>
  </si>
  <si>
    <t>Organizational Management</t>
  </si>
  <si>
    <t>PA-PA-CH</t>
  </si>
  <si>
    <t>HR-RU: 4FSS - Missed field 3.1 in Table 2</t>
  </si>
  <si>
    <t>PE-PR</t>
  </si>
  <si>
    <t>Training and Event Preparation</t>
  </si>
  <si>
    <t>PE-PR-RM</t>
  </si>
  <si>
    <t>Resource Management</t>
  </si>
  <si>
    <t>Reduced Hours / Bad Weather Pay</t>
  </si>
  <si>
    <t>SAPKE60454</t>
  </si>
  <si>
    <t>SAPKE60455</t>
  </si>
  <si>
    <t>PPOME: Object is locked by you. (5A 503)</t>
  </si>
  <si>
    <t>IDM/HCM: Error when telephone numbers are updated</t>
  </si>
  <si>
    <t>Time data extraction: New employees not extracted</t>
  </si>
  <si>
    <t>HRUSER: No consistency when users are created in batch mode</t>
  </si>
  <si>
    <t>BAPI_CATIMESHEETMGR_INSERT does not consider CE Shared Quota</t>
  </si>
  <si>
    <t>CA-TS-IA</t>
  </si>
  <si>
    <t>Internet Applications</t>
  </si>
  <si>
    <t>CA-TS-IA-XS</t>
  </si>
  <si>
    <t>Self Services Web Dy</t>
  </si>
  <si>
    <t>CATS WDA: Display of HR records in Timesheet</t>
  </si>
  <si>
    <t>HR: Report authorization SAPDBPNP and SAPDBPNPCE</t>
  </si>
  <si>
    <t>RHBAUS04: Deleting 'obsolete' entries T77UA</t>
  </si>
  <si>
    <t>PM01: Entry in T777D is updated without transport</t>
  </si>
  <si>
    <t>HRBEN0004 deleting the EOI proven health plan</t>
  </si>
  <si>
    <t>Issue in field RP50M-INFTX of IT0171</t>
  </si>
  <si>
    <t>EOI:Locked record not deleted when there is change in cov</t>
  </si>
  <si>
    <t>Participation Monitor doesn't return inconsistent records</t>
  </si>
  <si>
    <t>BEN: New limit for Health Flexible Spending Account plans</t>
  </si>
  <si>
    <t>BEN: COBRA - Event Letter issues</t>
  </si>
  <si>
    <t>Short dump during level increase without BAdI implementation</t>
  </si>
  <si>
    <t>Enhancement of BAdI method GET_GENERIC_INFOTYPES</t>
  </si>
  <si>
    <t>RPIPSR00: ALV extensibility is insufficient</t>
  </si>
  <si>
    <t>Formal corrections query programs</t>
  </si>
  <si>
    <t>RPMREP00: report OUT_REP is not used for data output</t>
  </si>
  <si>
    <t>HR_SELECT_PERSONS: performance issue</t>
  </si>
  <si>
    <t>Infoset query generates error with statistics output</t>
  </si>
  <si>
    <t>RPCLJNJ0 shows incomplete headertext for column Type</t>
  </si>
  <si>
    <t>Performance improvements to the report RPLICO10</t>
  </si>
  <si>
    <t>Table sort in function module HR_SELECT_PERSONS</t>
  </si>
  <si>
    <t>Missing condition delete in form FILL_WPLOG_BUFFER</t>
  </si>
  <si>
    <t>Handling implicit sort of Pool/Cluster tables for HANA DB</t>
  </si>
  <si>
    <t>Quota planning: Calculation of the full-time equivalent</t>
  </si>
  <si>
    <t>Adding deficit (absolute / percentage) to RHSBES00</t>
  </si>
  <si>
    <t>Integration of PA-PD IT 0001 with customer-defined fields</t>
  </si>
  <si>
    <t>Vacancies: Deleting a personnel action</t>
  </si>
  <si>
    <t>Conversion error IT1051 in RHALEINI</t>
  </si>
  <si>
    <t>IT0027 with statistical account assignment elements</t>
  </si>
  <si>
    <t>PPOME: Input help for company code</t>
  </si>
  <si>
    <t>PPOME: IT1008 Determination of controlling area</t>
  </si>
  <si>
    <t>PP01: Creation of vacancy with inconsistent hist. rec. flag</t>
  </si>
  <si>
    <t>Headcount planning: RH_COPY_ACTUAL_TO_BUDGET - locking</t>
  </si>
  <si>
    <t>Method POSTPRIMARYCOSTS issues error 3F 881</t>
  </si>
  <si>
    <t>Dump at RH_ACC_FIND_OM</t>
  </si>
  <si>
    <t>PP01: Update of the table T513/T513s/T5U13 is incorrect</t>
  </si>
  <si>
    <t>Infotype 'Obsolete' can be saved without data in PP01</t>
  </si>
  <si>
    <t>S_AHR_61016500-task descript: Incorr displ of eff percentage</t>
  </si>
  <si>
    <t>PA40: Relationship 017 (C-P) is not delimited correctly</t>
  </si>
  <si>
    <t>Dump in LTI Customizing due to BAPI1076_LISTING</t>
  </si>
  <si>
    <t>PPOME: Quota planning: Changing the periods</t>
  </si>
  <si>
    <t>PPOME:Quota planning short dump DATA_OFFSET_NEGATIVE</t>
  </si>
  <si>
    <t>Cost distribution update termination due to rounding error</t>
  </si>
  <si>
    <t>Incomplete output of tooltip tab page</t>
  </si>
  <si>
    <t>Checkman corrections (AR)</t>
  </si>
  <si>
    <t>IT 367: End EE pens. fund not filled if person still active</t>
  </si>
  <si>
    <t>RPCKSBA0_MAT: Persons missing in comparison</t>
  </si>
  <si>
    <t>Time Manager's Workplace: Statistics Tab emptied</t>
  </si>
  <si>
    <t>Student: Planned days not shown when calling up IT 0016</t>
  </si>
  <si>
    <t>MSS: Form of Address is twice in name output</t>
  </si>
  <si>
    <t>RPUNOVB0 Improvement: Framework for the Notification Viewer</t>
  </si>
  <si>
    <t>Infotype 0021/0138 - Field description misleading</t>
  </si>
  <si>
    <t>HLACTRM0 wrongly generates extra fraction for vacation</t>
  </si>
  <si>
    <t>PA-PA-CA</t>
  </si>
  <si>
    <t>ESS: Participation Survey field in review EE appl incomplete</t>
  </si>
  <si>
    <t>PA-PA-CA-BN</t>
  </si>
  <si>
    <t>Benefits Canada</t>
  </si>
  <si>
    <t>Savings: YMPE deductions not calculated correctly.</t>
  </si>
  <si>
    <t>CE-CH: SV-Nr. in Suchmaske zur Wiedererkennung von Mitarb.</t>
  </si>
  <si>
    <t>Dummy Note for 604</t>
  </si>
  <si>
    <t>Enhancement of Input Help for Infotype 0532</t>
  </si>
  <si>
    <t>Add Description for Fields in View V_7CN20_SI &amp; V_7CN20_PHF</t>
  </si>
  <si>
    <t>Correction on Employee Name Output Format</t>
  </si>
  <si>
    <t>Data privacy for HR master data: Formal changes</t>
  </si>
  <si>
    <t>New absence: Organ or Tissue Donation (0370)</t>
  </si>
  <si>
    <t>Create new screen 2006 for IT0023</t>
  </si>
  <si>
    <t>RPLRPSF1: Update to take into account new fields of IT0023</t>
  </si>
  <si>
    <t>Infotype 0424/0080 - Lock indicator (II)</t>
  </si>
  <si>
    <t>Wrong entry in V_T582ITVCHCK for infotype 0860</t>
  </si>
  <si>
    <t>TNM: fix for infotype 1683 (Budget) navigation issue</t>
  </si>
  <si>
    <t>TNM: only one rel. 941 created after cancel event</t>
  </si>
  <si>
    <t>TNM: "Course ID" parameter is not working</t>
  </si>
  <si>
    <t>Training Needs Management: Title of the area menu now in DE</t>
  </si>
  <si>
    <t>TNM: runtime error during validity dates change</t>
  </si>
  <si>
    <t>PERMO updation for IT0002</t>
  </si>
  <si>
    <t>IT2001 Not Copying Data for Multiple Employment</t>
  </si>
  <si>
    <t>PA-PA-IT</t>
  </si>
  <si>
    <t>Checkman corrections (IT)</t>
  </si>
  <si>
    <t>Potential directory traversal in PA-PA-IT</t>
  </si>
  <si>
    <t>Potential disclosure of persisted data in PA-PA-IT</t>
  </si>
  <si>
    <t>Downport for Childcare Leave &amp; Nursing Leave to EHP5 &amp; EHP4</t>
  </si>
  <si>
    <t>ESS: Enhancement of Commuting Allowance Form Phase 2</t>
  </si>
  <si>
    <t>Korea 2012 Year-End Adjustment Legal Changes Phase II</t>
  </si>
  <si>
    <t>ESS-ITS Infotype 0812: Previous Year's Data &amp; Count Field</t>
  </si>
  <si>
    <t>Transfer Date for Separation Tax Deferring (Infotype 0538)</t>
  </si>
  <si>
    <t>Changes to IT0060</t>
  </si>
  <si>
    <t>Copy of Absence infotype generates ASSERTION_FAILED</t>
  </si>
  <si>
    <t>Pension return to APG: Wrong language for marital st. descr.</t>
  </si>
  <si>
    <t>Technical adjustments to decoupling logic for IT0854</t>
  </si>
  <si>
    <t>EIR: Short dump when updating Infotype 3250</t>
  </si>
  <si>
    <t>SZV-6-*, ADV-6-2, RSV-1, DSV-3: cumulative updates 10.2012</t>
  </si>
  <si>
    <t>SZV-6-*, SPV-1: zero deltas processing in correctional form</t>
  </si>
  <si>
    <t>SZV-6-*, ADV-6-2: cumulative updates 11.2012</t>
  </si>
  <si>
    <t>HR-RU: seniorities on date of rehiring in form T-2</t>
  </si>
  <si>
    <t>IT0290, Lock Indicator at screen 3000</t>
  </si>
  <si>
    <t>HR-RU: habitation privileges in XML file of 2-NDFL form</t>
  </si>
  <si>
    <t>2-NDFL, SZV-6-*: performance improvement</t>
  </si>
  <si>
    <t>HRULP4: Payroll Area not Checked When Reading PY Results</t>
  </si>
  <si>
    <t>IT0755: Field 'Details of Debt' display only 72 characters</t>
  </si>
  <si>
    <t>Hard-coded credentials in PA-PA-SG</t>
  </si>
  <si>
    <t>IT0001: Incorrect 'Exempt' indicator in Infotype 0001 screen</t>
  </si>
  <si>
    <t>Data Protection: Destroying U.S. Personnel Master Data</t>
  </si>
  <si>
    <t>IT0696: Fields labels in German in Absence Pools infotype.</t>
  </si>
  <si>
    <t>Limits for retirement, savings plans in tax year 2013.</t>
  </si>
  <si>
    <t>Infotype 0008: Date of next increase was deleted</t>
  </si>
  <si>
    <t>PU22: Issue when exiting HR preparations for Archiving</t>
  </si>
  <si>
    <t>PU22- HR preperation step: ILM simulation</t>
  </si>
  <si>
    <t>Update infotype 283 after destruction of Archive Data</t>
  </si>
  <si>
    <t>RPUDELPN: Technical change in Lock/Unlock employee process</t>
  </si>
  <si>
    <t>IT0009: Header incorrect in overview screen</t>
  </si>
  <si>
    <t>IBAN/SEPA: Message RP748 although Bank Key is filled</t>
  </si>
  <si>
    <t>Feature P0002: insert MASSN as valid field for decision</t>
  </si>
  <si>
    <t>IT0001: Error message KI 100 when deleting a record</t>
  </si>
  <si>
    <t>PA48: Hiring action not populating the default values</t>
  </si>
  <si>
    <t>HCMDP:Extended syntax check error in LHRPAWAGETYPEGRPF00</t>
  </si>
  <si>
    <t>Personal data in HCM:Corrections in PA Data destruction tool</t>
  </si>
  <si>
    <t>IT overview: Dump OBJECTS_OBJREF_NOT_ASSIGNED when scrolling</t>
  </si>
  <si>
    <t>Data Privacy: Framework Changes and Corrections</t>
  </si>
  <si>
    <t>PA_LDOC: Application Logs enabled</t>
  </si>
  <si>
    <t>Visibility of field PA0283-STGRP Screen of Infotype 0283</t>
  </si>
  <si>
    <t>Monitoring of Tasks issue in start time End Of Year</t>
  </si>
  <si>
    <t>IT0009: Error BF00 211 for IBAN proposal</t>
  </si>
  <si>
    <t>PA41: Error message RP301 in infotype 0001</t>
  </si>
  <si>
    <t>Visible length of text maintenance pushbutton</t>
  </si>
  <si>
    <t>PA48: Sorting by hire date is not working</t>
  </si>
  <si>
    <t>Wrong language for OTR Texts in Qualifications AO</t>
  </si>
  <si>
    <t>EXIT_SAPFP50M_002: Infotype view data not filled</t>
  </si>
  <si>
    <t>RPUDELPN: Data not deleted from optical archive</t>
  </si>
  <si>
    <t>IT0014/IT0015: Invalid wage types displayed in input help</t>
  </si>
  <si>
    <t>RH_GET_POSITION_TAB: Buffering avoided</t>
  </si>
  <si>
    <t>PB10: Exception CX_HRPA_MISSING_PERSONID</t>
  </si>
  <si>
    <t>Warning message is triggered twice</t>
  </si>
  <si>
    <t>Personnel assignment details: field content is empty</t>
  </si>
  <si>
    <t>RPUPROTU: Missing authorization check when deleting</t>
  </si>
  <si>
    <t>IT0001: Payroll control record of payroll area not checked</t>
  </si>
  <si>
    <t>Subtype determination avoids HRAC buffering</t>
  </si>
  <si>
    <t>Org Assignment extension: Cost Center and Job fields cleared</t>
  </si>
  <si>
    <t>Dynamic action not executed</t>
  </si>
  <si>
    <t>PU00: Msg PG 427 for employees for whom payroll already run</t>
  </si>
  <si>
    <t>Messages PG207 and PG210 are not triggered</t>
  </si>
  <si>
    <t>Hiring action popup does not contain all actions</t>
  </si>
  <si>
    <t>BADI HR_CE_PERSONID_EXT: SAP implementation exists as active</t>
  </si>
  <si>
    <t>EXIT_SAPFP50M_002: Infotype view data not updated</t>
  </si>
  <si>
    <t>IT0001: Search help for org.units displays other values</t>
  </si>
  <si>
    <t>LGMST: Additional decision field ANSVH</t>
  </si>
  <si>
    <t>HR_ENTRY_DATE: Incorrect entry date from infotype 0041</t>
  </si>
  <si>
    <t>RPUDELPN: Integration added to application log</t>
  </si>
  <si>
    <t>RHINTE30: T77INT entry created in test mode</t>
  </si>
  <si>
    <t>Termination action triggers the error message PB300</t>
  </si>
  <si>
    <t>Not possible to scroll back within the action</t>
  </si>
  <si>
    <t>HR_MAINTAIN_MASTERDATA: Parameter MODIFIED_KEYS filled</t>
  </si>
  <si>
    <t>Feature ZLSCH: Field SUBTY is not taken into account</t>
  </si>
  <si>
    <t>IT0000: screen fields hidden in T588M are still displayed</t>
  </si>
  <si>
    <t>Subtype check: Error message too generic</t>
  </si>
  <si>
    <t>PA30: short dump with exception CX_HRPA_MISSING_INFTY_DATA</t>
  </si>
  <si>
    <t>PA_LDOC: Logs of personnel number with no country grouping</t>
  </si>
  <si>
    <t>IBAN/SEPA:Account number not correctly derived from  IBAN</t>
  </si>
  <si>
    <t>Infotype record can be deleted despite time constraint 1</t>
  </si>
  <si>
    <t>PA30, PA40: Runtime error OBJECTS_OBJREF_NOT_ASSIGNED_NO</t>
  </si>
  <si>
    <t>PA40: Error message PG837 appears in infotype 0000</t>
  </si>
  <si>
    <t>Documents updated twice during creation of infotype log</t>
  </si>
  <si>
    <t>Dynamic action not performed after scrolling</t>
  </si>
  <si>
    <t>PA40:Existing infotype displayed in INSERT mode</t>
  </si>
  <si>
    <t>PA42: Country grouping not included in Help Values List</t>
  </si>
  <si>
    <t>PA30:Header incorr. for PERNR change using object manager 2</t>
  </si>
  <si>
    <t>Infotype view: Dynamic action not triggered by field change</t>
  </si>
  <si>
    <t>RHCD: Error message issued repeatedly</t>
  </si>
  <si>
    <t>UI: Data elements without long texts</t>
  </si>
  <si>
    <t>Personal data in HCM:Corrections to PA Data Destruction tool</t>
  </si>
  <si>
    <t>Technical changes in MPPERS00, FP50ME00 and FP50GE00</t>
  </si>
  <si>
    <t>Change of Payroll area triggers message HRCCE_CHG_PY005</t>
  </si>
  <si>
    <t>Performance issue with HR_APPEND_ERROR_LIST</t>
  </si>
  <si>
    <t>Change of payroll area triggers message HRCCE_CHG_PY000</t>
  </si>
  <si>
    <t>IT0121: Enablement of modification free add-on solution</t>
  </si>
  <si>
    <t>Unable to change the payroll area: error message PG228</t>
  </si>
  <si>
    <t>Vacancy during organizational change</t>
  </si>
  <si>
    <t>Change of Position triggers the error message PB300</t>
  </si>
  <si>
    <t>Undo destruction request in case of an error</t>
  </si>
  <si>
    <t>New Function HR_FILL_BUFFER_MULTIPLE_PERNR</t>
  </si>
  <si>
    <t>PA41: IT0019 date not adjusted</t>
  </si>
  <si>
    <t>Field content is empty in the infotype header</t>
  </si>
  <si>
    <t>IT0022/Branch of Study 2: Search help cannot be selected</t>
  </si>
  <si>
    <t>Infotypes: Start date/End date incorrectly initialized</t>
  </si>
  <si>
    <t>PM01: tech change for SAP int: reservation of infotype</t>
  </si>
  <si>
    <t>Transaction PM01 does not transport T582ITVCLAS entry</t>
  </si>
  <si>
    <t>Runtime error MESSAGE_TYPE_X during payroll area change</t>
  </si>
  <si>
    <t>Indirect valuation: Reduction Y is not taken into account</t>
  </si>
  <si>
    <t>IT0011: Error message PG 073 incorrectly issued</t>
  </si>
  <si>
    <t>PA-PD-AP</t>
  </si>
  <si>
    <t>Appraisal Systems</t>
  </si>
  <si>
    <t>Program termination after creating appraisal using IT 0025</t>
  </si>
  <si>
    <t>RBM: Changed flow logic for creation of MZ01 notifications</t>
  </si>
  <si>
    <t>RBM: Corrections/enhancements MZ01 (3/2012)</t>
  </si>
  <si>
    <t>Pension receipt notification: New version as of 2013</t>
  </si>
  <si>
    <t>RBM: Display of benefit feature (LEMN) in notif. overview</t>
  </si>
  <si>
    <t>CPS: Minor corrections (06/2012)</t>
  </si>
  <si>
    <t>PA-PF-NL</t>
  </si>
  <si>
    <t>Pension Fund NL</t>
  </si>
  <si>
    <t>Potential disclosure of persisted data in PA-PF-NL</t>
  </si>
  <si>
    <t>PA-PF-XX</t>
  </si>
  <si>
    <t>Pens.Fund: Gen.Parts</t>
  </si>
  <si>
    <t>PF: Delivery of new Business Add-Ins</t>
  </si>
  <si>
    <t>Pension fund: Creating IT0279 with incorrect values</t>
  </si>
  <si>
    <t>Improvements for determining the job index key</t>
  </si>
  <si>
    <t>Job index: Error message H1 314 when changing job index key</t>
  </si>
  <si>
    <t>PB60: Run time error PERFORM_CONFLICT_TYPE</t>
  </si>
  <si>
    <t>PA-RC-AS</t>
  </si>
  <si>
    <t>Applicant Selection</t>
  </si>
  <si>
    <t>Cannot increase Priority more than 99 on Vacancy Assignmen</t>
  </si>
  <si>
    <t>RHXVORM1_LSO: Incorrect output</t>
  </si>
  <si>
    <t>RPUCCONVCL: Parameters: Do not process PCL2/PCL1 records</t>
  </si>
  <si>
    <t>RPTIME00: Missing update in infotype 2006</t>
  </si>
  <si>
    <t>PT50: Message 'Cluster is already archived...' (72 230)</t>
  </si>
  <si>
    <t>RPTABS20: Performance optimization</t>
  </si>
  <si>
    <t>RPTQTA10: Performance optimization</t>
  </si>
  <si>
    <t>RPTABS60: Performance optimization changes</t>
  </si>
  <si>
    <t>HCMDP: HRTIM_MIL archiving object not working correctly</t>
  </si>
  <si>
    <t>PA61: Error message for full-day absence</t>
  </si>
  <si>
    <t>PA61: CE-specific header is missing in screen 2002</t>
  </si>
  <si>
    <t>PA61: Copying records in list entry (II)</t>
  </si>
  <si>
    <t>IT 0007: Field attribute incorrect (KZTIM and WWEEK)</t>
  </si>
  <si>
    <t>RPTUPD00: Error messages when running the BI session</t>
  </si>
  <si>
    <t>RPTERR01: Missing ALV update for ALV context menu</t>
  </si>
  <si>
    <t>BAPI_PTMGRATTABS_MNGCREATION/BAPI_PTMGRATTABS_MNGCHANGE</t>
  </si>
  <si>
    <t>PT02: Error monthly working hours for ALV list</t>
  </si>
  <si>
    <t>IT 0081: Field AINFT not filled in IT 2001</t>
  </si>
  <si>
    <t>EXIT_SAPLHRLV_009: New parameter 'XALLOW'</t>
  </si>
  <si>
    <t>PA30: Unlocking absences does not work</t>
  </si>
  <si>
    <t>HR_ABS_ATT_TIMES: Internal determination of the IT 0001</t>
  </si>
  <si>
    <t>PT-RC-EX</t>
  </si>
  <si>
    <t>HR-PDC</t>
  </si>
  <si>
    <t>Performance optimization for RPTEXTPT</t>
  </si>
  <si>
    <t>PTMW: Time pair is displayed twice (end of month)</t>
  </si>
  <si>
    <t>BLP: Changes due to archiving mode for countries</t>
  </si>
  <si>
    <t>PTMW: Short dump when you read work schedule</t>
  </si>
  <si>
    <t>ESS MSS LEA: Very slow setup of team calendar</t>
  </si>
  <si>
    <t>PP61: customer_exit_on_data_changed does not work</t>
  </si>
  <si>
    <t>PP61: Multiple partial-day attendances with errors</t>
  </si>
  <si>
    <t>PT-TL</t>
  </si>
  <si>
    <t>HCM - Declustering Implementation for Time Management B2</t>
  </si>
  <si>
    <t>[AR] ARIMP - ART Withholdings not discounted from Income Tax</t>
  </si>
  <si>
    <t>[AR] Missing Company code and name in HARSCI00 and HARCOS00</t>
  </si>
  <si>
    <t>[AR] Wrong Tax adjustment in December in report HARCF649</t>
  </si>
  <si>
    <t>[AR]Documentation: Alternative form "Certif. de Servicios"</t>
  </si>
  <si>
    <t>[AR] Wrong Result in ART for base amount /013 and /014 ART</t>
  </si>
  <si>
    <t>[AR] Tax tables - values for 2013</t>
  </si>
  <si>
    <t>[AR] Directory traversal in PY-AR</t>
  </si>
  <si>
    <t>Checkman dummy</t>
  </si>
  <si>
    <t>obsolet: nicht benutzen SP-Stempel</t>
  </si>
  <si>
    <t>PCALZ: Auslandslohnzettel steuerfreie Bezüge nach §26</t>
  </si>
  <si>
    <t>PCALZ - Fehler bei Stornomeldung E18 mit neuer AG-Nummer</t>
  </si>
  <si>
    <t>IT 0367/06:  Änderung SV-bezogener Daten, ELDA-Feld MVEND</t>
  </si>
  <si>
    <t>HR RENO: SAP_HRCAT Korrektur</t>
  </si>
  <si>
    <t>UEKV: Unnötige Meldung nach dem Abrechnungslauf</t>
  </si>
  <si>
    <t>JW 2012/13: Auflösungsabgabe Dienstgeber</t>
  </si>
  <si>
    <t>Auslandstätigkeit, Montageprivileg 2012 und Lohnzettelart 8</t>
  </si>
  <si>
    <t>Dyn. Maßn. von IT 0006 zu IT 367: keine Gründe</t>
  </si>
  <si>
    <t>Directory traversal in PY-AT</t>
  </si>
  <si>
    <t>Potential disclosure of persisted data in PY-AT</t>
  </si>
  <si>
    <t>JW 2012/13: ELDA, Referenznummer Lohnzettel Finanz</t>
  </si>
  <si>
    <t>JW 2012/13: ELDA Versichertenmeldung VM und BVA-Meldung P3</t>
  </si>
  <si>
    <t>Montageprivileg: Zahlungen zum Austritt (Abfertigungen etc.)</t>
  </si>
  <si>
    <t>Korrekturen/Erweiterungen PCALZ Log/Trace</t>
  </si>
  <si>
    <t>JW 2012/13: ELDA Arbeits- und Entgeltbestätigung</t>
  </si>
  <si>
    <t>Neue Kundenstatus für Domäne PC03_STATU</t>
  </si>
  <si>
    <t>JW 2012/13: Steuerberechnung für Zinsersparnis bei Darlehen</t>
  </si>
  <si>
    <t>JW 2012/13: SV Mindest- und Höchstbeitragsgrundlagen ab 2013</t>
  </si>
  <si>
    <t>JW 2012/13: Neue AV-Grenzbeträge ab 2013</t>
  </si>
  <si>
    <t>JW 2012/13: Nachtschwerarbeit Satz steigt auf 3,70% ab 2013</t>
  </si>
  <si>
    <t>HR-AT: Pcalz Ermittlung des Rückrechnungshorizont</t>
  </si>
  <si>
    <t>JW 2012/13: SV-Altersumstufung ältere Dienstnehmer</t>
  </si>
  <si>
    <t>Simulation: Kalendergenerierung und Nachrichten</t>
  </si>
  <si>
    <t>RPCSVBA2PBS: Kondensierung von ELDA Meldungen und Formular</t>
  </si>
  <si>
    <t>JW 2012/13: Pension, Aufwertungzahl SV</t>
  </si>
  <si>
    <t>JW 2012/13: Pensionsabfindungen Grenzbetrag für 2013</t>
  </si>
  <si>
    <t>Documentation modified for ETP</t>
  </si>
  <si>
    <t>Victorian LSL calculation applied to non-Victorian employees</t>
  </si>
  <si>
    <t>Reversal of payments made in advance (PIA)</t>
  </si>
  <si>
    <t>Payment Summary ETP Whole of Income CAP:Part1</t>
  </si>
  <si>
    <t>RESC generated incorrectly in case of a cost center split</t>
  </si>
  <si>
    <t>Directory traversal in PY-AU</t>
  </si>
  <si>
    <t>Backup of Wagetypes /109 and /409 during the AVERA calls</t>
  </si>
  <si>
    <t>Incorrect /TLF in case of retro change in leave payments</t>
  </si>
  <si>
    <t>Termination org. does not update Default position IT0001</t>
  </si>
  <si>
    <t>ETP DRQ Whole income cap Termination Org. 2012/2013 Part 1</t>
  </si>
  <si>
    <t>Number field is getting populated in wagetypes: /LTT, /LTB</t>
  </si>
  <si>
    <t>Tax witholding limit on Additional Payments</t>
  </si>
  <si>
    <t>Advance pay not added to wage types /116 and /E11</t>
  </si>
  <si>
    <t>Incorrect ETP/Transitional CAP amount and rate</t>
  </si>
  <si>
    <t>IT2001 record not created when day type is greater than '1'</t>
  </si>
  <si>
    <t>Legal Requirement : APS remuneration report</t>
  </si>
  <si>
    <t>Termination &amp; redundacy Workbench LSL issues</t>
  </si>
  <si>
    <t>Directory traversal in PY-AU-PS</t>
  </si>
  <si>
    <t>BELCOTAX: report zone 1.024 only if zone 0.013 filled</t>
  </si>
  <si>
    <t>RPTGENB0: Long-term sickness within leap year</t>
  </si>
  <si>
    <t>Tax reduction Art 275-7 WIB92/CIR92 (IPA) &amp; Calc.base CIP</t>
  </si>
  <si>
    <t>Pointer overflow when absence is longer than 1 year</t>
  </si>
  <si>
    <t>IT 0101 - Factual Divorce &amp; Income Partner not allowed</t>
  </si>
  <si>
    <t>DmfA: students warning for no /310 wage type</t>
  </si>
  <si>
    <t>DmfA: CAPELO wrong messages for career interruption</t>
  </si>
  <si>
    <t>Dimona Students: Double and update of planned days-Addendum</t>
  </si>
  <si>
    <t>BEEVL : Correction in case of BEEVL record splits in period</t>
  </si>
  <si>
    <t>Move BAdI HRPAY99_KTO to Belgian Package</t>
  </si>
  <si>
    <t>Documentation Updates</t>
  </si>
  <si>
    <t>DmfA-Contribution Adjustment for Dismissed Stat.-Correction</t>
  </si>
  <si>
    <t>Activation Alowance - Short dump when age &gt; 26 and 3411</t>
  </si>
  <si>
    <t>Dismissal Allowances &amp; Integration Fee Inactive</t>
  </si>
  <si>
    <t>DmfA: structural reduction unnecessary warning message</t>
  </si>
  <si>
    <t>Belgium - B2A/Status Handler(SH): Navigation &amp; Background</t>
  </si>
  <si>
    <t>Payroll stops in cycle B030 for wagetype /4S1</t>
  </si>
  <si>
    <t>Low moderated wages - Employee tax reduction</t>
  </si>
  <si>
    <t>BELCOTAX: XML download - review of mandatory fields</t>
  </si>
  <si>
    <t>HR-BE: Quality Improvements</t>
  </si>
  <si>
    <t>Employee's provision values duplicated in case of org.change</t>
  </si>
  <si>
    <t>HBRCALC0: Wrong generation of family allow. wagetype (/320)</t>
  </si>
  <si>
    <t>RAIS: Generic Layout - wrong information for CNPJ - Record 9</t>
  </si>
  <si>
    <t>PY-BR: Potential Directory Traversal</t>
  </si>
  <si>
    <t>HBRRTER3: Technical log for discounts is not complete</t>
  </si>
  <si>
    <t>HBRRTER3: Issues with texts, formatting and sequence numbers</t>
  </si>
  <si>
    <t>HBRRTER3: CNPJ/CEI field is not formatted correctly</t>
  </si>
  <si>
    <t>Code injection vulnerability in PY-BR</t>
  </si>
  <si>
    <t>HBRUTMS5: Dynamic code in TemSe download</t>
  </si>
  <si>
    <t>Screen Enhancement for Infotype 221</t>
  </si>
  <si>
    <t>TAX: Outflow proration incorrect in specific cases</t>
  </si>
  <si>
    <t>PU01:Unable to delete current payroll for CE employee</t>
  </si>
  <si>
    <t>TAX : NT and NU payroll taxes not deducted from net amount</t>
  </si>
  <si>
    <t>TAX:CPP incorrect for 65 yr employee with U Specification</t>
  </si>
  <si>
    <t>ROE: Earnings not reported over different payroll areas</t>
  </si>
  <si>
    <t>Directory traversal in PY-CA and PY-CA-RP</t>
  </si>
  <si>
    <t>FAK&amp;MfA: Error for inactive contracts with difference bonus</t>
  </si>
  <si>
    <t>RPLBGAC1 Calc. of spec. gross value for mid-year entry/leave</t>
  </si>
  <si>
    <t>View variants for function no. in IT39 IT600 (call in IMG)</t>
  </si>
  <si>
    <t>New form for solidarity statement</t>
  </si>
  <si>
    <t>WhT: V_T5C2D: Minimum tax rate not taken into account</t>
  </si>
  <si>
    <t>HR-CH: Revision 2012, report RPLBGAC1</t>
  </si>
  <si>
    <t>FamZReg: New version of file interface (1.4) from 01.01.2013</t>
  </si>
  <si>
    <t>Technical change for decoupling country versions CH and DE</t>
  </si>
  <si>
    <t>New selection parameter for ALV layout in control lists</t>
  </si>
  <si>
    <t>HR-CH: BAdI for paymt, year-end bonus, customer enhancement</t>
  </si>
  <si>
    <t>ELM: Reading of infotypes 0006 and 0036 is incorrect</t>
  </si>
  <si>
    <t>[CL] Rounding issue in FONASA contributions calculation</t>
  </si>
  <si>
    <t>[CL] Missing data in PREVIRED file with Termination</t>
  </si>
  <si>
    <t>[CL] Social Insurance limits calculation in Subsidy report</t>
  </si>
  <si>
    <t>[CL] Incorrect AFP code in PREVIRED for retiree employees</t>
  </si>
  <si>
    <t>Set PHF Fixed Amount Exemption to Default Currency</t>
  </si>
  <si>
    <t>Enhancement: Removal of /4M0 in Tax Calculation for China</t>
  </si>
  <si>
    <t>Correction of PHF and SI Check in Function GON for China</t>
  </si>
  <si>
    <t>Prerequisites Check for On-Demand Payroll</t>
  </si>
  <si>
    <t>Enhancement of Print Form in Year End Tax Declaration Report</t>
  </si>
  <si>
    <t>Data protection: Destroying reporting data (payroll Germany)</t>
  </si>
  <si>
    <t>LStA/LStB: Enhancement of test report RPUTX7D0</t>
  </si>
  <si>
    <t>RPCSVPD0: Preparation for eXTra schema Version 1.3</t>
  </si>
  <si>
    <t>B2A: Memory space error in report H99_B2AREORG</t>
  </si>
  <si>
    <t>B2A: Minor enhancements to the B2A Manager</t>
  </si>
  <si>
    <t>B2A: XML Evaluation: Empty tag with attributes</t>
  </si>
  <si>
    <t>ETNotif.: Sending ETNotif. with send-Auth only</t>
  </si>
  <si>
    <t>ELStAM: Corrections/improvements B2A</t>
  </si>
  <si>
    <t>ETNotif./ETStmt: New XML schemas for 2013</t>
  </si>
  <si>
    <t>SI: Composite SAP Note data exchange 8/2012</t>
  </si>
  <si>
    <t>ELStAM: Adjustments of method calls for Sync Package</t>
  </si>
  <si>
    <t>SI: Composite SAP Note data exchange 9/2012</t>
  </si>
  <si>
    <t>ELStAM: Error code 190017404 when retrieving responses</t>
  </si>
  <si>
    <t>SFP: Leave notif. for trainees /BBF &amp; /BBG in data rec.URMEL</t>
  </si>
  <si>
    <t>SFP: Unnecessary ANMEL records in RA w/ notification key 60</t>
  </si>
  <si>
    <t>SFP: Unnecessary ANMEL records in RA w/ notification key 11</t>
  </si>
  <si>
    <t>Leave IT 2006: Incorrect pay for prev. employer entitlement</t>
  </si>
  <si>
    <t>SKV: Incorrect statements for industrial workers</t>
  </si>
  <si>
    <t>DEUEV year-end legal change 2012/2013</t>
  </si>
  <si>
    <t>DEUEV(UVMG): Corrections XVIII</t>
  </si>
  <si>
    <t>DEUEV: Corrections VIII</t>
  </si>
  <si>
    <t>EEL: Repeating a preexisting condition request</t>
  </si>
  <si>
    <t>ZMV: Changes to paying office procedure as of Jan. 01, 2013</t>
  </si>
  <si>
    <t>EEL: Corrections and enhancements (12/2012)</t>
  </si>
  <si>
    <t>EEL process view: Incorr. assignment after changing absence</t>
  </si>
  <si>
    <t>EEL process view: Repeat preexisting condition query</t>
  </si>
  <si>
    <t>AAG: Valid-from date of the message not taken into account</t>
  </si>
  <si>
    <t>Payroll account: SP reassessment request(/28S)</t>
  </si>
  <si>
    <t>Prohibited activities:Supplement to maternity pay too high 3</t>
  </si>
  <si>
    <t>Prohibited activities:Supplement to maternity pay too high 4</t>
  </si>
  <si>
    <t>Prohibited activities: Termination after repetition run II</t>
  </si>
  <si>
    <t>Evaluation of subapplications</t>
  </si>
  <si>
    <t>BVV: Conversion of master data</t>
  </si>
  <si>
    <t>BVV: New pay scales for 2013</t>
  </si>
  <si>
    <t>BVV: Corrections 12 2012</t>
  </si>
  <si>
    <t>BVV: Corrections 12 2012 (2)</t>
  </si>
  <si>
    <t>PO: Max earliest retroactive accounting period in simulation</t>
  </si>
  <si>
    <t>EP: New wage types for reproducibilty of calculation</t>
  </si>
  <si>
    <t>PO: Incorrect tax/social insurance in in-period</t>
  </si>
  <si>
    <t>PO: Activating forced retroactive accounting run function</t>
  </si>
  <si>
    <t>EP: Incorr. stat. deduc. in in-period when deleting WT BUEZ</t>
  </si>
  <si>
    <t>EP: Wage type net repayment in fictitious calculation</t>
  </si>
  <si>
    <t>RPUBVDD0: Warning if missing dummy number and inactive PPO</t>
  </si>
  <si>
    <t>Changing notif. proced. for statement of contributions paid</t>
  </si>
  <si>
    <t>Concurrent employment as of January 01, 2013</t>
  </si>
  <si>
    <t>Year-end legal change 2012/2013: Social insurance</t>
  </si>
  <si>
    <t>SI reporting: Termination in distributed reporting (2)</t>
  </si>
  <si>
    <t>RPUBGDD0: Changes year-end legal change 2012/2013</t>
  </si>
  <si>
    <t>RHC: Changes for year-end legal change 2012/2013</t>
  </si>
  <si>
    <t>Church tax obligation in schedule for minimum net amount</t>
  </si>
  <si>
    <t>ELStAM: Corrections year-end legal change 2012/ 2013</t>
  </si>
  <si>
    <t>Tax: Year-end legal change 2012/2013</t>
  </si>
  <si>
    <t>ELStAM: Correction for RPCE2ZD0 "Delete" pushbutton</t>
  </si>
  <si>
    <t>ELStAM: Religion of spouse not copied</t>
  </si>
  <si>
    <t>ELStAM: Validation error - code 551001001</t>
  </si>
  <si>
    <t>Garantiebetrag TV-L: neue Berechnungsweise</t>
  </si>
  <si>
    <t>Adjustments to Adobe forms</t>
  </si>
  <si>
    <t>Archiving is not possible due to irregular payments</t>
  </si>
  <si>
    <t>ZfA: Several family equalization funds in one client</t>
  </si>
  <si>
    <t>Message 5Z 240 in report RPLRZAD0 is displayed incorrectly</t>
  </si>
  <si>
    <t>Valuation of overtime according to section 2 TVoeD</t>
  </si>
  <si>
    <t>EEL and CFP ER contribution: Correction for wage type /57J</t>
  </si>
  <si>
    <t>RPLRZAD0: Blank "Susp. Part of Pens." fld nt in BI session</t>
  </si>
  <si>
    <t>ZfA: Incorrect warnings when assigning ZKNN notifications</t>
  </si>
  <si>
    <t>New values for non-monetary remuneration as of 2013</t>
  </si>
  <si>
    <t>Premium calculation: /O4I not mapped to previous month</t>
  </si>
  <si>
    <t>Level determ. for higher grouping from indiv. highest level</t>
  </si>
  <si>
    <t>ZFA: New display report without change functions</t>
  </si>
  <si>
    <t>ZfA: Inconsistencies RPUZFAD0-Dynpros 100, 200, 300</t>
  </si>
  <si>
    <t>Error message when deleting empty posting runs 3</t>
  </si>
  <si>
    <t>Misleading error message during data release</t>
  </si>
  <si>
    <t>Data from the deleted operation transferred to new operation</t>
  </si>
  <si>
    <t>Retro acctg relev. of indiv. flds of infotypes 0326 and 0782</t>
  </si>
  <si>
    <t>Treaty on the sharing of pension costs (20)</t>
  </si>
  <si>
    <t>Stmt for appendix G, imputation sect. 54:Display incomplete</t>
  </si>
  <si>
    <t>Regular Reimbursement According to Sec.10 VersStaatsV (7)</t>
  </si>
  <si>
    <t>Public Services regulatn: Adjustment amount art. 107 para. 3</t>
  </si>
  <si>
    <t>Public Services regulation Schleswig-Holstein, Lower Saxony</t>
  </si>
  <si>
    <t>Pub Srvcs reg. Rheinland Palatinate: Cst-of-living adj. IX</t>
  </si>
  <si>
    <t>Enhancement of BAdI HRPAY00_FED_STATE_SEN</t>
  </si>
  <si>
    <t>Error deleting a process scenario</t>
  </si>
  <si>
    <t>Incorr. special paymt for upper limit sec.54 para.4 BeamtVG</t>
  </si>
  <si>
    <t>Wage type /ORE (SoBon Upper Limit Sec.55) is not created</t>
  </si>
  <si>
    <t>VBL: New section required for new taxing feature</t>
  </si>
  <si>
    <t>/55E for garn. princ. of or.: ER suppl. benefits not in /101</t>
  </si>
  <si>
    <t>Optimization for division of the supplementary pension by 12</t>
  </si>
  <si>
    <t>SP fictitious gross amount for mat. prot. and leave premium</t>
  </si>
  <si>
    <t>Short dump for IT0051 in case of delimited SP employer</t>
  </si>
  <si>
    <t>Inflows/outflows during fictitious gross periods</t>
  </si>
  <si>
    <t>Record type supplemented for SPI group BVK, message 60/0</t>
  </si>
  <si>
    <t>RPLEHAD3: Changes for the display year 2012</t>
  </si>
  <si>
    <t>RPLEHAD3: Semiretirement and working time 2</t>
  </si>
  <si>
    <t>Corrections to statements 12/2012</t>
  </si>
  <si>
    <t>PY-DK</t>
  </si>
  <si>
    <t>HRDK: Enable parameter SPLQU of RAB function for Denmark</t>
  </si>
  <si>
    <t>CHECKMAN</t>
  </si>
  <si>
    <t>CALC: Prorate proportional to the number of active days</t>
  </si>
  <si>
    <t>EIGA: Synchronization issue of correction from note 1226447</t>
  </si>
  <si>
    <t>Contrat@: Changes of June, 2012</t>
  </si>
  <si>
    <t>ERE: General corrections I - 2012</t>
  </si>
  <si>
    <t>TEMSE: Adaptation of TemSe report to PSE</t>
  </si>
  <si>
    <t>SSOCIAL: Suppression of bonifications through RPUOCUE0</t>
  </si>
  <si>
    <t>Garnishment: New option to reduce the calculation base</t>
  </si>
  <si>
    <t>Issue with employees under transitory reg. training contract</t>
  </si>
  <si>
    <t>PA: Infotype framework preparation for Spain</t>
  </si>
  <si>
    <t>190: Issue in case of retroactive change of Juridic Person</t>
  </si>
  <si>
    <t>Contract Printing: joint contracts</t>
  </si>
  <si>
    <t>TC: Doubled number of hours in additional settlement II</t>
  </si>
  <si>
    <t>IGA - Incompatible reasons 9, 10 and 11 for IRPF 2012</t>
  </si>
  <si>
    <t>UTIL: Utilities class for Social Security</t>
  </si>
  <si>
    <t>PA: Class CL_HRPADES_IRPF_INFOTYPE for infotype framework</t>
  </si>
  <si>
    <t>TC: New TemSe 'Complementaria saldo acreedor'</t>
  </si>
  <si>
    <t>CALC: Wrong contribution for researchers without contract</t>
  </si>
  <si>
    <t>Improvements in utilities class</t>
  </si>
  <si>
    <t>CALC: General corrections for EPRO1 payroll function</t>
  </si>
  <si>
    <t>SSOCIAL: Missing validation for obsolete bonification method</t>
  </si>
  <si>
    <t>RED 08/2012</t>
  </si>
  <si>
    <t>CONTRAT@: Correction of horas_formacion field formatting</t>
  </si>
  <si>
    <t>CP: Missing FUNCIONES attribute</t>
  </si>
  <si>
    <t>ERE: Corrections in PDF forms</t>
  </si>
  <si>
    <t>UTIL: Wrong validation when selecting PERNR by NIF</t>
  </si>
  <si>
    <t>MASSIVE: Incorrect name of AnoAdopcion tag in XML</t>
  </si>
  <si>
    <t>Certific@2: Wrong ERE number in XML file</t>
  </si>
  <si>
    <t>TC: Issue with L04 settlement for EE with training contract</t>
  </si>
  <si>
    <t>CALC: Corrections for SAP Note 1770555</t>
  </si>
  <si>
    <t>Infotype 0062: unable to configure fields via V_T588M</t>
  </si>
  <si>
    <t>Infotype 0887: unable to configure fields via V_T588M</t>
  </si>
  <si>
    <t>Error accessing documentation for views V_T5EU3 and V_T5EU4</t>
  </si>
  <si>
    <t>TC: Tipo de situación adicional de afiliación field issue</t>
  </si>
  <si>
    <t>New calculation for Trade Union Reference number</t>
  </si>
  <si>
    <t>Directory traversal in PY-FI</t>
  </si>
  <si>
    <t>HRFI: Introducing Individual Tax Number (TN)</t>
  </si>
  <si>
    <t>HRFI: Column Char is missing in the table V_T7FIPF</t>
  </si>
  <si>
    <t>Grace period days subtracted from compensated days</t>
  </si>
  <si>
    <t>France - B2A/Status Handler (SH): Navigation &amp; Background</t>
  </si>
  <si>
    <t>HR-FR: Quality Improvements</t>
  </si>
  <si>
    <t>Directory traversal in PY-FR</t>
  </si>
  <si>
    <t>AED: complementary payment not included caused by wpbp split</t>
  </si>
  <si>
    <t>RPLDUCF0: Incorrect printing</t>
  </si>
  <si>
    <t>N4DS: empty fields and missing section for 'Portabilité'</t>
  </si>
  <si>
    <t>DNAC: S48.G55.00.007 value zero is allowed</t>
  </si>
  <si>
    <t>N4DS: S45 in 4.6C and S45 control report for V01X07</t>
  </si>
  <si>
    <t>N4DS: New code 221 for S40.G28.15.001</t>
  </si>
  <si>
    <t>AED: Option to declare if transition from CDD to CDI</t>
  </si>
  <si>
    <t>N4DS V01X07: Documentation</t>
  </si>
  <si>
    <t>N4DS: S65.G40.05 not generated in case of shift pay</t>
  </si>
  <si>
    <t>IT 3340: Adding/modifying code lists in V_T5F99FCD</t>
  </si>
  <si>
    <t>N4DS: V01X07 customer class not selected in T5FN4DSC</t>
  </si>
  <si>
    <t>RPCEDTF0: Problem to display variable rates</t>
  </si>
  <si>
    <t>N4DS: s40 periods generated from absences are split</t>
  </si>
  <si>
    <t>DN-AC AED: B2A Active &amp; Check if open processes</t>
  </si>
  <si>
    <t>RPL4DSF0: Automatically update checkboxes in Global Data</t>
  </si>
  <si>
    <t>DNAC: New code 10 for field S48.G55.05</t>
  </si>
  <si>
    <t>AED: log messages</t>
  </si>
  <si>
    <t>N4DS: parallel processing: incomplete log and dump</t>
  </si>
  <si>
    <t>N4DS S65.G53.05, S65.G43.05, S40.G30.36, S40.G28.1/20 issues</t>
  </si>
  <si>
    <t>N4DS: Wage group PEEC not defined in view V_T5F99FV</t>
  </si>
  <si>
    <t>DN-AC AED: V01X07 - Delivery of the new field S48.G55.00.017</t>
  </si>
  <si>
    <t>N4DS: performance</t>
  </si>
  <si>
    <t>N4DS: PB2A integral cancel and replace declaration</t>
  </si>
  <si>
    <t>Implement. example class for BAdI HRPAYFR_N4DS_CUST is final</t>
  </si>
  <si>
    <t>N4DS section S65.G40.10 is repeated</t>
  </si>
  <si>
    <t>IT0016/0713: dynamic measure not executed</t>
  </si>
  <si>
    <t>N4DS: Additional fields required for B2A popup</t>
  </si>
  <si>
    <t>N4DS: V_T5FN4DSC, issue when expanding selected records</t>
  </si>
  <si>
    <t>IT3340: wrong begda for some subtypes "V01X07"</t>
  </si>
  <si>
    <t>IT3340: dedicated log introduction in report RPL4DSF0</t>
  </si>
  <si>
    <t>N4DS: New parameter in badi modify_s45_g05_15</t>
  </si>
  <si>
    <t>IT3340: runtime error if no period specified</t>
  </si>
  <si>
    <t>IT3340 and parallelization: various items</t>
  </si>
  <si>
    <t>Update the background for HR_FR_DAT_2012</t>
  </si>
  <si>
    <t>N4DS: DADS creation of corrective declaration</t>
  </si>
  <si>
    <t>N4DS: AED process does not work anymore after HR-SP54</t>
  </si>
  <si>
    <t>N4DS: DADS Section S40.G40.10 missing</t>
  </si>
  <si>
    <t>IT3340: ITAB_ILLEGAL_SORT_ORDER runtime error</t>
  </si>
  <si>
    <t>N4DS: DADS section S47.G05.05 not retro compatible</t>
  </si>
  <si>
    <t>Customizing for EDI: ATT, ATT and MMP entries missing</t>
  </si>
  <si>
    <t>DN-AC AED: S48.G55.00.001 wrong due to wrong cluster chosen</t>
  </si>
  <si>
    <t>Interface External</t>
  </si>
  <si>
    <t>Seniority calculation for parental leave</t>
  </si>
  <si>
    <t>Issue:IT0442 field 'Benefit value' editable in display mode</t>
  </si>
  <si>
    <t>Stillbirth with child's DOB before the qualifying</t>
  </si>
  <si>
    <t>RTI: October 2012 changes</t>
  </si>
  <si>
    <t>Infotype 0069 maintain text for records across tax year</t>
  </si>
  <si>
    <t>CSL record cannot be delimited incorrectly</t>
  </si>
  <si>
    <t>P45 Not displaying Error message in extras menu item</t>
  </si>
  <si>
    <t>RTI EAS: tax reference change and last year leavers</t>
  </si>
  <si>
    <t>PY-GB: Correction of payroll</t>
  </si>
  <si>
    <t>Absence payments</t>
  </si>
  <si>
    <t>Abscence Type Text Not Displayed</t>
  </si>
  <si>
    <t>PY-GB: GET_PARENTHOOD_RECORD Method Authorization Issue</t>
  </si>
  <si>
    <t>Multiple issues related to new child maintenance DEO</t>
  </si>
  <si>
    <t>HRGBPS: Corrections(1) to HESA LC 2012-2013 NOTE 1697236.</t>
  </si>
  <si>
    <t>Issue: Qualification without subject code is not extracted</t>
  </si>
  <si>
    <t>SWF: XML is not generated for release 604</t>
  </si>
  <si>
    <t>HRGBPS: Corrections(3) to HESA LC 2012-2013 NOTE 1697236.</t>
  </si>
  <si>
    <t>RTI Schema Phase II</t>
  </si>
  <si>
    <t>Foreign Address &amp; Postcode in P45 Report</t>
  </si>
  <si>
    <t>RTI: Leaver report bug fixes</t>
  </si>
  <si>
    <t>RTI: FPS not updating XML id in payroll results</t>
  </si>
  <si>
    <t>P45 error - Tax paid is more than taxable pay</t>
  </si>
  <si>
    <t>RTI: EAS Validations</t>
  </si>
  <si>
    <t>HK Form IR56E Address Field(Item 11) Not Display City</t>
  </si>
  <si>
    <t>OSS note 1715469 results in conflicting messages</t>
  </si>
  <si>
    <t>PY-ID: Tax Forms 1721, 1721-A, 1721-A1  Header Changes</t>
  </si>
  <si>
    <t>P45 Disability Illness Benefit issue with total pay</t>
  </si>
  <si>
    <t>IEPRD : No Annualisation for Employees on Subsidiary EMP.</t>
  </si>
  <si>
    <t>PY-IE:P45 USC Related Issues</t>
  </si>
  <si>
    <t>P35 Issue with End of Year Report for Rehire scenario</t>
  </si>
  <si>
    <t>P45 USC Refund issue in XML</t>
  </si>
  <si>
    <t>Minor Issue : PRSI Weeks calculated incorrectly ( LEAVERS ).</t>
  </si>
  <si>
    <t>EOY Report error message with Starter Details (IT0387)</t>
  </si>
  <si>
    <t>PY-IE:P45 issue with this employment pay</t>
  </si>
  <si>
    <t>Electronic Challan Cum Return: Corrections</t>
  </si>
  <si>
    <t>HINCREMP : Disbursement issue after Payroll run</t>
  </si>
  <si>
    <t>Inconsistency in Termination workbench report</t>
  </si>
  <si>
    <t>Inconsistent Sec 89 When Payroll Run For Multiple Employees</t>
  </si>
  <si>
    <t>HR-IT: F24 INPS Debito/Credito wrong fill</t>
  </si>
  <si>
    <t>HR-IT: Preliminary DME report short dump during insert</t>
  </si>
  <si>
    <t>HR-IT: TFR: Silenzo/Assenzo issue for EE's hired in 29-31/07</t>
  </si>
  <si>
    <t>Potential directory traversal in PY-IT</t>
  </si>
  <si>
    <t>Potential disclosure of persisted data in PY-IT</t>
  </si>
  <si>
    <t>HR-IT: Tax on lavoratori di prima occupazione corrections</t>
  </si>
  <si>
    <t>New parameter for operation RDTP</t>
  </si>
  <si>
    <t>UniEmens 2.0 - Correction Package I</t>
  </si>
  <si>
    <t>TFR: Management of TFR for EE with fixed term contract</t>
  </si>
  <si>
    <t>XNAB: wrong period considered for "comporto delle malattie"</t>
  </si>
  <si>
    <t>RPCPRTJ0FRemove Unnecessary Switch Control on PDF Output</t>
  </si>
  <si>
    <t>RPCEWGJ1&amp;RPCWTSJ0: Error Correction</t>
  </si>
  <si>
    <t>LC2012: Housing Deduction Information of WTS</t>
  </si>
  <si>
    <t>RPLLIDJ3: ESS Print Form Enhancement</t>
  </si>
  <si>
    <t>RPCEWGJ1: Missing Lines in ABAP List</t>
  </si>
  <si>
    <t>LINC&amp;VAN: Collective Correction to HJPULV_LINJ0/HJPULV_VANJ0</t>
  </si>
  <si>
    <t>LC2012: Tax System Revision for Income Tax - Phase 2</t>
  </si>
  <si>
    <t>Directory traversal in PY-JP</t>
  </si>
  <si>
    <t>Enhance Defined-Contribution Retirement Pension</t>
  </si>
  <si>
    <t>Data Definition Changes of KR Legal Reports</t>
  </si>
  <si>
    <t>SI Acquisition/Exemption/Lost Codes &amp; District in IT0006</t>
  </si>
  <si>
    <t>Bonus in Off-cycle 0008 Not Included in EI/WCI Compensation</t>
  </si>
  <si>
    <t>Checkman MX</t>
  </si>
  <si>
    <t>[MX] Registration Unique of Public Servant - RUSP</t>
  </si>
  <si>
    <t>[MX] Wrong error message when tax difference is zero</t>
  </si>
  <si>
    <t>[MX] HMXUTMS0 Enablement for RUSP</t>
  </si>
  <si>
    <t>Correction to note 1770011</t>
  </si>
  <si>
    <t>Directory traversal in PY-MY</t>
  </si>
  <si>
    <t>IT0021 Field Customizing (hide/display) via table V_T588M</t>
  </si>
  <si>
    <t>Passport Number display format in CP21</t>
  </si>
  <si>
    <t>WCR: Add download button and extend WCR Code size</t>
  </si>
  <si>
    <t>Directory traversal in PY-NL-RP, PA-PA-NL and PA-PF-NL</t>
  </si>
  <si>
    <t>YELC 2012/2013: Pseudo Final Levy High Wage</t>
  </si>
  <si>
    <t>Year Statement: Slow Performance of Report</t>
  </si>
  <si>
    <t>YELC 2012/2013: Flexibilization of Retirement Age</t>
  </si>
  <si>
    <t>ULB (WUL): Part 2 - Calculation</t>
  </si>
  <si>
    <t>ZVW Indicators 2013</t>
  </si>
  <si>
    <t>YELC 2012/2013: Update of FL Exc. Severance Pay and FS WCR</t>
  </si>
  <si>
    <t>New statutory minimum wages as of January 1st, 2013</t>
  </si>
  <si>
    <t>Aangifte LH: Changes to Loonaangifte for 2013</t>
  </si>
  <si>
    <t>HCM NL: Technical Adjustments to Documentation</t>
  </si>
  <si>
    <t>Aangifte LH: Reporting of actually applied tax table</t>
  </si>
  <si>
    <t>YELC 2012/2013: New Wage Type for Green Tax Table Wage</t>
  </si>
  <si>
    <t>YELC 2012/2013: Temporary Tax Credit</t>
  </si>
  <si>
    <t>HRNO: AA register - incorrect weekly working hours</t>
  </si>
  <si>
    <t>Norway package reassignment</t>
  </si>
  <si>
    <t>HRNO: Payroll schema rules correction for OREF wage type</t>
  </si>
  <si>
    <t>HRNO: Report Check list for vacation has no time selection</t>
  </si>
  <si>
    <t>HRNO - Gensegjenger - ATS reporting</t>
  </si>
  <si>
    <t>ACF - Altinn Communication Framework - XI/PI part</t>
  </si>
  <si>
    <t>HRNO: RPURMBV0 incorrect Personnel No. determined in K27/K37</t>
  </si>
  <si>
    <t>HRNO: OSLP -incorrect wagetypes for Holiday pay</t>
  </si>
  <si>
    <t>HRNO: RPLAAMV0 (AA-register) - incorrect change date in 8E</t>
  </si>
  <si>
    <t>HRNO: function VPSP1 should not reduce the basis /117</t>
  </si>
  <si>
    <t>HRNO: RPLAAMV0 (AA-register) - incorrect weekly hours</t>
  </si>
  <si>
    <t>HRNO: Reimbursement: change to chronic if TP continued</t>
  </si>
  <si>
    <t>HRNO: AA Register (RPLAAMV0) - irrelevant warning messages</t>
  </si>
  <si>
    <t>HRNO: Reimbursement - two maternity absences - one claim</t>
  </si>
  <si>
    <t>Directory traversal in PY-NO</t>
  </si>
  <si>
    <t>HRNO: The employers period (AP) starts 1st working day</t>
  </si>
  <si>
    <t>HRNO: RPCRMBV0_PRINT - weekly pay missing on NAV 08-20.12</t>
  </si>
  <si>
    <t>HRNO: Reimbursement: Incorrect maxdate maternity - TP days</t>
  </si>
  <si>
    <t>HRNO: OREF handling in payroll independent on wpbp splits</t>
  </si>
  <si>
    <t>HRNO: Reimbursement: Maternity after sickness + vacation</t>
  </si>
  <si>
    <t>HRNO: RPLAAMV0 inconsistence after implementing HRSP 55</t>
  </si>
  <si>
    <t>Payroll Norway - PS</t>
  </si>
  <si>
    <t>New field reason code (PREAS) on IT0509</t>
  </si>
  <si>
    <t>UI - Support for new pay scale levels valid from 1.5.2012</t>
  </si>
  <si>
    <t>SST - correction of issues - November 2012</t>
  </si>
  <si>
    <t>SPK - correction of issues - November 2012</t>
  </si>
  <si>
    <t>Enhancement in feature VPS02 in payroll function VPSH2</t>
  </si>
  <si>
    <t>SPA : AHA Not Considered While Determining SPA Amount</t>
  </si>
  <si>
    <t>T7UNPAD_EGAMT: System does not determine maximum amounts</t>
  </si>
  <si>
    <t>Short Dump in Payroll While Processing Death Grant</t>
  </si>
  <si>
    <t>No customer includes exists for infotype 1081 and 1082</t>
  </si>
  <si>
    <t>Pensionable Remuneration Amount is calculated incorrectly</t>
  </si>
  <si>
    <t>EVE Attribute PEREM Does not Return Currency Value</t>
  </si>
  <si>
    <t>Usability aspects and Checkman</t>
  </si>
  <si>
    <t>PRINT function cannot output NZ specific payroll results</t>
  </si>
  <si>
    <t>Dictionary changes for visibility of Termn. leave acc calc.</t>
  </si>
  <si>
    <t>Performance Improvement for Update Superannuation NZ Report</t>
  </si>
  <si>
    <t>PY-NZ: Leave Liability Report shows incorrect results</t>
  </si>
  <si>
    <t>Annual Lve in Days-Part2(HNZULVR0 &amp; HNZUHCU0 report changes)</t>
  </si>
  <si>
    <t>Error in Advance Pay program when global emp flag is active</t>
  </si>
  <si>
    <t>Directory traversal in PY-NZ</t>
  </si>
  <si>
    <t>PY-NZ: Printing issues in ACC Employer Premium Report</t>
  </si>
  <si>
    <t>PRINT function cannot output NZ specific cluster ACCRCALC</t>
  </si>
  <si>
    <t>Incorrect values in gross amounts in NZHPI in case of splits</t>
  </si>
  <si>
    <t>Directory traversal in PY-PH</t>
  </si>
  <si>
    <t>Incorrect projection of non-taxable allowances in IT0014</t>
  </si>
  <si>
    <t>Single Report: Attachment A technical log issues</t>
  </si>
  <si>
    <t>HR-PT: RPCGSRP0 wrong employee partitioning selection</t>
  </si>
  <si>
    <t>RPCAIDP0: Survival Plan wagetypes wrong selection</t>
  </si>
  <si>
    <t>RPCWARP0: Remuneration is incorrect when KSSRB is disabled</t>
  </si>
  <si>
    <t>PNAB: Wrong valuation rule in the second split of an absence</t>
  </si>
  <si>
    <t>Non-habitual Residents in Annual Income Declaration</t>
  </si>
  <si>
    <t>RPCWARP0 - Wrong date in R0 record</t>
  </si>
  <si>
    <t>RPCWARP0: Corrections II</t>
  </si>
  <si>
    <t>Wrong cumulation in RUAVE at calculation on current period</t>
  </si>
  <si>
    <t>Average calculation for maternity leave since 01.01.2013</t>
  </si>
  <si>
    <t>HR-RU: Abnormal termination of HRUCALC0 in function RUPRI</t>
  </si>
  <si>
    <t>HR-RU_CE: dump GETWA_NOT_ASSIGNED in form CURRM_AVERA</t>
  </si>
  <si>
    <t>HR-RU: Wrong /125 after cross year recalculation</t>
  </si>
  <si>
    <t>HR-RU: dependence of operation RUABL? from the point of use</t>
  </si>
  <si>
    <t>HR-RU: compensation on child care rearing in split period</t>
  </si>
  <si>
    <t>HRULPAY2: Table with hire-fire dates sorting correction</t>
  </si>
  <si>
    <t>HR-RU_CE: Increase of average rate in several times in RUAVC</t>
  </si>
  <si>
    <t>HR-RU: determination of T554C modifiers for future absences</t>
  </si>
  <si>
    <t>Processing of WTs without AB split in payroll rule RUVF</t>
  </si>
  <si>
    <t>HRSE: Unpaid Vacation + Quota Deduction</t>
  </si>
  <si>
    <t>HRSE: RPSINSS0 Continuous sickness with diff. Absence Type</t>
  </si>
  <si>
    <t>Directory traversal in PY-SE</t>
  </si>
  <si>
    <t>IR8A IR8S and appendix form and PAT file changes for YA-2013</t>
  </si>
  <si>
    <t>PY-SG: Paid Child Care Leave Issues</t>
  </si>
  <si>
    <t>Directory traversal in PY-SG</t>
  </si>
  <si>
    <t>Issue with ESS IR8E Web Dynpro ABAP</t>
  </si>
  <si>
    <t>PY-TH: Employee address is truncated in ITF1A form</t>
  </si>
  <si>
    <t>Extension of ITF1 &amp; ITF1A forms to 5 digit branch code</t>
  </si>
  <si>
    <t>Legal Change: PIT91 Page 3 Layout changes</t>
  </si>
  <si>
    <t>Taiwan 2nd Generation NHI Phase2</t>
  </si>
  <si>
    <t>HTWLCE00: Format and Amount Error</t>
  </si>
  <si>
    <t>HTWCTXM0: Wrong Pension Amount Error</t>
  </si>
  <si>
    <t>Text and Amount Adjustment in Report HTWLCE00</t>
  </si>
  <si>
    <t>HTWCDTA0: Creation Date Assignment for Payment DME File</t>
  </si>
  <si>
    <t>PY-US: Wrong Tax Company is assigned to WTs</t>
  </si>
  <si>
    <t>USCLM: U.S. Overpayment Wage Type Grouping - Advanced Deliv.</t>
  </si>
  <si>
    <t>USCLM: Hours wrongly restored when identifying overpayment.</t>
  </si>
  <si>
    <t>USCLM: Wage types changing retroactively in RT table</t>
  </si>
  <si>
    <t>PY-US:Payroll run takes a long time due to TCRT cumulation.</t>
  </si>
  <si>
    <t>PY-US: Incorrect warning message in IT0221</t>
  </si>
  <si>
    <t>USCLM: Currency key not present in recovered wage type</t>
  </si>
  <si>
    <t>Report RPUCT200: Access to database table T512U</t>
  </si>
  <si>
    <t>GARN: Garnishment Deduction for Special Run issue</t>
  </si>
  <si>
    <t>US-PS: Absence Donation Home Pool issue</t>
  </si>
  <si>
    <t>US-PS: Amount Related Absence Donations</t>
  </si>
  <si>
    <t>US-PS: Absence Donation does not update Deduction field</t>
  </si>
  <si>
    <t>State is Missing in the Pay Check Address from spool</t>
  </si>
  <si>
    <t>REC: Remittance Tax Authority in Reconciliation Report</t>
  </si>
  <si>
    <t>VETS: VETS-100 Magnetic Media Output Incorrect</t>
  </si>
  <si>
    <t>3PR: Correction for Disable 3PR Evaluation at HR payee level</t>
  </si>
  <si>
    <t>3PR: Generic message displayed in Acknowledgement FM</t>
  </si>
  <si>
    <t>3PR: Missing entry in table T51R3</t>
  </si>
  <si>
    <t>3PR: Third-Party Evaluation run sets wrong Due Date</t>
  </si>
  <si>
    <t>3PR: Filter does not work for Remittance Reconciliation rep.</t>
  </si>
  <si>
    <t>3PR: Acknowledgement not undone for manual checks</t>
  </si>
  <si>
    <t>3PR: Support custom wage type in evaluation run</t>
  </si>
  <si>
    <t>TR: Magmedia layout update for 1099R-C Record A</t>
  </si>
  <si>
    <t>Corrections to Online W-2: Wave 6</t>
  </si>
  <si>
    <t>Year End 2012 Phase II for U.S. Tax Reporter</t>
  </si>
  <si>
    <t>TAX: Liability WT warning msg displayed during payroll run.</t>
  </si>
  <si>
    <t>TAX:Nexus Indicator default config.for Resident Tx Authority</t>
  </si>
  <si>
    <t>TAX: Tax formula override on Tax Company level.</t>
  </si>
  <si>
    <t>[VE] Checkman</t>
  </si>
  <si>
    <t>[VE] Missing retroactive Income Tax basis differences</t>
  </si>
  <si>
    <t>[VE] File generation for the TIUNA changes (HVECTIU0)</t>
  </si>
  <si>
    <t>[VE] Directory traversal in PY-VE</t>
  </si>
  <si>
    <t>[VE] Documentation: Seniority payment provision calculation</t>
  </si>
  <si>
    <t>Extending PRINT function to include NZ specific tables</t>
  </si>
  <si>
    <t>New value'FKMN' for Parameter 'IF' of Payroll-function 'IF'</t>
  </si>
  <si>
    <t>RPU12W0C - Table T512W Cannot Be Locked</t>
  </si>
  <si>
    <t>Extending PRINT function to include NZ specific table</t>
  </si>
  <si>
    <t>Log: Notification appears in incorrect place</t>
  </si>
  <si>
    <t>No notification of warning/error messages when log not shown</t>
  </si>
  <si>
    <t>Performance issue with function module CD_REORG_RGDIR</t>
  </si>
  <si>
    <t>RPCAOPD0: Dump CONNE_IMPORT_WRONG_COMP for PA_CALC</t>
  </si>
  <si>
    <t>HCM Declustering Tools with Payroll Result Implementations</t>
  </si>
  <si>
    <t>Table view V_T549X updates T549U incorrectly</t>
  </si>
  <si>
    <t>Pre-DME won't process employees who change payroll area (ES)</t>
  </si>
  <si>
    <t>Preliminary DME program issues message 3G 263</t>
  </si>
  <si>
    <t>Intergrate RPCDCP00 into process model.</t>
  </si>
  <si>
    <t>Pre-dme process the bank transfers even if bank is deleted</t>
  </si>
  <si>
    <t>RPCDCP00: Selected Personnel numbers are not evaluated</t>
  </si>
  <si>
    <t>RPCIPE00/RPCIPE01: Period split</t>
  </si>
  <si>
    <t>RPCIPE00 generates too many clearing lines</t>
  </si>
  <si>
    <t>Low performance of program RPCIPE00 for Russia posting</t>
  </si>
  <si>
    <t>RPCIPE00/RPCIPE01: Cost planning results log</t>
  </si>
  <si>
    <t>RPCIPE00: Account assignment type FE with New GL</t>
  </si>
  <si>
    <t>RPCIPE00: Account assignment type FE w/ setting 1 for New GL</t>
  </si>
  <si>
    <t>RPCIPE00: NEW GL SWITCH 2 with CE</t>
  </si>
  <si>
    <t>RPCIPE01: Account assignment type FE with FI-GL (new)</t>
  </si>
  <si>
    <t>Outsourcing packages are not in the correct component</t>
  </si>
  <si>
    <t>Second payroll gets incorrect result without restart OCWB</t>
  </si>
  <si>
    <t>After payroll reversal, the retro date is not correct</t>
  </si>
  <si>
    <t>Off-cycles update absence infotype without off-cycle reason</t>
  </si>
  <si>
    <t>PRINT and new payroll log</t>
  </si>
  <si>
    <t>Payroll: Conversion date is not dependent on currency</t>
  </si>
  <si>
    <t>PE04: Dump TABLE_INVALID_INDEX</t>
  </si>
  <si>
    <t>You get wrong calculation of the last payment of IT0014</t>
  </si>
  <si>
    <t>Loan: No error message in case of company code change</t>
  </si>
  <si>
    <t>Deduction is not forwarded from old result to retro-period</t>
  </si>
  <si>
    <t>AVERA: first AV period wrong; note 1610900,1661749 incorrect</t>
  </si>
  <si>
    <t>Loan: Check of individual reference interest rate</t>
  </si>
  <si>
    <t>PE02: attributes 'Person Responsible' and 'Creation Date'</t>
  </si>
  <si>
    <t>OUTWP reject the employee if the cost center is empty</t>
  </si>
  <si>
    <t>Loan: archived payroll results are not considered in P0045</t>
  </si>
  <si>
    <t>FORM BT-TAB does not exist</t>
  </si>
  <si>
    <t>HR-XX: DAQ-Performance Improvement</t>
  </si>
  <si>
    <t>Temse Viewer: Problem when reading if different Code Page</t>
  </si>
  <si>
    <t>Runtime codepage conversion of DAQ Temse files</t>
  </si>
  <si>
    <t>Wrong calculation on 9LRET for inflow/outflow method</t>
  </si>
  <si>
    <t>HRPAL: Linesize for flat output with manual catalog - Corr</t>
  </si>
  <si>
    <t>B2A - Preparation for Country Enhancements</t>
  </si>
  <si>
    <t>H99_PRESORT_PERNR: SAP&amp;* and CUS&amp;* variants</t>
  </si>
  <si>
    <t>RPUXMD9S: Extension of report documentation</t>
  </si>
  <si>
    <t>Test Data Container - Tools to work with ECATT variants</t>
  </si>
  <si>
    <t>Infotype 0048 - Visa Subtype Value Help and Check (HR SP)</t>
  </si>
  <si>
    <t>[PY-XX-RS] Mandatory subtype validation for IT3213</t>
  </si>
  <si>
    <t>Selection of MOLGA in V_T5F99VD table view</t>
  </si>
  <si>
    <t>Pension plans (3213) infotype does not show calc. step 000</t>
  </si>
  <si>
    <t>HR_ADDON: SAPMPE04 T52B5 addon entries disappear</t>
  </si>
  <si>
    <t>DAQ - Check Condition ON DATE &amp; Brackets</t>
  </si>
  <si>
    <t>Changes in Form Table Framework</t>
  </si>
  <si>
    <t>Enabling Infotype 'Residence Status' for Secondary Infotypes</t>
  </si>
  <si>
    <t>Check in PA03 for data destruction</t>
  </si>
  <si>
    <t>Two emails sent from Process model using email print params</t>
  </si>
  <si>
    <t>HR_PAYROLL: Parameter for forced retro.accounting is missing</t>
  </si>
  <si>
    <t>Process Model does not select the correct employees</t>
  </si>
  <si>
    <t>Medical Aid 2011 / SARS codes Validations</t>
  </si>
  <si>
    <t>ERROR : Double offcycle payments made through infotype 11</t>
  </si>
  <si>
    <t>Directory traversal in PY-ZA</t>
  </si>
  <si>
    <t>/341:PAYE Change in middle of month creating incorrect split</t>
  </si>
  <si>
    <t>Payment Schedule Generation Error In Retroactive Run</t>
  </si>
  <si>
    <t>Salary Packaging: Change in message text on request screen</t>
  </si>
  <si>
    <t>Overflow in Medical Credits Payroll Error</t>
  </si>
  <si>
    <t>Custom Development</t>
  </si>
  <si>
    <t>Pension return to APG: Directory traversal</t>
  </si>
  <si>
    <t>SAPKE60456</t>
  </si>
  <si>
    <t>JW 2012/13: Formulare für RPCSVBA2PBS</t>
  </si>
  <si>
    <t>YE12: Form and XML changes for Year End 2012</t>
  </si>
  <si>
    <t>TAX: Legal changes effective January 1, 2013</t>
  </si>
  <si>
    <t>RPCSVPD0: eXTra schema Version 1.3</t>
  </si>
  <si>
    <t>PY-DE-FP-E2</t>
  </si>
  <si>
    <t>ELStAM Verfahren</t>
  </si>
  <si>
    <t>ELStAM: No deregistration when tax liability is changed</t>
  </si>
  <si>
    <t>EEL: Changes on January 01, 2013</t>
  </si>
  <si>
    <t>BVV: Ass. threshold incorrect for pay scale agrmt as of 2013</t>
  </si>
  <si>
    <t>PO: Monthly costs, regular maintenance payments</t>
  </si>
  <si>
    <t>EP: Analysis wage types and evaluation</t>
  </si>
  <si>
    <t>ELStAM: Corrections after year-end legal change 01/2013</t>
  </si>
  <si>
    <t>Year-end legal change 2012/2013: Corr.: Form ETStmt 2013</t>
  </si>
  <si>
    <t>Termination in calculation rule DO0A</t>
  </si>
  <si>
    <t>Earnings survey: Corrections (10)</t>
  </si>
  <si>
    <t>HR-DEH: Labor costs census 2012</t>
  </si>
  <si>
    <t>HRFI: HFILTAX0 - LC 2012, Fixing Tax Code 136</t>
  </si>
  <si>
    <t>PY-GB: PAE Guidance Documents</t>
  </si>
  <si>
    <t>PY-GB: PAE Corrections</t>
  </si>
  <si>
    <t>HR-GB: Pensions Auto-Enrolment IMG</t>
  </si>
  <si>
    <t>PY-IE: PRSI Gross Adjustments for earlier financial years</t>
  </si>
  <si>
    <t>Employment and Workers' Compensation Insurance Annual Report</t>
  </si>
  <si>
    <t>Wrong Separation Tax-deferring If no Previous IT0538 Record</t>
  </si>
  <si>
    <t>YEA2012: Change of Donation Deduction Order</t>
  </si>
  <si>
    <t>Deferred Separation Income Not Included into HI/NP Base</t>
  </si>
  <si>
    <t>Legal Change: PCB 2(II) form changes 2012</t>
  </si>
  <si>
    <t>YELC 2012/2013: New SI Percentages</t>
  </si>
  <si>
    <t>Jaaropgave WN: Adjustments to form for YELC 2012/2013</t>
  </si>
  <si>
    <t>YELC 2012/2013: Life-Course Saving Scheme 80% bonus</t>
  </si>
  <si>
    <t>ULB (WUL): Part 3 - Reporting (CKTO), Conversion Zvw Codes</t>
  </si>
  <si>
    <t>YELC 2012/2013: Flexibilization of Retirement Age II</t>
  </si>
  <si>
    <t>YELC 2012/2013: Temporary Tax Credit II</t>
  </si>
  <si>
    <t>Annual Wage Return: Legal Changes for 2012</t>
  </si>
  <si>
    <t>YELC 2012/2013: Cumulation upon Sector change</t>
  </si>
  <si>
    <t>YELC 2012/2013: Tax tables</t>
  </si>
  <si>
    <t>YELC 2012/2013: Mobility Bonus - Premiekorting</t>
  </si>
  <si>
    <t>LC-PH: Addition of new field to IT0423(HDMF Philippines)</t>
  </si>
  <si>
    <t>HRSE: Annual Tax Statement 2012 - Forms</t>
  </si>
  <si>
    <t>HRSE: YELC - tax calculation and constants valid for 2013</t>
  </si>
  <si>
    <t>TW 2nd Generation NHI Solution</t>
  </si>
  <si>
    <t>SAPKE60457</t>
  </si>
  <si>
    <t>Time data extraction and selections</t>
  </si>
  <si>
    <t>EHS</t>
  </si>
  <si>
    <t>Environment, Health and Safety</t>
  </si>
  <si>
    <t>EHS-IHS</t>
  </si>
  <si>
    <t>Industrial Hygiene and Safety</t>
  </si>
  <si>
    <t>Reading data in the HRMS</t>
  </si>
  <si>
    <t>Issue with setting of user in HRWPC_RFC_OADP_GET_OBJECTS</t>
  </si>
  <si>
    <t>HANA enhancement for the FM:HRWPC_RQ_FORM_ADD_VALUES2</t>
  </si>
  <si>
    <t>Checkman Error:Result set of SQL statement may not be sorted</t>
  </si>
  <si>
    <t>Web: Itemization Number in Receipt is deducted</t>
  </si>
  <si>
    <t>BEN: Issues when applying new limit for Health FSA plans</t>
  </si>
  <si>
    <t>Screen 2112 of infotype Addresses 0006 incorrect</t>
  </si>
  <si>
    <t>China Specific Infotypes Enhancement: 0536/3224/3534</t>
  </si>
  <si>
    <t>CLUSTER/POOL tables in SAP HCM China: change to ORDER BY</t>
  </si>
  <si>
    <t>Information of Employee-Related Data: Page no. single-digit</t>
  </si>
  <si>
    <t>Profit Sharing Distribution</t>
  </si>
  <si>
    <t>TNM: custom tabstrip text not retrieved in HRTNM00_REPMOD</t>
  </si>
  <si>
    <t>TNM: fix for TN search f4 help displayed at booking issue</t>
  </si>
  <si>
    <t>TNM: IT1684, charging date check enhancement</t>
  </si>
  <si>
    <t>TNM: productive snapshot impossible after mode switch</t>
  </si>
  <si>
    <t>TNM: fix for a runtime error due to custom infotypes</t>
  </si>
  <si>
    <t>PA-PA-HK</t>
  </si>
  <si>
    <t>CLUSTER/POOL tables in SAP HCM Hong Kong: change to ORDER BY</t>
  </si>
  <si>
    <t>PA-PA-IE</t>
  </si>
  <si>
    <t>Infotype 0359 Issue with USC rates</t>
  </si>
  <si>
    <t>Missing accounting data for new records of infotype 0305</t>
  </si>
  <si>
    <t>Disable Dependents Deductions for Otsu-Ran Employees</t>
  </si>
  <si>
    <t>CLUSTER/POOL tables in SAP HCM Japan: change to ORDER BY</t>
  </si>
  <si>
    <t>CLUSTER/POOL tables in SAP HCM Korea: change to ORDER BY</t>
  </si>
  <si>
    <t>Enhancement:Credit Card&amp;Religious Donation&amp;Investmen</t>
  </si>
  <si>
    <t>YEA2012: YEA&amp;Separation DME</t>
  </si>
  <si>
    <t>PA-PA-MY: Employer percentage display incorrect in IT0196</t>
  </si>
  <si>
    <t>Pension Return for the Netherl.: PR Start Date Determin.</t>
  </si>
  <si>
    <t>YELC 2012/2013: New ITF: LCS 80% Bonus Checks</t>
  </si>
  <si>
    <t>YELC 2012/2013:The Description for Disabled Person's SI Redu</t>
  </si>
  <si>
    <t>Visa Management Workbench for Qatar Private Sector solution</t>
  </si>
  <si>
    <t>QA correction</t>
  </si>
  <si>
    <t>CLUSTER/POOL tables in SAP HCM Qatar: change to ORDER BY</t>
  </si>
  <si>
    <t>Gender Independant Form of Address in Infotype 0002</t>
  </si>
  <si>
    <t>SZV-6-*, SPV-1, ADV-*: cumulative updates 12.2012</t>
  </si>
  <si>
    <t>HR-RU: Sick-list for family member can be create &amp;gt; quota</t>
  </si>
  <si>
    <t>PERSG, PERSK in HRUA_ORDER_T6A</t>
  </si>
  <si>
    <t>HRULT2_2004: PART VI long name of educational institute</t>
  </si>
  <si>
    <t>T-7: customization vacations which are not to be processed</t>
  </si>
  <si>
    <t>PA-PA-SE</t>
  </si>
  <si>
    <t>HRSE: Check error in class CL_IM_HR_TIM_23_ABSCOUNTRY</t>
  </si>
  <si>
    <t>NHI Amount Error in IT0355 for SAP_HRCTW 604</t>
  </si>
  <si>
    <t>BEN:ER contrib.to 401k not stopped for highly compensated EE</t>
  </si>
  <si>
    <t>HANA: Erweiterung SELECT Statement um ORDER BY</t>
  </si>
  <si>
    <t>PP61 AVL printing:Absent employees printed (temp.assgmt etc)</t>
  </si>
  <si>
    <t>PP61: Incorrect result restricting employee selection by job</t>
  </si>
  <si>
    <t>PP61: Previous day indicator determined only when saving</t>
  </si>
  <si>
    <t>PP61: Overlap of availability duty and day shift</t>
  </si>
  <si>
    <t>PP6I: Hours cannot be totalled because of field overflow</t>
  </si>
  <si>
    <t>[AR] Wrong Retrocalculation for Union Contribution</t>
  </si>
  <si>
    <t>[AR] Company name not showing in Form 649 section Rubro 1</t>
  </si>
  <si>
    <t>[AR] Family Allowances limit in Libro Ley</t>
  </si>
  <si>
    <t>[AR] Performance enhancement for SICOSS (HARCDGI0) report</t>
  </si>
  <si>
    <t>[AR] Decree 2191/2012 Income Tax 2012</t>
  </si>
  <si>
    <t>[AR] Repeated entry in the SICOSS report on company change</t>
  </si>
  <si>
    <t>[AR] Diff. Result for POOL/CLUSTER Tables after DB Migration</t>
  </si>
  <si>
    <t>[AR] Decree 2191/2012 - Final Settlement (HARCIMPF)</t>
  </si>
  <si>
    <t>[AR]Documentation:Withholdings not deducted from Income Tax</t>
  </si>
  <si>
    <t>[AR] Decree 2191/2012 - SAC 2012 paid in 2013</t>
  </si>
  <si>
    <t>[AR] Decree 2191/2012 - Retroactive SAC payments</t>
  </si>
  <si>
    <t>[AR] RG 3413/2012 - Information for Tax difference</t>
  </si>
  <si>
    <t>UEKV: SV Berechnung IT 3238 fehlt im Release 604</t>
  </si>
  <si>
    <t>PCALZ: E18 Sortierungsproblem</t>
  </si>
  <si>
    <t>Freie Dienstnehmer mit Sonderzahlung</t>
  </si>
  <si>
    <t>Abbruch bei Austritt mit IT 527 und Abfertigung</t>
  </si>
  <si>
    <t>RPCALCA0: div. Ergänzungen Steuer Redesign / SZ-Staffelung</t>
  </si>
  <si>
    <t>JW 2012/13: unpfändbare Freibeträge</t>
  </si>
  <si>
    <t>UEKV: Abbruch bei Abrechnungskreiswechsel</t>
  </si>
  <si>
    <t>HANA DB: Korrektur des Befehls Select</t>
  </si>
  <si>
    <t>RPUELDA0:Problem mit dem logischen Datei HR_AT_DATASET_ELDA</t>
  </si>
  <si>
    <t>JW 2012/13: Korr. SV-Altersumstufung ältere Dienstnehmer</t>
  </si>
  <si>
    <t>Lohnart /980, Konfiguration Verarbeitungsklasse 20</t>
  </si>
  <si>
    <t>Stabilitätsgesetz: AJ4U wegen Lohnart /42B und Lohnzettel</t>
  </si>
  <si>
    <t>RPCSVBA2PBS: Auflösungsabgabe in der ELDA-Meldungsart P2</t>
  </si>
  <si>
    <t>Victorian employee's entitlement to Long Service Leave</t>
  </si>
  <si>
    <t>Incorrect Super in retro when there are indirectly val. WTs</t>
  </si>
  <si>
    <t>ETP Whole of Income Cap Legal Changes:Payment Summary-Part2</t>
  </si>
  <si>
    <t>ETP Whole of Income Cap Legal changes Term. Organizer part2</t>
  </si>
  <si>
    <t>Incorrect Termination Payments in case of Retro</t>
  </si>
  <si>
    <t>Incorrect Wage Type/106 in retro termination.</t>
  </si>
  <si>
    <t>Corrections missing in Note 1756844</t>
  </si>
  <si>
    <t>HANA Sort Order Correction : Country AU</t>
  </si>
  <si>
    <t>Entry in view V_T54C3 for wagetype /130</t>
  </si>
  <si>
    <t>Legal Change : 2013 Protected Net Earnings for Child Support</t>
  </si>
  <si>
    <t>Missing changes for ETP WIC part 2</t>
  </si>
  <si>
    <t>PS: LSE amounts are reported twice in few cases</t>
  </si>
  <si>
    <t>BELCOTAX: Entry/leaving corrections &amp; Unit Test</t>
  </si>
  <si>
    <t>RPUSWSB0: DmfA(PPL) - Checkmonitor</t>
  </si>
  <si>
    <t>Work Bonus - No integration of /30H in /332</t>
  </si>
  <si>
    <t>PY-BE/DmfA: /30E when early retired on third month</t>
  </si>
  <si>
    <t>Advantage company car (/162) not included in advance taxes</t>
  </si>
  <si>
    <t>Activation allowance 3411 (PLAN ACTIVA START)</t>
  </si>
  <si>
    <t>Garnishments - Function BPF00 dumps when no period is used</t>
  </si>
  <si>
    <t>DmfA/DmfAPPL - Occupation End Date empty</t>
  </si>
  <si>
    <t>BELCOTAX: XML download - review of mandatory fields II</t>
  </si>
  <si>
    <t>BELCOTAX: Zone 2.038 check wrongly perform</t>
  </si>
  <si>
    <t>FINPROF: Selection by Company Code not correct</t>
  </si>
  <si>
    <t>Additional Holidays Regulation KB/AR 19.6.2012</t>
  </si>
  <si>
    <t>DmfA Update: Forbidden fields in updates of past</t>
  </si>
  <si>
    <t>Advance Taxes - Calculation Administrators income &amp;gt; 7.500</t>
  </si>
  <si>
    <t>Dimona : Duplicate Prevention - Mix of decl. w/wo B2A</t>
  </si>
  <si>
    <t>Dimona - Legal Changes per Q1 / 2013</t>
  </si>
  <si>
    <t>BELCOTAX: Legal Changes at January 2013 incomes 2012 (I)</t>
  </si>
  <si>
    <t>Assignment of several wagetypes to evaluation class 14 wrong</t>
  </si>
  <si>
    <t>Non Recurring Result Bonus - New Maximum as of of 01.01.2013</t>
  </si>
  <si>
    <t>Infotype 0100 - Different fields with almost similar descr.</t>
  </si>
  <si>
    <t>DmfA/DmfAPPL - Legal Changes 2012 Q4</t>
  </si>
  <si>
    <t>Diff. Result for POOL/CLUSTER Tables after Migration to HANA</t>
  </si>
  <si>
    <t>Advance Tax Calculation - Key Formula 01.01.2013</t>
  </si>
  <si>
    <t>Dimona : Duplicate Prevention - Performance Improvement</t>
  </si>
  <si>
    <t>Advance Tax Calculation - Annex III - 01.01.2013</t>
  </si>
  <si>
    <t>RPTGENB0 - Correction no absence before RPI</t>
  </si>
  <si>
    <t>Generation of tax scales - Rounding error for 2013</t>
  </si>
  <si>
    <t>Garnishment - New threshold values as of 01.01.2013</t>
  </si>
  <si>
    <t>New values for calculation SII contributions as of 01.12.12</t>
  </si>
  <si>
    <t>DeCava - Floor Application limits as of 01.12.2012</t>
  </si>
  <si>
    <t>Diff. result for POOL/CLUSTER tables after DB migration</t>
  </si>
  <si>
    <t>HBRSEF00: Christmas Allowance base is displayed without diff</t>
  </si>
  <si>
    <t>[CA] Diff. Result for POOL/CLUSTER Tables after DB Migration</t>
  </si>
  <si>
    <t>Tax: Personal amount for Manitoba &amp; WCB for NWT</t>
  </si>
  <si>
    <t>YE12:New boxes not showing in append run summary</t>
  </si>
  <si>
    <t>ROE export : Incorrect File extension and Box 2 value</t>
  </si>
  <si>
    <t>YE12: Identification barcode for Rl-1 and RL-2</t>
  </si>
  <si>
    <t>YE12:Inactive Releve-1 form</t>
  </si>
  <si>
    <t>YE12: Form and XML delta changes 2012</t>
  </si>
  <si>
    <t>Technische Anpassung FAK-Modul für CE-Abrechnung</t>
  </si>
  <si>
    <t>Changes to country version Switzerland for ERP on HANA</t>
  </si>
  <si>
    <t>Performance und Usability Verbesserung (Checkman)</t>
  </si>
  <si>
    <t>ELM: Error in URL for completion/release of message</t>
  </si>
  <si>
    <t>[CL] Incorrect total in Bank transfer file header</t>
  </si>
  <si>
    <t>[CL] Incorrect amounts in HCLCAFP0 report PDF file</t>
  </si>
  <si>
    <t>[CL] Incorrect Social Insurance limits in Subsidy report</t>
  </si>
  <si>
    <t>[CL] Wrong currency code in report HCLCPRVD0</t>
  </si>
  <si>
    <t>[CL] Diff. Result for POOL/CLUSTER Tables after DB Migration</t>
  </si>
  <si>
    <t>Correction of Average Salary Calculation (HCNCAVG0) Report</t>
  </si>
  <si>
    <t>DME report HCNCDTA0 truncates payee names</t>
  </si>
  <si>
    <t>SI&amp;PHF Report Enhancement for Correction Accounting Payr</t>
  </si>
  <si>
    <t>PHF Exemption Adjustment for Guilin</t>
  </si>
  <si>
    <t>Adjustment of Error Log for Minimum Salary Check</t>
  </si>
  <si>
    <t>Report HCNCTXM0 Displays Wrong Result of Tax Base</t>
  </si>
  <si>
    <t>Data protection: Destroying reporting data (payr.Germany) II</t>
  </si>
  <si>
    <t>Implicit sorting of pool/cluster table for SAP HANA database</t>
  </si>
  <si>
    <t>/101 is not reduced</t>
  </si>
  <si>
    <t>LStAM: Corrections after year-end legal change 02/2013</t>
  </si>
  <si>
    <t>SV: Composite SAP Note data exchange 1/2013</t>
  </si>
  <si>
    <t>Leave: "Interim Entitlement" rating is obsolete</t>
  </si>
  <si>
    <t>Leave with IT 2006: Leaving and delimited IT 2006 II</t>
  </si>
  <si>
    <t>RPUDELPN: Decoupling payroll construction industry</t>
  </si>
  <si>
    <t>Seasonal reduced working hours: Constant SKMWG 2012/2013</t>
  </si>
  <si>
    <t>DEUEV inbound notifications: Corrections I</t>
  </si>
  <si>
    <t>ELStAM: Corrections 01 2013</t>
  </si>
  <si>
    <t>ELStAM: Corrections 01 2013 (II)</t>
  </si>
  <si>
    <t>EEL: Corrections and enhancements (01/2013)</t>
  </si>
  <si>
    <t>EEL: One-time payments not from 12-month period</t>
  </si>
  <si>
    <t>AAG: Required entry field account holder</t>
  </si>
  <si>
    <t>AAG: Notifications with entry in IT 0700 are possible again</t>
  </si>
  <si>
    <t>BVV: Increase pay scales are reported with the amount 0</t>
  </si>
  <si>
    <t>BVV: Employer bears employee contribution</t>
  </si>
  <si>
    <t>ETStmt:Incorrect SI contributions due to /3JT, /28R and /28T</t>
  </si>
  <si>
    <t>BVV: Error in conversion report RPIVWBD0</t>
  </si>
  <si>
    <t>PO: Short text of analysis wage type /PE9 is incorrect</t>
  </si>
  <si>
    <t>RHC: Corrections to SAP Note 1790291</t>
  </si>
  <si>
    <t>Incorr SI contribution deduction in yr of vol. social work</t>
  </si>
  <si>
    <t>Year-end legal change 2012/2013: Corr: PDF form ETStmt 2013</t>
  </si>
  <si>
    <t>Redesign for pay scale level increase in public sector</t>
  </si>
  <si>
    <t>Premium calculation: Correction for flexdays</t>
  </si>
  <si>
    <t>TV FlexAZ / TV Bund: Dynamic mod. of tax-free value credit</t>
  </si>
  <si>
    <t>Error when downloading pension recipient statistics</t>
  </si>
  <si>
    <t>Rheinland-Pfalz Public Serv. regulatn: Cost-of-living adj. X</t>
  </si>
  <si>
    <t>German central pension admin office: Inbound file statistics</t>
  </si>
  <si>
    <t>Gross overpayt: Child all. repayt not offset w/ child all.</t>
  </si>
  <si>
    <t>Reasons child allowance + child comp family-related bonus</t>
  </si>
  <si>
    <t>Standard wage maintenance and maternity pay calculation</t>
  </si>
  <si>
    <t>Termination in payroll after year-end legal change SP</t>
  </si>
  <si>
    <t>ATZ: SP supplement for wage types /6W4 and /6W9</t>
  </si>
  <si>
    <t>ZfA: RPCZFAD0_INBOUND - Runtime error during ZB01 notific</t>
  </si>
  <si>
    <t>ZfA: RPUZFAD0_RESET does not reset KZNN notifications</t>
  </si>
  <si>
    <t>ZfA: KZ01 retruns with error 6001</t>
  </si>
  <si>
    <t>Publ. Serv. regulatn not avail. for info to family court</t>
  </si>
  <si>
    <t>Regular Reimbursement According to Sec.10 VersStaatsV (8)</t>
  </si>
  <si>
    <t>Treaty on the sharing of pension costs (21)</t>
  </si>
  <si>
    <t>Death benefit Sec. 18 BeamtVG: Incorr care deduct. Sec. 50</t>
  </si>
  <si>
    <t>Notification of incorrect periods</t>
  </si>
  <si>
    <t>Missing absence coding in SAP Note 1782155</t>
  </si>
  <si>
    <t>/101 increased instead of decreased (SAP Note 1772302)</t>
  </si>
  <si>
    <t>HRDK: Record sequence problem in HANA DB after declustering</t>
  </si>
  <si>
    <t>CALC: Decimal fraction of hours in /343 wage type computing</t>
  </si>
  <si>
    <t>190: Unifying the payroll data processing</t>
  </si>
  <si>
    <t>CALC: General corrections regarding unpaid absence</t>
  </si>
  <si>
    <t>IRPF: Family field in 0062 infotype - chartered regime</t>
  </si>
  <si>
    <t>CALC: Rounding issue in ERE contribution bases</t>
  </si>
  <si>
    <t>TC: Printing issue with PCL-5 printers</t>
  </si>
  <si>
    <t>FDI: Incorrect CCC and NIF values in FDI generation</t>
  </si>
  <si>
    <t>BONIFICACIONES: Corrections for method 0090</t>
  </si>
  <si>
    <t>Certific@2: Missing &amp;lt;ERE&amp;gt; XML tag for cese</t>
  </si>
  <si>
    <t>CALC: Wrong cumulation of days in M717 and M719 wage types</t>
  </si>
  <si>
    <t>Diff. Result for POOL/CLUSTER Tables after DB Migration</t>
  </si>
  <si>
    <t>FDI: Correction of Message Sintax Selection</t>
  </si>
  <si>
    <t>TC: Doubled number of days in additional settlement II</t>
  </si>
  <si>
    <t>TC: Unpaid hours discounted twice for part time employees</t>
  </si>
  <si>
    <t>CALC: Clean up in RPCALCE0</t>
  </si>
  <si>
    <t>AFI: Short dump executing BAdI's method GEN_AUTOMATISM_DATA</t>
  </si>
  <si>
    <t>SSOCIAL: Warning message after PLNSS activation</t>
  </si>
  <si>
    <t>190: Issues with warning messages in Deduction Certificate</t>
  </si>
  <si>
    <t>RED 10/2012</t>
  </si>
  <si>
    <t>IRPF 2013 - Tax percentages for Alava and Biscay</t>
  </si>
  <si>
    <t>Incorrect values in T5ECP table after SP55</t>
  </si>
  <si>
    <t>IRPF 2013 - Tax percentages for Guipúzcoa</t>
  </si>
  <si>
    <t>HFFI: HFICEDT0_ELETTER problem with EPLV Bundle</t>
  </si>
  <si>
    <t>HRFI: HFILTAX0 - remove check warnings</t>
  </si>
  <si>
    <t>HRFI: Record sequence problem in HANA DB after declustering</t>
  </si>
  <si>
    <t>HRFI: LC FI Payroll constants 2013</t>
  </si>
  <si>
    <t>Error in Réduction Fillon</t>
  </si>
  <si>
    <t>N4DS: S48.G10.00 problems in retro hiring</t>
  </si>
  <si>
    <t>Special contracts: contract anniversary after contract end</t>
  </si>
  <si>
    <t>Profit Sharing: incorrect RSA contribution</t>
  </si>
  <si>
    <t>N4DS: New sub-group S48.G55.20</t>
  </si>
  <si>
    <t>DUCS EDI: PERTY defined with "Rate 100%"</t>
  </si>
  <si>
    <t>AED: Proratas</t>
  </si>
  <si>
    <t>DMMO: Version 3.2.2 (additional note to 1799423)</t>
  </si>
  <si>
    <t>TNM: quota batch input does not lead to any deduction</t>
  </si>
  <si>
    <t>N4DS: report execution does not end.</t>
  </si>
  <si>
    <t>AED: S40 reason code missing</t>
  </si>
  <si>
    <t>RPL4CRF0: S65.G55.05 is not available for control</t>
  </si>
  <si>
    <t>AED: max. nb of "cancel/replace" decl. check activ</t>
  </si>
  <si>
    <t>RPLDATF2 - Data of form is not correct</t>
  </si>
  <si>
    <t>IT3340: infotype text maintenance and numeric input</t>
  </si>
  <si>
    <t>N4DS analysis tool correction package 1</t>
  </si>
  <si>
    <t>N4DS: correction in case of portability between 2 years</t>
  </si>
  <si>
    <t>Customizing EDI: missing entries for form of addresses</t>
  </si>
  <si>
    <t>DUCS: Paper for Pension and Prévoyance 2013</t>
  </si>
  <si>
    <t>RPL4CRF0: dump with empty declarations</t>
  </si>
  <si>
    <t>AED: log messages (2)</t>
  </si>
  <si>
    <t>N4DS: DADS B2A incorrect number of corrective declarations</t>
  </si>
  <si>
    <t>N4DS &amp; DN-AC AED: Selection parameters consistency &amp;</t>
  </si>
  <si>
    <t>AED: message if statements nb is higher than P-E limit</t>
  </si>
  <si>
    <t>HANA: Correct SELECT command with additional ORDER BY</t>
  </si>
  <si>
    <t>AED: S40.G10.00.035 - Payment date</t>
  </si>
  <si>
    <t>IT3340: fix to support S40.G15.05/version V01X07</t>
  </si>
  <si>
    <t>N4DS:DADS CX_SY_CONVERSION_OVERFLOW in method get_s47_g05_05</t>
  </si>
  <si>
    <t>IT3340: some fields not filled via LSMW</t>
  </si>
  <si>
    <t>AED: S48.G55.15.001 value 90000 not filled</t>
  </si>
  <si>
    <t>N4DS: V_T5FDA2 and V_T5F99FMS in the customizing guide</t>
  </si>
  <si>
    <t>AED: field S40.G15.10.013.002 incorrect in case of retro</t>
  </si>
  <si>
    <t>N4DS: S40.G15.00.022* unexpected when S40.G15.00.001=20</t>
  </si>
  <si>
    <t>AED: raise exception runtime error after note 1795039</t>
  </si>
  <si>
    <t>N4DS: fix for erroneous S42.G05.05 amount (IRCANTEC)</t>
  </si>
  <si>
    <t>N4DS: Parallel execution leads to different results</t>
  </si>
  <si>
    <t>DN-AC AED: Header SEH - use of feature FDDR1 issue</t>
  </si>
  <si>
    <t>AED: S60 may be missing if SIRET is selected</t>
  </si>
  <si>
    <t>N4DS: RPUTMSF0 uses V01X06 format yielding corrupted files</t>
  </si>
  <si>
    <t>N4DS: S40.G15.10.013.001 and S40.G15.10.013.002 incoherent</t>
  </si>
  <si>
    <t>N4DS: S45 contracts may be missing</t>
  </si>
  <si>
    <t>N4DS control: in release V01X07, S40.G30.36 is not filled</t>
  </si>
  <si>
    <t>N4DS: S47.G05.05.006 issue for version v01x07</t>
  </si>
  <si>
    <t>N4DS: multiple S30 sections are generated below the same S20</t>
  </si>
  <si>
    <t>N4DS: unnecessary S40 created for an inactivity period</t>
  </si>
  <si>
    <t>N4DS: S30_G01_00_008 is not corrected</t>
  </si>
  <si>
    <t>N4DS: S40.G28.05 issue for version v01x07</t>
  </si>
  <si>
    <t>IT3340: issue with "V01X07" subtypes in table T5FI</t>
  </si>
  <si>
    <t>TEDM upload not working after note 1782276</t>
  </si>
  <si>
    <t>P14 leaving date for payments made after termination</t>
  </si>
  <si>
    <t>P45 rejected because of missing payroll results</t>
  </si>
  <si>
    <t>RTI: October 2012 - Fixes from piloting</t>
  </si>
  <si>
    <t>RTI:EPS File heading in B2A &amp; SAP Mail heading</t>
  </si>
  <si>
    <t>Pre budget changes for GB effective for 2013/14 tax year</t>
  </si>
  <si>
    <t>PY-GB PAE Corrections</t>
  </si>
  <si>
    <t>PY-GB PAE Corrections 3</t>
  </si>
  <si>
    <t>HANA Sort Order Correction : Country GB</t>
  </si>
  <si>
    <t>Incorrect DEO deductions in RPCMECG0</t>
  </si>
  <si>
    <t>PY-GB: Extending: HR_GB_RTI_BADI with RGDIR</t>
  </si>
  <si>
    <t>RTI: Issue with G000 schema in ECC 600 applying SP89</t>
  </si>
  <si>
    <t>RTI:Behaviour of fields in IT0088 Subtype STPA or STPB</t>
  </si>
  <si>
    <t>Issues related to new child maintenance DEO</t>
  </si>
  <si>
    <t>Issue:RPCMECG0 is throwing an incorrect error</t>
  </si>
  <si>
    <t>Incorrect NI calculation for Late Starters</t>
  </si>
  <si>
    <t>Doubling of NIable pay for late leaver employee</t>
  </si>
  <si>
    <t>PY-GB: ME SxP v OxP Offsetting</t>
  </si>
  <si>
    <t>HRGBPS: Corrections(5) to HESA LC 2012-2013 NOTE 1697236.</t>
  </si>
  <si>
    <t>Error SCON number must be present for NI cat &amp;1 F</t>
  </si>
  <si>
    <t>RTI: EAS processing non payroll relevant areas</t>
  </si>
  <si>
    <t>RTI: FPS handling special characters &amp; employee with nil</t>
  </si>
  <si>
    <t>Issues related to P11DB processing</t>
  </si>
  <si>
    <t>RTI: Leaver report issues in ECC 604</t>
  </si>
  <si>
    <t>Issue:Fuel scale charge calculation with company car</t>
  </si>
  <si>
    <t>Inactive employee with employment status = 1 in IR56F</t>
  </si>
  <si>
    <t>LCO HK: Sheet Number on Replacement IR56B form</t>
  </si>
  <si>
    <t>Rounding Tax issue in case of multiple transfers</t>
  </si>
  <si>
    <t>[ID] Diff. Result for POOL/CLUSTER Tables after DB Migration</t>
  </si>
  <si>
    <t>PY-ID: PTKP Rate Changes effective from 1st January 2013</t>
  </si>
  <si>
    <t>PY-IE: PRD Leaver report batch issue</t>
  </si>
  <si>
    <t>IT 0387 - Header for Class &amp; Weeks invisble in ECC 6.0 6</t>
  </si>
  <si>
    <t>Issue with PRSI processing for Shared Payments</t>
  </si>
  <si>
    <t>P45 Disability XML issue with cents</t>
  </si>
  <si>
    <t>New Version(9) of P35L for XML</t>
  </si>
  <si>
    <t>PY-IE : Ireland Budget Changes for the year 2012-2013.</t>
  </si>
  <si>
    <t>HANA Sort Order Correction : Country IE</t>
  </si>
  <si>
    <t>Missing table entries in V9 P35L for XML</t>
  </si>
  <si>
    <t>P45 ALV issues with PAYE and USC amounts</t>
  </si>
  <si>
    <t>IE EOY Report XML issues with Tax refund and USC refund</t>
  </si>
  <si>
    <t>Professional Tax reporting form for India</t>
  </si>
  <si>
    <t>Inconsistency in Loan eligiblity amount</t>
  </si>
  <si>
    <t>Form 24Q: Change in column header text of ALV output</t>
  </si>
  <si>
    <t>Employee State Insurance Report - Text changes</t>
  </si>
  <si>
    <t>[IN] Diff. Result for POOL/CLUSTER Tables after DB Migration</t>
  </si>
  <si>
    <t>Form 27A : Organisation name displayed inconsistently</t>
  </si>
  <si>
    <t>ITRET Improvements - Interest generation</t>
  </si>
  <si>
    <t>Infotype 155 is allowing invalid customizing.</t>
  </si>
  <si>
    <t>RPISCAI1: issue when number of current pay scale is blank</t>
  </si>
  <si>
    <t>RPCALCI0: is not working correctly in linked events</t>
  </si>
  <si>
    <t>UniEmens 2.0 - Correction Package II</t>
  </si>
  <si>
    <t>Report RPUCMNI1: Update 2012 file format.</t>
  </si>
  <si>
    <t>RPCSIKJ0: Enable to edit Jul/Aug Cluster GJ with Ann. Avg.</t>
  </si>
  <si>
    <t>RPCPRTJ0: Incorrect Number of Retired Employees</t>
  </si>
  <si>
    <t>RPLDTDJ0: Corrections for Form output</t>
  </si>
  <si>
    <t>RPCEADJ0: Corrections for Form Output</t>
  </si>
  <si>
    <t>RPCNRPJ0: Inconsist Withhold. Tax Amount of Shoyo</t>
  </si>
  <si>
    <t>RPCEADJ0: Collective Corrections of Tekiyo-ran Output</t>
  </si>
  <si>
    <t>RPCEWGJ1: Incorrect Output for YEA results</t>
  </si>
  <si>
    <t>RPCEADJ0: Previous Amounts not Displayed in Tekiyo-ran</t>
  </si>
  <si>
    <t>RPCEADJ0: Dep. Ind. Not Output If Income over 20,000,000 YEN</t>
  </si>
  <si>
    <t>PY-JP-NT</t>
  </si>
  <si>
    <t>Incorrect Leaving Date during Income Tax Calculation</t>
  </si>
  <si>
    <t>PY-JP-NT-NP</t>
  </si>
  <si>
    <t>Non-resident Payroll</t>
  </si>
  <si>
    <t>Incorrect Tax for Pay Increase during Returning to Resident</t>
  </si>
  <si>
    <t>PY-JP-NT-YE</t>
  </si>
  <si>
    <t>Year End Adjustment</t>
  </si>
  <si>
    <t>/Q11&amp;/Q21 missing from /Y54 in Re-YEA(payroll reason 000</t>
  </si>
  <si>
    <t>Overtime Non-taxable and Adjusted Period of SIM2 Tax Method</t>
  </si>
  <si>
    <t>Deducted Donation is Carried over to 2012 (2011 YEA retro)</t>
  </si>
  <si>
    <t>LC2013:HI Premium Rate&amp;Flat Tax Rate for Foreigner</t>
  </si>
  <si>
    <t>[MX] Conflicts when creating specific payroll function CE</t>
  </si>
  <si>
    <t>[MX] Incorrect Christmas Bonus for EE with 365 active days</t>
  </si>
  <si>
    <t>[MX] Error on variable SDI integration with payroll splits</t>
  </si>
  <si>
    <t>[MX] Duplicated INFONAVIT deduction for percentage discount</t>
  </si>
  <si>
    <t>[MX] Reassignment of Mexican Economical Zones 2012</t>
  </si>
  <si>
    <t>[MX] New minimum salaries for 2013</t>
  </si>
  <si>
    <t>PY-MX-CE</t>
  </si>
  <si>
    <t>Concurrent Employment - Payroll Mexico</t>
  </si>
  <si>
    <t>[MX] Diff. Result for POOL/CLUSTER Tables after DB Migration</t>
  </si>
  <si>
    <t>[MX] Change in SIRI layout - Annex B file - field 17</t>
  </si>
  <si>
    <t>[MX] Internal correction for RPCPAYMX_RUSP</t>
  </si>
  <si>
    <t>PY-MY: Borang E 'A1' Count and EPF 'STD' format issue</t>
  </si>
  <si>
    <t>Legal Change: Malaysia MTD 2013 Changes</t>
  </si>
  <si>
    <t>PY-MY: SOCSO contribution not calculated in semi monthly</t>
  </si>
  <si>
    <t>PY-MY:New MBB file format for IRB Account</t>
  </si>
  <si>
    <t>[MY] Diff. Result for POOL/CLUSTER Tables after DB Migration</t>
  </si>
  <si>
    <t>Aangifte LH: WCR and Correction Previous Years</t>
  </si>
  <si>
    <t>Aangifte LH: Folder Popup in Processing Response Messages us</t>
  </si>
  <si>
    <t>YELC 2012/2013: Crisis Tax assigned to incorrect LePer</t>
  </si>
  <si>
    <t>ULB (WUL): Additional Payroll Checks</t>
  </si>
  <si>
    <t>YELC 2012/2013: Updated Amounts for AV Onderwijs</t>
  </si>
  <si>
    <t>NPS02: Incorrect calculation of pensionable salary</t>
  </si>
  <si>
    <t>YELC 2012/2013: Exclude Company Car from Pensionable Salary</t>
  </si>
  <si>
    <t>YELC 2012/2013: Incorrect Maximum for Conversion Rule A</t>
  </si>
  <si>
    <t>YELC 2012/2013: LCS 80% Bonus: Tax Free Amount not paid out</t>
  </si>
  <si>
    <t>YELC 2012/2013: Additional documentation updates</t>
  </si>
  <si>
    <t>YELC 2012/2013: Adjustment to Temporary Tax Reduction (RR)</t>
  </si>
  <si>
    <t>YELC 2012/2013: Change of Calculation Rule Generate pension</t>
  </si>
  <si>
    <t>File extension in report Wage Return: Processing Response Me</t>
  </si>
  <si>
    <t>ULB: RPCEDTN0 Performance Improvement</t>
  </si>
  <si>
    <t>YELC 2012/2013: Changes to check report for Tax Tables</t>
  </si>
  <si>
    <t>PY NL: Company car negative fiscal addition</t>
  </si>
  <si>
    <t>RPCKTON0: shortdump CONVT_NO_NUMBER in include RPCKTXN0</t>
  </si>
  <si>
    <t>ULB: message for /64T and ZVW code = I, /67[ doubles</t>
  </si>
  <si>
    <t>ULB: evaluation class values for /67* wagetypes</t>
  </si>
  <si>
    <t>ULB: Form Updates</t>
  </si>
  <si>
    <t>HRNO:(RPLAAMV0) AA-register enhancements -new absence groups</t>
  </si>
  <si>
    <t>RPUTILV1* - changes in internal utilities              [2/2]</t>
  </si>
  <si>
    <t>HRNO: Annual tax statement-issues November 2012</t>
  </si>
  <si>
    <t>HRNO: Reimbursement issues November/December 2012</t>
  </si>
  <si>
    <t>HRNO: K27 import - switch for max dates (CO,CM) update</t>
  </si>
  <si>
    <t>HR_NO_EVALUATION_PERIODS_V2 - Performance improvements</t>
  </si>
  <si>
    <t>HRNO: RPLLONV0 - correction of issues - December 2012</t>
  </si>
  <si>
    <t>HRNO:P0045 error if loan is paid out/ended in the same month</t>
  </si>
  <si>
    <t>HRNO:Change in form RF 1025B - reporting of pension contrib.</t>
  </si>
  <si>
    <t>HRNO - Gensegjenger - corrected error after note 1767996</t>
  </si>
  <si>
    <t>HRNO - Record sequence problem in HANA DB after declustering</t>
  </si>
  <si>
    <t>RPUTILV1* - changes in internal utilities              [1/2]</t>
  </si>
  <si>
    <t>HRNO: Norway Legal Changes for year 2013 (tax calculation)</t>
  </si>
  <si>
    <t>HRNO - Correction of texts for any wage types</t>
  </si>
  <si>
    <t>HRNO: AA-register short dump while testing impl. of SP 56</t>
  </si>
  <si>
    <t>SPK - correction of issues - December 2012</t>
  </si>
  <si>
    <t>EVE Attribute DDSTY: System Displays Provide Error</t>
  </si>
  <si>
    <t>[UN] Diff. Result for POOL/CLUSTER Tables after DB Migration</t>
  </si>
  <si>
    <t>PY-NZ : Enabling Blank Termination Reason</t>
  </si>
  <si>
    <t>PY-NZ : Termination changes for Annual Leave in Days-Part 2</t>
  </si>
  <si>
    <t>Annual Lve in Days-Part2 (Leave Liability function changes)</t>
  </si>
  <si>
    <t>PY-NZ: Incorrect amount in case of retro termination</t>
  </si>
  <si>
    <t>PY-NZ: Incorrect customizing setting for the wage type /150</t>
  </si>
  <si>
    <t>HANA Sort Order Correction : Country NZ</t>
  </si>
  <si>
    <t>[PH] Diff. Result for POOL/CLUSTER Tables after DB Migration</t>
  </si>
  <si>
    <t>Vacation allowance not paid when using payment methods C, D</t>
  </si>
  <si>
    <t>Generic payroll operation GNPT for Portugal</t>
  </si>
  <si>
    <t>Wrong vacation payment for pensioners with status change</t>
  </si>
  <si>
    <t>RPCSSRP0: Corrections 2012</t>
  </si>
  <si>
    <t>New labor code: working time account</t>
  </si>
  <si>
    <t>Legal classification of education and professional training</t>
  </si>
  <si>
    <t>Vacation Allowance wrongly adjusted for periods already paid</t>
  </si>
  <si>
    <t>PY-PT-PS: reduction of CA and VA - corrections III</t>
  </si>
  <si>
    <t>ADSE XML Report: Changes to generate files per Service Code</t>
  </si>
  <si>
    <t>SIOE: quarterly information - corrections III</t>
  </si>
  <si>
    <t>RPCASRPT0PBS: positions missing in the output</t>
  </si>
  <si>
    <t>SIOE: Wrong selection screen filtering</t>
  </si>
  <si>
    <t>PY-RU: NDFL return in case of full storno of taxable base</t>
  </si>
  <si>
    <t>HR-RU: 4-FSS Generates Dump with Split PY Periods</t>
  </si>
  <si>
    <t>Correction for SAP Note 1777207</t>
  </si>
  <si>
    <t>HR-RU: Diff. Result for POOL/CLUSTER Tables after DB convert</t>
  </si>
  <si>
    <t>Global pay increase on 1 day of month newav off</t>
  </si>
  <si>
    <t>HR-RU: RUCDT lost APZNR split WPBP and not assigned Ñ1ZNR</t>
  </si>
  <si>
    <t>Absences are taken from previous months in case of recalcu</t>
  </si>
  <si>
    <t>HR-RU: Issues of indirect valuation 33BON M and N</t>
  </si>
  <si>
    <t>Average for maternity leave if employee works part of period</t>
  </si>
  <si>
    <t>HR-RU: data from parts 3-5 of form 2-NDFL is absent in XML</t>
  </si>
  <si>
    <t>Feature 33BPC return values other than space and 'X'</t>
  </si>
  <si>
    <t>Maximum daily average for maternity leave since 01/01/2013</t>
  </si>
  <si>
    <t>HRSE:Employer's leaving certificate form in Swedish</t>
  </si>
  <si>
    <t>HRSE: Record sequence problem in HANA DB after declustering</t>
  </si>
  <si>
    <t>HRSE: Constants valid for 2013</t>
  </si>
  <si>
    <t>HRSE: RPCKU1S0-wrong texts on PDF form KU10 + constant TMLIM</t>
  </si>
  <si>
    <t>Shortfall/excess rounding corrections to note 1752068</t>
  </si>
  <si>
    <t>CPF capping for Legal entity transfer in mid year</t>
  </si>
  <si>
    <t>LC-SG: IR21 Form changes 2012</t>
  </si>
  <si>
    <t>[SG] Diff. Result for POOL/CLUSTER Tables after DB Migration</t>
  </si>
  <si>
    <t>NS Report - NS Portal submission Error</t>
  </si>
  <si>
    <t>PY-TH: PF Rates defaulting to be month based also</t>
  </si>
  <si>
    <t>PY-TH: EE address displayed incorrctly in 50 BIS form</t>
  </si>
  <si>
    <t>[TH] Diff. Result for POOL/CLUSTER Tables after DB Migration</t>
  </si>
  <si>
    <t>PY-TH: Misalignment in Form PIT91 3rd Page</t>
  </si>
  <si>
    <t>PY-TH: Incorrect branch address display in insurance report</t>
  </si>
  <si>
    <t>PY-TH: Employee name displays incorrectly in PIT91 form</t>
  </si>
  <si>
    <t>LC2013: Adjustment of OI, NHI, ORI Rates</t>
  </si>
  <si>
    <t>CLUSTER/POOL tables in SAP HCM Taiwan: change to ORDER BY</t>
  </si>
  <si>
    <t>2nd Generation NHI: Correction for Note 1774995</t>
  </si>
  <si>
    <t>Part-time Suppl.NHI Fee Cant Exempt When with Min. Salary</t>
  </si>
  <si>
    <t>TW 2nd Generation NHI Solution: Reports</t>
  </si>
  <si>
    <t>2nd NHI follow-Up: Enhance Retro Process and Pay Date Issue</t>
  </si>
  <si>
    <t>Re-print Failed for Foreigners in Tax Certificate Report</t>
  </si>
  <si>
    <t>USCLM: Recovery does not consider gross for multiple WT</t>
  </si>
  <si>
    <t>GARN: Error during In-period garnishments reading.</t>
  </si>
  <si>
    <t>TIP: New version of Form 8027.</t>
  </si>
  <si>
    <t>Checkman corrections for HCM U.S. Tax Reporter</t>
  </si>
  <si>
    <t>TR: Corrections to reporting of Form W-2 with PA Act 32</t>
  </si>
  <si>
    <t>Year End 2012 Phase III for U.S. Tax Reporter</t>
  </si>
  <si>
    <t>TR: PA locality wages summed in state boxes in Form W-2</t>
  </si>
  <si>
    <t>TR: Online W-2 excludes EE from TP Magmedia enhancement</t>
  </si>
  <si>
    <t>[VE] Changes in termination calculation (new LOT)</t>
  </si>
  <si>
    <t>[VE] Diff. Result for POOL/CLUSTER Tables after DB Migration</t>
  </si>
  <si>
    <t>PE04: Numbers assigned twice in T52A0</t>
  </si>
  <si>
    <t>DAQ - XML class inheritance</t>
  </si>
  <si>
    <t>[ZA] Diff. Result for POOL/CLUSTER Tables after DB Migration</t>
  </si>
  <si>
    <t>SAPKE60458</t>
  </si>
  <si>
    <t>0EMPLOYEE_ATTR: performance improvement</t>
  </si>
  <si>
    <t>Anlegen IT 527 &amp; 3238 nicht möglich bei ruhendem DV</t>
  </si>
  <si>
    <t>Infotype 0007/0107: Error message when changing REMES</t>
  </si>
  <si>
    <t>Infotype 0125 - Subtype titles not available in German</t>
  </si>
  <si>
    <t>Datenschutz: Vernichtung Meldedaten (Abr. Deutschland) III</t>
  </si>
  <si>
    <t>Infotype 0424: Problem when case number is not numeric</t>
  </si>
  <si>
    <t>TNM: TP ID not correctly filled during the authority check</t>
  </si>
  <si>
    <t>2483: new Ministry logo, missing label and vertical text</t>
  </si>
  <si>
    <t>Personnel number missing in header area of infotype 0088</t>
  </si>
  <si>
    <t>HRGB: Sexual Orientation</t>
  </si>
  <si>
    <t>IT0359 issues with Tax and USC Tabs</t>
  </si>
  <si>
    <t>IT0359 not allowing the record to save with zero rates</t>
  </si>
  <si>
    <t>IT0060: Correction to Screen Options of Some Text Fields</t>
  </si>
  <si>
    <t>FlexBenNL: Last column is displayed too wide in ESS</t>
  </si>
  <si>
    <t>Absence reporting date (Infotype 2001)</t>
  </si>
  <si>
    <t>Personal Ids Duplicate Check for Qatar</t>
  </si>
  <si>
    <t>Katakana Field Display Only in IT0002</t>
  </si>
  <si>
    <t>Infotype 0290, "Military ID": fields sequence on t</t>
  </si>
  <si>
    <t>HRULP4: New form P-4 Rosstat Order N 407 from 24.07.2012</t>
  </si>
  <si>
    <t>HRULPFP5: missing tags in the SZV-6-x XML-files</t>
  </si>
  <si>
    <t>The new procedure of filling form SZV-6-3 in 2012</t>
  </si>
  <si>
    <t>HR-RU: IT0290, width of Start date column at overview screen</t>
  </si>
  <si>
    <t>Dump in transaction PUST</t>
  </si>
  <si>
    <t>Not enough quota 00 for attendance/absence</t>
  </si>
  <si>
    <t>Data Privacy for Taiwan: Delete Employee Personnel Data</t>
  </si>
  <si>
    <t>HR-PF-CH: Changes BVG - year-end legal change 2012/2013</t>
  </si>
  <si>
    <t>PP61: Requirements matchup does not work</t>
  </si>
  <si>
    <t>PP61: Dialog box for saving miss. after entering time transf</t>
  </si>
  <si>
    <t>PP61: Colors move when printing in Excel w/diff. start dates</t>
  </si>
  <si>
    <t>Partial-day * entries can be deleted</t>
  </si>
  <si>
    <t>[AR] Corrections in Article 80 (HARCSRV0) report</t>
  </si>
  <si>
    <t>[AR] Tax Report does not show data on retrocalculation</t>
  </si>
  <si>
    <t>[AR] RG 3413/2012 - Tax diff. shown only in current payslip</t>
  </si>
  <si>
    <t>PCALZ: Korrektur für Grenzgänger</t>
  </si>
  <si>
    <t>Dokumentation: Aktualisierung diverse Themen</t>
  </si>
  <si>
    <t>Pfändung: Report RPCPGTA0: Schwellwert für Mitteilung</t>
  </si>
  <si>
    <t>RPCKSBA0_B2A: mehrere ELDA-KB-Dateien hochladen NOK</t>
  </si>
  <si>
    <t>JW 2012/13: Korrektur Konstante V2SJK</t>
  </si>
  <si>
    <t>SZ-Staffelung bei Auslandsentsendung</t>
  </si>
  <si>
    <t>PCALZ: Fehler wegen des Hinweises 1787667</t>
  </si>
  <si>
    <t>Individueller Freibetrag nach §35 unberücksichtigt</t>
  </si>
  <si>
    <t>AJ3E und AJ3D nicht korrekt bei Steuerbefreiung G / A</t>
  </si>
  <si>
    <t>PCALZ: Korrektur auf PDF Formular HR_AT_LZ_GLZ_03</t>
  </si>
  <si>
    <t>IT0526: Schreibfehler bei der Bezeichnung Abmeldegrund</t>
  </si>
  <si>
    <t>UEKV: ALV-Staffelung SZ mit UE Auszahlung nicht korrekt</t>
  </si>
  <si>
    <t>PCALZ: Stornomeldung wegen Einsatz BAdI HRPAYAT_LZ_CHG_SRTZA</t>
  </si>
  <si>
    <t>UEKV: ein SV-Split am letzten Tag des Austrittsmonats</t>
  </si>
  <si>
    <t>JW 2013: die neue Version der AK/AW Meldung erst ab 01.03.13</t>
  </si>
  <si>
    <t>Auflösungsabgabe: Anzahl Dienstnehmer nicht korrekt</t>
  </si>
  <si>
    <t>Auflösungsabgabe - Vorschlagswert 'N' in IT0367 fehlt</t>
  </si>
  <si>
    <t>Super voluntary contribution stopped for employee over 65</t>
  </si>
  <si>
    <t>Employee detail report:Incorrect MTD values in few cases</t>
  </si>
  <si>
    <t>Advance payment report displays invalid wagetypes in results</t>
  </si>
  <si>
    <t>No tax on termination payments for EE with tax scale zero</t>
  </si>
  <si>
    <t>Legal Requirement: APS Remuneration Report</t>
  </si>
  <si>
    <t>Certificate 281.25 - Payroll - Initial Delivery</t>
  </si>
  <si>
    <t>RPTGENB0: Public holidays paid after RPI</t>
  </si>
  <si>
    <t>Dismissal after part time career interruption</t>
  </si>
  <si>
    <t>Resumption of work splits exceeding maximum 26 days</t>
  </si>
  <si>
    <t>RPTGENB0: Customizing error message on table T5BP8</t>
  </si>
  <si>
    <t>PY-BE: lower limit taken for calculation</t>
  </si>
  <si>
    <t>DECAVAA: Incomplete Month empty but declared in xml</t>
  </si>
  <si>
    <t>Dimona: Duplicate Prevention - Cancel inter companies</t>
  </si>
  <si>
    <t>Company Car - Amount of /162 without currency storred</t>
  </si>
  <si>
    <t>Dismissal - Taxable Exemption - Notification date not in ST</t>
  </si>
  <si>
    <t>Social Insurance: Framework for Notification - Correction</t>
  </si>
  <si>
    <t>BELCOTAX: Legal Changes at January 2013 incomes 2012 (II)</t>
  </si>
  <si>
    <t>DeCava - Floor Application limits as of 01.01.2013</t>
  </si>
  <si>
    <t>DmfA/DmfAPPL - Legal Changes 2012 Q4 - Addendum</t>
  </si>
  <si>
    <t>Generation tax scales - Rounding error for incomes &amp;gt; 7.50</t>
  </si>
  <si>
    <t>Dimona - Preparation Report - wrong duplicate detection</t>
  </si>
  <si>
    <t>Non recurring result bonus - Employee contribution</t>
  </si>
  <si>
    <t>Payslip/ESS: Name and title not in one address line</t>
  </si>
  <si>
    <t>Advantage Home Work - Monthly limit</t>
  </si>
  <si>
    <t>Work Bonus - No integration of /30H /332 - Enhancement</t>
  </si>
  <si>
    <t>SOCIAL BALANCE: Legal changes at 2013 (declaration 2012) I</t>
  </si>
  <si>
    <t>New rates for factory shutdown fund 2013</t>
  </si>
  <si>
    <t>HBRDIRF1: Generating file with employee's old name</t>
  </si>
  <si>
    <t>HBRCHMN0: CBO is filled incorrectly for splits in IT0001</t>
  </si>
  <si>
    <t>HBRDIRF1: Legal change for base year 2012</t>
  </si>
  <si>
    <t>HBRRAIS0: Legal Changes for base year 2012</t>
  </si>
  <si>
    <t>BRIR: IRRF on profit sharing - legal change 2013</t>
  </si>
  <si>
    <t>BRGAR: IRRF on profit share in garnishments</t>
  </si>
  <si>
    <t>ROE: Corrections to ROE related to XML</t>
  </si>
  <si>
    <t>ROE:B2 XML incorrect &amp; Box 18 all comments not filled in</t>
  </si>
  <si>
    <t>Logical file error with several reports</t>
  </si>
  <si>
    <t>PIER:CPP cont not calculated correctly</t>
  </si>
  <si>
    <t>YE12: CPP exempt flag incorrectly removed from T4</t>
  </si>
  <si>
    <t>YE12:RPCYERK6 producing wrong RL footnotes</t>
  </si>
  <si>
    <t>Technische Vorabauslieferung (Nachrichtenbehandlung)</t>
  </si>
  <si>
    <t>HR-CH:Family-related bonus-year - end legal change 2012/2013</t>
  </si>
  <si>
    <t>ELM:LAW2005: Error in XML with wage and pension statement</t>
  </si>
  <si>
    <t>HR-CH:Survey of struct &amp; level of wages (RPLBGAC3)/area</t>
  </si>
  <si>
    <t>Neues ProcessStep Framework für die Abrechnung</t>
  </si>
  <si>
    <t>CE CH: Technical delivery without changing payroll in SP58</t>
  </si>
  <si>
    <t>HR-CH: Supp. for fam-rel. bonuses; yr-end legal change 12/13</t>
  </si>
  <si>
    <t>[CL] Incorrect Voluntary severance basis calc. with splits</t>
  </si>
  <si>
    <t>[CL] Missing terminated employees in HCLCAFP0 report</t>
  </si>
  <si>
    <t>[CL] Income Tax tables 2013</t>
  </si>
  <si>
    <t>Enhancement: More Details in Report HCNCPHF0</t>
  </si>
  <si>
    <t>Correction: Report HCNCTXD0 Cannot Get Payroll Results</t>
  </si>
  <si>
    <t>Enhancement: CN Year End Individual Income Tax Rpt(HCNCTXD0)</t>
  </si>
  <si>
    <t>/101 is not reduced (02/2013)</t>
  </si>
  <si>
    <t>SI: Composite SAP Note data exchange 2/2013</t>
  </si>
  <si>
    <t>ZfA/PRN: Enhancing reports RPURBMD0_MQIN and RPUZFAD0_MQIN</t>
  </si>
  <si>
    <t>Leave: Entitlement calc for industrial workers in part-time</t>
  </si>
  <si>
    <t>SFP: Travel allowance reimbursement for trainees (Berlin SF)</t>
  </si>
  <si>
    <t>SKV: Contrib records social fund construct industry for 2013</t>
  </si>
  <si>
    <t>Change to collective agreement of December 17, 2012: Payroll</t>
  </si>
  <si>
    <t>DEUEV(UVMG): Corrections XIX</t>
  </si>
  <si>
    <t>Year-end legal change 2012/2013 DEUEV: Corrections 1</t>
  </si>
  <si>
    <t>ELStAM: Corrections after year-end legal change 03/2013</t>
  </si>
  <si>
    <t>ELStAM: Deleting notifications</t>
  </si>
  <si>
    <t>ELStAM: Corrections 02/2013</t>
  </si>
  <si>
    <t>ELStAM: Corrections after year-end legal change 04/2013</t>
  </si>
  <si>
    <t>ELStAM: Corrections after year-end legal change 05/2013</t>
  </si>
  <si>
    <t>ELStAM: Corrections after year-end legal change 06/2013</t>
  </si>
  <si>
    <t>ELStAM: Corrections after year-end legal change 08/2013</t>
  </si>
  <si>
    <t>EEL: Manual enries: Incorr. value in Agreed Gross Remuneratn</t>
  </si>
  <si>
    <t>EEL: Errors after changes on January 01, 2013</t>
  </si>
  <si>
    <t>EEL: Corrections and enhancements (02/2013)</t>
  </si>
  <si>
    <t>Sick pay: Notification creation terminates w/ 'Invalid Date'</t>
  </si>
  <si>
    <t>AAG: Supplements and corrections (1)</t>
  </si>
  <si>
    <t>Maternity pay allowance for several employments</t>
  </si>
  <si>
    <t>AVmG prohibited activities: SI EC parts not created</t>
  </si>
  <si>
    <t>BVV notifications: Sender reporting company not found</t>
  </si>
  <si>
    <t>BVV notific: Contributions during inactive work relationship</t>
  </si>
  <si>
    <t>BVV: View generation terminates due to V_T5DRF entries</t>
  </si>
  <si>
    <t>HR-DPF: Base interest rate changed to -0.38%</t>
  </si>
  <si>
    <t>Splitting garnishment includes RPCPEUD0 and RPCPEFD0_EP</t>
  </si>
  <si>
    <t>New constant PFDI2 for negative base interest rate</t>
  </si>
  <si>
    <t>Statement of contributions paid: Feature struct enhancement</t>
  </si>
  <si>
    <t>Correction for concurrent employment in conjunction w/ DBGZ</t>
  </si>
  <si>
    <t>PAdm: Error during evaluation of feature DSTZM</t>
  </si>
  <si>
    <t>Overriding the automatic calculation of sick pay supplement</t>
  </si>
  <si>
    <t>Level increase redesign: Supplements</t>
  </si>
  <si>
    <t>ZfA:Runtime error during manual assgmt of ZK01 notifications</t>
  </si>
  <si>
    <t>ZfA: Deleting files with errors from incoming notifications</t>
  </si>
  <si>
    <t>ZfA: "Completed Manually" status for ZK01 notifica</t>
  </si>
  <si>
    <t>ZfA: Termination when deleting notifications using RPUZFAD0</t>
  </si>
  <si>
    <t>Gross overpayment: Missing wage type in cumulation WT NTSV</t>
  </si>
  <si>
    <t>Administrative changes(CheckMan)</t>
  </si>
  <si>
    <t>Regular Reimbursement According to Sec.10 VersStaatsV (9)</t>
  </si>
  <si>
    <t>Publ. Serv. regulatn Bavaria: Adj. amt. Art. 107 Para. 3 II</t>
  </si>
  <si>
    <t>Workforce Acquisition Law and Sec. 14 Para. 4 Cl. 4 BeamtVG</t>
  </si>
  <si>
    <t>Message after activating planned data is missing</t>
  </si>
  <si>
    <t>Reduction Sect. 57: Immediate display of reduction amount</t>
  </si>
  <si>
    <t>Pens. imputatn acc to Art. 85 BayBeamtVG acc to 8th adjustmt</t>
  </si>
  <si>
    <t>Art. 84 BayBeamtVG: Death Benefit Not Correct</t>
  </si>
  <si>
    <t>Pub. Serv. regulatn Bavaria: Adj amount art. 107 para. 3 III</t>
  </si>
  <si>
    <t>DATUEV-ZVE 1.04 and VBL: Fill payment month/year (02/2013)</t>
  </si>
  <si>
    <t>RPCZVMD2: Runtime error UNCAUGHT_EXCEPTION; VBL sections</t>
  </si>
  <si>
    <t>VBL and voluntary ins.: Retroactive change of note to payee</t>
  </si>
  <si>
    <t>TC: Additional settlement for multiple employment</t>
  </si>
  <si>
    <t>Delt@: Wrong calculation of monthly contribution basis</t>
  </si>
  <si>
    <t>Infotype 0062: error in batch input for expatriate employee</t>
  </si>
  <si>
    <t>TC: wrong complementary for employees with SS exemption</t>
  </si>
  <si>
    <t>BONIFICACIONES: Corrections for method 0094</t>
  </si>
  <si>
    <t>Contrat@: Synchronization issue with SAP note 1581372</t>
  </si>
  <si>
    <t>IRPF 2013 - Legal changes</t>
  </si>
  <si>
    <t>MASSIVE: IRPF XML interface for 2013</t>
  </si>
  <si>
    <t>190: Issue with warning messages in Deduction Certificate II</t>
  </si>
  <si>
    <t>TC: CCC filter not working properly</t>
  </si>
  <si>
    <t>IRPF 2013 - Wrong values in V_5E40_A for Biscay y Guipúzcoa</t>
  </si>
  <si>
    <t>Ley 17/2012: New IT and IMS contributions for CNAE 2013</t>
  </si>
  <si>
    <t>TC: Short dump after SAP Note 1710503</t>
  </si>
  <si>
    <t>IRPF 2013 - Wrong values in V_5E40_A for Alava and Gipuzkoa</t>
  </si>
  <si>
    <t>AFI: New values for Lost of profits indicator (PES_INDPB)</t>
  </si>
  <si>
    <t>Ley 17/2012: Corrections in V_T5E4E - Contributions for CNAE</t>
  </si>
  <si>
    <t>190: Correction of SAP Note 1770044</t>
  </si>
  <si>
    <t>Ley 17/2012: Corrections in V_T5E4C - Contributions for CNAE</t>
  </si>
  <si>
    <t>CALC: 36% increment in contracts 410 and 510</t>
  </si>
  <si>
    <t>190: Issues with arrears processing after SAP note 1754324</t>
  </si>
  <si>
    <t>190: Issue with province code for expatriate employees</t>
  </si>
  <si>
    <t>190: Issues considering irregular incomes after note 1754324</t>
  </si>
  <si>
    <t>HRFI: HFIUCPL0 - Unable to kill all user sessions</t>
  </si>
  <si>
    <t>HRFI: Report HFILHPA0_FI can use incorrectly IT0001 values</t>
  </si>
  <si>
    <t>DUCS: long execution times in regularization declarations</t>
  </si>
  <si>
    <t>N4DS: No reset if sum of S40.G40.05 for a SIRET is negative</t>
  </si>
  <si>
    <t>N4DS: reference period of periodic bonuses might be wrong</t>
  </si>
  <si>
    <t>N4DS: S40.G25.00, issue in case of SIRET change</t>
  </si>
  <si>
    <t>N4DS: N4DS V01X07 S40.G28.05.029.005 Missing</t>
  </si>
  <si>
    <t>IT3340: runtime error in batch mode if decimals used</t>
  </si>
  <si>
    <t>IT3340: deactivate mandatory fields check on "S45*&amp;quot</t>
  </si>
  <si>
    <t>N4DS: entry AICTX not delimited in table T5F99FF</t>
  </si>
  <si>
    <t>N4DS: Blocked infotypes are not being ignored</t>
  </si>
  <si>
    <t>IT0016/0713 views data not being filled</t>
  </si>
  <si>
    <t>N4DS: S40.G15.00.022* dependencies on S40.G15.00.001</t>
  </si>
  <si>
    <t>N4DS: control report: S47.G05.05 not displayed</t>
  </si>
  <si>
    <t>Change EDI DMMO Version from V3.2.1 to V3.2.2</t>
  </si>
  <si>
    <t>DN-AC AED: 48.G47.06.003.001 &amp; 002 - issue if only retro</t>
  </si>
  <si>
    <t>2013 parameters for French payroll</t>
  </si>
  <si>
    <t>N4DS: dump due to non-compatible values in payroll results</t>
  </si>
  <si>
    <t>N4DS: multiple S30 sections below the same S20 (II)</t>
  </si>
  <si>
    <t>N4DS: Parallel execution: incorrect S80.G01.00.002</t>
  </si>
  <si>
    <t>N4DS: Roundig still present for some sections</t>
  </si>
  <si>
    <t>N4DS: Parallel execution: dump may occur (correction IT log)</t>
  </si>
  <si>
    <t>N4DS: payroll cluster tables completion (FMD/WPE)</t>
  </si>
  <si>
    <t>N4DS: Wrong S40.G15.05.025 with retroactive results</t>
  </si>
  <si>
    <t>HR-FR: N4DS Analysis tool - Correction Package 2</t>
  </si>
  <si>
    <t>IT3340: fix for OBJECTS_OBJREF_NOT_ASSIGNED runtime error</t>
  </si>
  <si>
    <t>N4DS/AED - S40.G40.10 Shifted payroll</t>
  </si>
  <si>
    <t>N4DS: EE not selected when reentry from excluded SIRET</t>
  </si>
  <si>
    <t>IT3340: some "S45*" subtypes may not be taken into</t>
  </si>
  <si>
    <t>N4DS sub-group S40.G15.00 : Add wagetype group DWXX</t>
  </si>
  <si>
    <t>N4DS: field S44.G10.10.003.001 not generated</t>
  </si>
  <si>
    <t>N4DS: dump in DADSU declaration creation.</t>
  </si>
  <si>
    <t>N4DS : Nature of Declaration 07 - reason code 143-144</t>
  </si>
  <si>
    <t>IT3340: "0" value not displayed for numeric fields</t>
  </si>
  <si>
    <t>N4DS: Parallel execution stops due to authorities log</t>
  </si>
  <si>
    <t>N4DS: field S47.G65.05.001 not generated</t>
  </si>
  <si>
    <t>N4DS: V_T5F99FCD, missing code lists for subtype SSD1</t>
  </si>
  <si>
    <t>DN-AC AED: Infotype 3319 lock and records to process</t>
  </si>
  <si>
    <t>Garnishment thresholds as of February 1, 2013</t>
  </si>
  <si>
    <t>Corrections and new IJSS minimum amounts in T511K</t>
  </si>
  <si>
    <t>N4DS: message 083(HRPAYFR_N4DS) enhancement</t>
  </si>
  <si>
    <t>Seniority retained in level; Grade promotion</t>
  </si>
  <si>
    <t>Error in RPIAVEF0PBS in case of reassignment</t>
  </si>
  <si>
    <t>RTI: PRe-DME report does not generate RTI indictor</t>
  </si>
  <si>
    <t>PY-GB PAE Corrections 4</t>
  </si>
  <si>
    <t>PY-GB: PAE: Field ATEJH incorrectly used in correction run</t>
  </si>
  <si>
    <t>PY-GB: Tax Code Uplift</t>
  </si>
  <si>
    <t>PY-GB: PAE: BADI corrections and enhancements</t>
  </si>
  <si>
    <t>PY-GB: PAE Personnel Calculation Rules &amp; Customising</t>
  </si>
  <si>
    <t>PY-GB: PAE Negative Qualifying Earnings</t>
  </si>
  <si>
    <t>PY-GB: PAE State Pension Age applied incorrectly</t>
  </si>
  <si>
    <t>Issue:Employer details issues in RPCMECG0</t>
  </si>
  <si>
    <t>CSL record cannot be created if the payroll has been exited</t>
  </si>
  <si>
    <t>Incorrect late starter NI calculation on a multiple employee</t>
  </si>
  <si>
    <t>GB EOY report legal change 12-13</t>
  </si>
  <si>
    <t>Issues with fps report</t>
  </si>
  <si>
    <t>Statutory forms for Tax year 2012-13</t>
  </si>
  <si>
    <t>Error message when correction run</t>
  </si>
  <si>
    <t>IEUSC: Incorrect USC paid for leavers issued late payments.</t>
  </si>
  <si>
    <t>PRD: Trans Code, Report Category for HIECPRD_DELIMIT_IT3359.</t>
  </si>
  <si>
    <t>LC 2013: Cluster delivery for USC functionality ( Ireland )</t>
  </si>
  <si>
    <t>Issues with Adobe form for EP60</t>
  </si>
  <si>
    <t>IE EOY Report: Exclusion Order Scenarios</t>
  </si>
  <si>
    <t>EOY P35 XML validation for ZERO pay &amp; issue with start d</t>
  </si>
  <si>
    <t>Inconsistent /A60 and /Z60 Formation</t>
  </si>
  <si>
    <t>Professional Tax Report - Text Changes</t>
  </si>
  <si>
    <t>Provident Fund Report - Text changes</t>
  </si>
  <si>
    <t>Form 24Q: Output Inconsistent With AFY</t>
  </si>
  <si>
    <t>Labour Welfare Fund Report - Text changes</t>
  </si>
  <si>
    <t>Form 16 Report - Text Changes</t>
  </si>
  <si>
    <t>Inconsistency in calculation of Jharkhand PTax</t>
  </si>
  <si>
    <t>PY-IN-PS</t>
  </si>
  <si>
    <t>INDIA PUBLIC SECTOR</t>
  </si>
  <si>
    <t>ESS: IT Declaration Dump While Updating Infotype 0585</t>
  </si>
  <si>
    <t>Wrong foreign key in the infotype 154</t>
  </si>
  <si>
    <t>UniEmens 2.0 Correction Package III</t>
  </si>
  <si>
    <t>CUD 2013</t>
  </si>
  <si>
    <t>UniEmens 2.2.0</t>
  </si>
  <si>
    <t>RPCEADJ0: Add Paper Output for One EE per Page</t>
  </si>
  <si>
    <t>RPCEADJ0: Tekiyo Contexts Are Not Displayed</t>
  </si>
  <si>
    <t>P3204: Incorrect tax calculation for retirement allowance</t>
  </si>
  <si>
    <t>MST entries lost during YEA recalculation across year</t>
  </si>
  <si>
    <t>Posting balance not cleared for /561 in YEA recalculation</t>
  </si>
  <si>
    <t>Employment Insurance Premium Truncation Process</t>
  </si>
  <si>
    <t>Foreigner's HI base&amp; Non-taxable by RSTA in HI Base</t>
  </si>
  <si>
    <t>South Korea 2012 YEA Enhancement and Correction</t>
  </si>
  <si>
    <t>V_T7KRIC:Exempt Rate of EI/WCI Premium</t>
  </si>
  <si>
    <t>EI Adjustment in YEA Not Included in Off-cycle 0007 Payroll</t>
  </si>
  <si>
    <t>Korea Loan Balance is Incorrect</t>
  </si>
  <si>
    <t>[MX] Income Tax tables for 2013</t>
  </si>
  <si>
    <t>[MX] New State Tax percentage for Nuevo Leon 2013</t>
  </si>
  <si>
    <t>ER Company/Personal Rate for Expat EPF</t>
  </si>
  <si>
    <t>PY-MY: First category SOCSO age limit enhanced to 60 years</t>
  </si>
  <si>
    <t>PY-MY: Entries not delimit in view T5LTP</t>
  </si>
  <si>
    <t>YELC 2012/2013: LCS 80% Bonus Special Pay</t>
  </si>
  <si>
    <t>YELC 2012/2013: Max. Age Check Premium Exemption Elderly EE</t>
  </si>
  <si>
    <t>ULB: RPCEDTN0 Performance Improvement II</t>
  </si>
  <si>
    <t>ULB (WUL): 30% regulation / subapplication N30U</t>
  </si>
  <si>
    <t>Text Adjustments for Payroll Netherlands</t>
  </si>
  <si>
    <t>ULB (WUL): Additional Payroll Checks - corrections</t>
  </si>
  <si>
    <t>ULB: RPCKTON0 - Performance Improvement</t>
  </si>
  <si>
    <t>Aangifte LH: RPCLAKN0: Improved Log</t>
  </si>
  <si>
    <t>YELC 2012/2013: Aangifte LH: Check Master Data Report and th</t>
  </si>
  <si>
    <t>ULB: RPCKTON0 (Payroll Account) - Correction</t>
  </si>
  <si>
    <t>ULB: Form Updates II</t>
  </si>
  <si>
    <t>NLSPR: IBAN not taken into account</t>
  </si>
  <si>
    <t>NO ATS: HR_NO_AT_1026B_E SAP Script issues</t>
  </si>
  <si>
    <t>ACF - Altinn Communication Framework - HCM part</t>
  </si>
  <si>
    <t>ACF - Altinn Communication Framework - DDIC part</t>
  </si>
  <si>
    <t>HRNO:(RPTFERV0) Proper year processing without filled IT2006</t>
  </si>
  <si>
    <t>HRNO: Print: maternity leave + holiday /change in mat. leave</t>
  </si>
  <si>
    <t>HRNO: Saturdays/Sundays removed from sickness in VRAB</t>
  </si>
  <si>
    <t>HRNO: LC Merge of Harstad and Bjarkøy municipalites</t>
  </si>
  <si>
    <t>HRNO: RPCALCV0 - Wrong value in /843 by part time absence</t>
  </si>
  <si>
    <t>HRNO: RPLLONV0 storing XML file on application server</t>
  </si>
  <si>
    <t>RPUTILV1* - changes in internal utilities - January 2013</t>
  </si>
  <si>
    <t>HRNO: LC Changes in form NAV 08-30.01</t>
  </si>
  <si>
    <t>HRNO: RPTFERV0 Proper processing without filled IT2006 (2/2)</t>
  </si>
  <si>
    <t>HRNO: RPLLONV0 - wrong balance calculated for long-term loan</t>
  </si>
  <si>
    <t>SPK - correction of issues - January 2013</t>
  </si>
  <si>
    <t>IT0965: Determining Dependency Status of Child Using EVE</t>
  </si>
  <si>
    <t>PY-NZ: Prerequisite Changes for EMS Report Redesign</t>
  </si>
  <si>
    <t>PY-NZ : Tax Changes for the Year 2013-2014</t>
  </si>
  <si>
    <t>PY-NZ: Error in Leave Liability Report (HNZLLVL0) output</t>
  </si>
  <si>
    <t>LC-PH: Revised Philhealth contribution rates for 2013</t>
  </si>
  <si>
    <t>RPCOVRP0: Corrections 2012</t>
  </si>
  <si>
    <t>RPCOVRP0: New method in BAdI for overtime and company data</t>
  </si>
  <si>
    <t>National Budget 2013: IRS Surcharge</t>
  </si>
  <si>
    <t>National Budget 2013: IRS Surcharge - Corrections I</t>
  </si>
  <si>
    <t>National Budget 2013: new IRS limit of 45%</t>
  </si>
  <si>
    <t>HR-PT: Change of Social Security rates for MOE</t>
  </si>
  <si>
    <t>PAPLC: Incorrect behavior with split indicator in wage types</t>
  </si>
  <si>
    <t>2013: Changes in limit of exemption of lunch allowance</t>
  </si>
  <si>
    <t>CGA report: Corrections V - 2012</t>
  </si>
  <si>
    <t>Christmas allowance payment in twelfths in public sector</t>
  </si>
  <si>
    <t>HR-RU: 4-FSS processes Off-cycle PY results incorrectly</t>
  </si>
  <si>
    <t>HR-RU: Additional PF payments for employees who work in HWC</t>
  </si>
  <si>
    <t>Average for maternity leave from MROT in 2013</t>
  </si>
  <si>
    <t>HR-RU: Claim in regular run if APER split because OC exist</t>
  </si>
  <si>
    <t>Absences for maternity leave since 01.01.2013</t>
  </si>
  <si>
    <t>HR-RU: Incorrect WPBP positioning in operations</t>
  </si>
  <si>
    <t>Several issues at calculation of HWC additional PF payments</t>
  </si>
  <si>
    <t>HRULSICK_CS: Offcycle of Absence not Included in Processing</t>
  </si>
  <si>
    <t>HRSE: Absence Quota 45 correction</t>
  </si>
  <si>
    <t>HRSE: SNAB - Wrong counting of Sickness 105 day rule</t>
  </si>
  <si>
    <t>HRSE: Sickness counting of 180 days - wrong reduction days</t>
  </si>
  <si>
    <t>HRSE: RPIABSS0_NEW Unlimited absences check automatically</t>
  </si>
  <si>
    <t>HRSE: RPSINSS0, wrong dates (evaluation) of absences</t>
  </si>
  <si>
    <t>HRSE:RPCTAXS0 correction for columns 83,84 and EC+Tax</t>
  </si>
  <si>
    <t>HRSE: Wrong feature 23RDW - for Different Weekly Workdays EE</t>
  </si>
  <si>
    <t>HRSE:RPCTAXS0 and correction of /R72 /R73 in form TAX1</t>
  </si>
  <si>
    <t>PY-SG: Issues with IR8A/8E and Appendix 8B Sapscript forms</t>
  </si>
  <si>
    <t>E-submission file generation for payments &amp;lt; 1SGD</t>
  </si>
  <si>
    <t>PY-SG: Issue with old payroll log in spool output</t>
  </si>
  <si>
    <t>AW amount display in non-pensionable CPF file</t>
  </si>
  <si>
    <t>MSO OW contribution for offcycle OW payments</t>
  </si>
  <si>
    <t>Employee type and unit no display in CPF monthly report</t>
  </si>
  <si>
    <t>PY-TH: PIT91 Form layout changes for Tax year 2012</t>
  </si>
  <si>
    <t>PY-TH: Incorrect contribution rates on SS summary report</t>
  </si>
  <si>
    <t>PY-TH: Nationality display on SS insurance form (HTHCINS0)</t>
  </si>
  <si>
    <t>PY-TH: Employee address display incomplete on 50BIS form</t>
  </si>
  <si>
    <t>PY-TH: Employer address not display on ITF1A form</t>
  </si>
  <si>
    <t>2nd NHI: Corrections For Note 1804488</t>
  </si>
  <si>
    <t>Correction to Reports of Taiwan 2nd Generation NHI</t>
  </si>
  <si>
    <t>Correction to TW NHI Supplementary Premium Report (HTWLSHI0)</t>
  </si>
  <si>
    <t>Text Elements Correction for Report HTWLCE00</t>
  </si>
  <si>
    <t>US Overpayment report displays already cleared overpayments</t>
  </si>
  <si>
    <t>RECON: Field labels in Reconciliation report are incorrect.</t>
  </si>
  <si>
    <t>TR: SUI Monthly Reporting for the State of Illinois.</t>
  </si>
  <si>
    <t>Year End 2012 Additional Changes for U.S. Tax Reporter</t>
  </si>
  <si>
    <t>TR: Further corrections to Form W-2 with PA Act 32</t>
  </si>
  <si>
    <t>TR: Minor text changes to Form W-2c</t>
  </si>
  <si>
    <t>TAX: Incorrect calculation of California SDI tax</t>
  </si>
  <si>
    <t>TAX: Remittance Authority (RTA01) not populated in TAX table</t>
  </si>
  <si>
    <t>TAX: Additional parameters for Tax Formula override.</t>
  </si>
  <si>
    <t>Decoupling of public sector Germany from internat. payroll</t>
  </si>
  <si>
    <t>IRP5 PDF form doesnot display Bank account type details</t>
  </si>
  <si>
    <t>SAPKE60459</t>
  </si>
  <si>
    <t>GETWA_NOT_ASSIGNED ERROR in RHWPC_HDCNT2SKF</t>
  </si>
  <si>
    <t>Additionnal fields for Flight Receipts have no search Help</t>
  </si>
  <si>
    <t>HR Renewal for CN: Blind Spot Detection for Year-End Bonus</t>
  </si>
  <si>
    <t>Correction for missing of Input Help in Infotype 3532</t>
  </si>
  <si>
    <t>IBAN: "Suggest IBAN" pushbutton is not independent</t>
  </si>
  <si>
    <t>IT0272 - Bank details layout</t>
  </si>
  <si>
    <t>Infotype 3319 - update of decoupling classes</t>
  </si>
  <si>
    <t>TNM: fixes for the 2483 legal statement</t>
  </si>
  <si>
    <t>TNM: TN ID not set during replacement/message not consistent</t>
  </si>
  <si>
    <t>TNM: 2483, runtime error if year not defined</t>
  </si>
  <si>
    <t>TNM: 2483, fix for wrong hours rounding</t>
  </si>
  <si>
    <t>TNM: TP status text not available in "Reporting" t</t>
  </si>
  <si>
    <t>TNM: 2483, fix for wrong total fixed term contracts value</t>
  </si>
  <si>
    <t>HR-IT: RPUPAV00 support for Italy (molga 15)</t>
  </si>
  <si>
    <t>HJPUBP_PNTASN: Unable to Get Previous Acc Point Value</t>
  </si>
  <si>
    <t>Revision of ESS YEA-Infotype Enhancement</t>
  </si>
  <si>
    <t>Any numeric value is getting save in Name Format Field</t>
  </si>
  <si>
    <t>UWV Forms: Ziekteaangifte (HR_NL_ZA_G) Q1/2013</t>
  </si>
  <si>
    <t>Infotype 2001: Sickness Reporting Date Default</t>
  </si>
  <si>
    <t>Pension Return for the Netherl.: Code Reason Ending IR</t>
  </si>
  <si>
    <t>DSV-*, SZV-6-*: indefinite XML files codepage</t>
  </si>
  <si>
    <t>HRULT60 skips processing because of pseudo orders lack</t>
  </si>
  <si>
    <t>SZV6-3 cumulative updates 01.2013</t>
  </si>
  <si>
    <t>HR-RU: Insufficient height of screen 2033 of infotype 0021</t>
  </si>
  <si>
    <t>HRULP4: P-4 NZ Form Change by Article N 407 from 24.07.2012</t>
  </si>
  <si>
    <t>The new procedure of filling form SZV-6-3 for 2012 II</t>
  </si>
  <si>
    <t>The new procedure of filling form SZV-6-3 for 2012 III</t>
  </si>
  <si>
    <t>4-FSS, RSV-1, ADV-*: CONVT_NO_NUMBER dump</t>
  </si>
  <si>
    <t>National Classification of legal forms OK 028-2012 (OKOPF)</t>
  </si>
  <si>
    <t>HR-RU: Long text of organizational unit in form T-13</t>
  </si>
  <si>
    <t>HR-RU: FSSDP: Report HRULAPSI w. Info About Two Base Years</t>
  </si>
  <si>
    <t>HRULPAY2: legal change 01.2013</t>
  </si>
  <si>
    <t>HRUCDTF0 functionality for cancelling off-cycle transfers</t>
  </si>
  <si>
    <t>HR RU: City entry for Msk &amp; Spb in Bank Details</t>
  </si>
  <si>
    <t>HR-RU_CE: Reading off-cycle payroll results For-period</t>
  </si>
  <si>
    <t>Issues with Staff Suggestion Screen in IT0494</t>
  </si>
  <si>
    <t>Incorrect error message for Award Amount in IT0183</t>
  </si>
  <si>
    <t>Inconsistent Font in IT0081 Screen</t>
  </si>
  <si>
    <t>Pension equalization payt: Corrections/enhancements 1/2013</t>
  </si>
  <si>
    <t>RBM: MZ01 corrections/enhancements (1/2013)</t>
  </si>
  <si>
    <t>Pension receipt notifications: CSV data structures</t>
  </si>
  <si>
    <t>RBM: Corrections/enhancements MZ01 (2/2013)</t>
  </si>
  <si>
    <t>Incorrect number of days calculation during change schedule</t>
  </si>
  <si>
    <t>Booking priority not displayed in report RHSTOR10</t>
  </si>
  <si>
    <t>[AR]Documentation: Family Allowances limit in Libro Ley</t>
  </si>
  <si>
    <t>[AR] Incorrect special deduction for SAC payments in 2013</t>
  </si>
  <si>
    <t>[AR] Reduction in family allowances for law 15223</t>
  </si>
  <si>
    <t>ANAB: Falsche Bewertungsklasse bei untertägiger Abwesenheit</t>
  </si>
  <si>
    <t>Bezeichnungen der Summenlohnarten für PCALZ</t>
  </si>
  <si>
    <t>RPCURLA1: Selektionsparameter bei Infotyp 5 und 2006</t>
  </si>
  <si>
    <t>RRVJ: Rückwirkende Änderung der Lohnarten /127 und /980</t>
  </si>
  <si>
    <t>Einkommensbericht: Fehler bei Hochrechnung des 2.te Split</t>
  </si>
  <si>
    <t>Abfrage DBA mit Befreiungsmethode in der Abbrechnung</t>
  </si>
  <si>
    <t>Auflösungsabgabe: Eingabemöglichkeit in IT0015</t>
  </si>
  <si>
    <t>Urlaubsersatzleistung: Laufzeitfehler bei geringen Beträgen</t>
  </si>
  <si>
    <t>L16 Gewerkschaftsbeitrag fehlt wenn Steuerverf. 1/A</t>
  </si>
  <si>
    <t>Grundlage zur Prüfung der Geringfügigkeitsgrenze immer /102</t>
  </si>
  <si>
    <t>Lohnzettelart 23 und 8 bei Montageprivileg Befreiungsmethode</t>
  </si>
  <si>
    <t>RPIBGAA0: Dienstnehmerin geboren nach 01.03.1954 usw.</t>
  </si>
  <si>
    <t>rpcksba0_b2a: Überarbeitung mit FILE_VALIDATE_NAME</t>
  </si>
  <si>
    <t>RPTSWAA0: Entgeltkürzung &amp;gt; 50% mit 31en eines Monats</t>
  </si>
  <si>
    <t>PCALZ/LOG: Neben der Personalnummer fehlt der Name des DN</t>
  </si>
  <si>
    <t>Lohnzettelart 23 und Pensionsabfindung</t>
  </si>
  <si>
    <t>JW 2012/13 Beitragsnachweisung für überlassene Dienstnehmer</t>
  </si>
  <si>
    <t>JW 2012/13: Referenzzins für Zinsersparnis bei Darlehen</t>
  </si>
  <si>
    <t>PCALZ: Anzeige aller LZ Version des Jahres</t>
  </si>
  <si>
    <t>PCALZ: L16 falsch berechnet wegen LOA /26E</t>
  </si>
  <si>
    <t>IT0367: MVBEG auch gültig für Subtyp 08</t>
  </si>
  <si>
    <t>UEKV: ALV-Staffelung SZ mit UE Auszahlung nicht korrekt(2)</t>
  </si>
  <si>
    <t>Gemeinsame Versteuerung: Zielversicherungsträger fehlt</t>
  </si>
  <si>
    <t>IT0016: View 0574 has not been configured correctly</t>
  </si>
  <si>
    <t>CE,4.6c &amp; 4.70: ETP Whole of Income Cap Legal Change</t>
  </si>
  <si>
    <t>Legal Change 2013: Tax on Additional Payments (NAT 3348)</t>
  </si>
  <si>
    <t>Pay details report, incorrect header information</t>
  </si>
  <si>
    <t>Transaction PZ54 is not showing correct information</t>
  </si>
  <si>
    <t>Missing Changes for ETP WIC: Smartforms, View V_T5QPC</t>
  </si>
  <si>
    <t>PS: Incorrect Gross Income for multiple Ee's execution</t>
  </si>
  <si>
    <t>Super voluntary contribution in case of SGC fund.</t>
  </si>
  <si>
    <t>Termination organizer - Not able to change Payment details</t>
  </si>
  <si>
    <t>Note 1332790 and 1682947 extended for the EA-HR versions</t>
  </si>
  <si>
    <t>PSSaP cntr.calculated for EEs terminated before payment date</t>
  </si>
  <si>
    <t>Performance issue in Time evaluation</t>
  </si>
  <si>
    <t>ABS Interface - Report Output for Incorrect Date</t>
  </si>
  <si>
    <t>Incorrect error message in IT0573</t>
  </si>
  <si>
    <t>APS Remuneration Report - Base salary</t>
  </si>
  <si>
    <t>RPCALCB0: Bracket conditions in activation allowance (BALLW)</t>
  </si>
  <si>
    <t>Dimona - Preparation Report - OUT existing decl. modified</t>
  </si>
  <si>
    <t>SOCIAL BALANCE: Legal changes 2013 (declaration 2012) II</t>
  </si>
  <si>
    <t>Belcotax - Customizing of printouts - fiches 281.xx - 2012</t>
  </si>
  <si>
    <t>DmfA(PPL): Update - field CAPEX not filled</t>
  </si>
  <si>
    <t>BELCOTAX: Legal Changes 2013 - XML &amp; 2.132 &amp; 2.089 i</t>
  </si>
  <si>
    <t>DmfA/DmfAPPL - Legal Changes 2012 Q4 - Addendum II</t>
  </si>
  <si>
    <t>BELCOTAX: Legal Changes 2013 - enhancements/corrections</t>
  </si>
  <si>
    <t>BELCOTAX: Entry/leaving corrections if inactive periods</t>
  </si>
  <si>
    <t>SOCIAL BALANCE: Issue in case of leave</t>
  </si>
  <si>
    <t>BELCOTAX: XML donwload-Conversion of not allowed charact. II</t>
  </si>
  <si>
    <t>Exemption dismissal allowance increased</t>
  </si>
  <si>
    <t>FINPROF: issue after note 1808227</t>
  </si>
  <si>
    <t>BELCOTAX: Legal Changes 2013 - New Checks</t>
  </si>
  <si>
    <t>Limit Not Taxable Work-Home (T511P-BESA2) increased</t>
  </si>
  <si>
    <t>FINPROF: XML download - run time error</t>
  </si>
  <si>
    <t>SOCIAL BALANCE: Section 1 data consider per each WPBP split</t>
  </si>
  <si>
    <t>BELCOTAX: Fiche 281.10 &amp; 281.20 - Check for zone 2.093</t>
  </si>
  <si>
    <t>Non-recurring result bonus - Addendum</t>
  </si>
  <si>
    <t>Garnishments - Improvement of documentation /115 &amp; /116</t>
  </si>
  <si>
    <t>DECAVA : Due to WPBP split the number of days can be &amp;gt; 26</t>
  </si>
  <si>
    <t>BELCOTAX: Fiche 281.10 &amp; 281.13 - Zone 2.102 in current</t>
  </si>
  <si>
    <t>Belcotax: Zone 2.101 not be blanked out</t>
  </si>
  <si>
    <t>SOCIAL BALANCE: Entry or Leave are consider several times</t>
  </si>
  <si>
    <t>HBRTMSH0 - work schedule's breaks disordered</t>
  </si>
  <si>
    <t>New Exception classes</t>
  </si>
  <si>
    <t>SEFIP: Date is not considered when getting filial</t>
  </si>
  <si>
    <t>PLR: IRRF calculation adjustements</t>
  </si>
  <si>
    <t>HBRAVFE0: days of vacation bonus not considered</t>
  </si>
  <si>
    <t>YE12: Print Outsourcing Utility issues short dump.</t>
  </si>
  <si>
    <t>YE12: Form and xml SECOND delta changes for 2012</t>
  </si>
  <si>
    <t>ROE: XML schema tag missing from the XML</t>
  </si>
  <si>
    <t>YE12: Issues with outsourcing combo file utility</t>
  </si>
  <si>
    <t>YE12: T4A Address shifted outside of the Address Box</t>
  </si>
  <si>
    <t>YE12: Rl1-Incorrect footnote code G-2 , B1 and 211</t>
  </si>
  <si>
    <t>YE12:Corrections to RL-1 form generation and XML</t>
  </si>
  <si>
    <t>YE12:Outsource utility RPCYERK4 errors</t>
  </si>
  <si>
    <t>YE12: Additional Corrections to Year End and XML reports</t>
  </si>
  <si>
    <t>YE12:Footnote 211 issue with multiple RL-1</t>
  </si>
  <si>
    <t>Incorr vacation share if entitlement changes during year</t>
  </si>
  <si>
    <t>Technische Teillieferung zur neuen QSt-Berechnung</t>
  </si>
  <si>
    <t>CE CH: Technical delivery without changing the function</t>
  </si>
  <si>
    <t>ABAP Dictionary structures for CE payroll result</t>
  </si>
  <si>
    <t>Code injection vulnerability in PY-CH</t>
  </si>
  <si>
    <t>[CL] New Social Insurance limits for 2013</t>
  </si>
  <si>
    <t>Enhancement of CNARE to Support Minimum Salary Area</t>
  </si>
  <si>
    <t>Enhance field 'TYTXT' in table T7CN2Y</t>
  </si>
  <si>
    <t>Enhance report HCNCTAX0 &amp; HCNCTXM0</t>
  </si>
  <si>
    <t>Incorrect Output of Name Format</t>
  </si>
  <si>
    <t>Remove Taxable PHF Retro-difference Caused by Note 1773788</t>
  </si>
  <si>
    <t>New parameter 4 for function APPLF</t>
  </si>
  <si>
    <t>SI: Composite SAP Note data exchange 3/2013</t>
  </si>
  <si>
    <t>RPCSVPD0: eXTra schema Version 1.3 (DSRV server)</t>
  </si>
  <si>
    <t>Using database table T5DBF after converting to IT 2006</t>
  </si>
  <si>
    <t>Vacation with IT 2006: Deduction from several absence quotas</t>
  </si>
  <si>
    <t>DUEUV: Corrections IX</t>
  </si>
  <si>
    <t>DEUEV(UVMG): Corrections XX</t>
  </si>
  <si>
    <t>DEUEV inbound notifications: Corrections II</t>
  </si>
  <si>
    <t>DEUEV: PI exemption request with submission reason 33/13</t>
  </si>
  <si>
    <t>ELStAM: Display of month lists - report RPCE2LD0_MTL</t>
  </si>
  <si>
    <t>ELStAM: Corrections after year-end legal change 07/2013</t>
  </si>
  <si>
    <t>ELStAM: Corrections after year-end legal change 09/2013</t>
  </si>
  <si>
    <t>ELStAM: Corrections after year-end legal change 10/2013</t>
  </si>
  <si>
    <t>ELStAM: Corrections after year-end legal change 11/2013</t>
  </si>
  <si>
    <t>ELStAM: Corrections after year-end legal change 12/2013</t>
  </si>
  <si>
    <t>ELStAM: Corrections after year-end legal change 13/2013</t>
  </si>
  <si>
    <t>AAG: Supplements and corrections (2)</t>
  </si>
  <si>
    <t>EEL: Corrections and enhancements (03/2013)</t>
  </si>
  <si>
    <t>EEL: Preexisting condition request cannot be repeated</t>
  </si>
  <si>
    <t>Allowance for maternity pay and prohibited activities</t>
  </si>
  <si>
    <t>Payroll termination in rule D046 during repetition run</t>
  </si>
  <si>
    <t>Change of payroll type from hourly wage to salary</t>
  </si>
  <si>
    <t>BVV: Leaving notification due to DEUEV pension application</t>
  </si>
  <si>
    <t>Masked field '***' in VC_T5DR2 (BVV is not active)</t>
  </si>
  <si>
    <t>Authorization check due to company number</t>
  </si>
  <si>
    <t>SI reporting: Termination in distributed reporting (3)</t>
  </si>
  <si>
    <t>Consideration of slowdown days for low-income earner limit</t>
  </si>
  <si>
    <t>Corr. of IT deficit East for concurrent empl. West and East</t>
  </si>
  <si>
    <t>Non-recurring payt during incapacity to work in slide zone</t>
  </si>
  <si>
    <t>Employment tax statement: Corrections 1/2013</t>
  </si>
  <si>
    <t>New program flowchart 2013</t>
  </si>
  <si>
    <t>ETStmt: Certified SI contributions for pensioners too high</t>
  </si>
  <si>
    <t>Redesign of level increase - absence implementations</t>
  </si>
  <si>
    <t>Garnishability of the annual special payment</t>
  </si>
  <si>
    <t>Gross overpayt: Incorr payroll acct if repayt exceeds gross</t>
  </si>
  <si>
    <t>Guarantee amt TV-L: Simultaneous lvl inc and higher grouping</t>
  </si>
  <si>
    <t>ZfA: Company number of family equaliz. fund in KZ02 notif.</t>
  </si>
  <si>
    <t>Incorr. spec. payt for upper limit sec.54 par.4 BeamtVG (2)</t>
  </si>
  <si>
    <t>Incorr txt in appendix G for imputatn acc to sect 54 BeamtVG</t>
  </si>
  <si>
    <t>Regular Reimbursement According to Sec.10 VersStaatsV (10)</t>
  </si>
  <si>
    <t>Capital amount sect. 58: Missing display in statement</t>
  </si>
  <si>
    <t>Tax exemption for pensions: No calc for death benefit cases</t>
  </si>
  <si>
    <t>Pension imputation: Amount EUR 0 in "Psn Acc. to Assmt&amp;</t>
  </si>
  <si>
    <t>Sorting of input help for employment periods</t>
  </si>
  <si>
    <t>Regular Reimbursement According to Sec.10 VersStaatsV (11)</t>
  </si>
  <si>
    <t>Inflow principle for each split (02/2013)</t>
  </si>
  <si>
    <t>Distr. model/monthly quota sect. 3 no. 56 EStG and mat prot</t>
  </si>
  <si>
    <t>Transfer wage types for determination of text keys</t>
  </si>
  <si>
    <t>DATUEV-ZVE 1.04 and VBL: Fill payt month/year (03/2013)</t>
  </si>
  <si>
    <t>HR-DEH: Labor costs census 2012 (program changes)</t>
  </si>
  <si>
    <t>Survey of earnings: Corrections (11)</t>
  </si>
  <si>
    <t>RPLEHAD3 PDF form</t>
  </si>
  <si>
    <t>RPLEHAD3: Various errors in log</t>
  </si>
  <si>
    <t>CALC: Multiple employment percentage issue with absences</t>
  </si>
  <si>
    <t>IGA: Wrong calculation of Social Insurance costs of Var.V.</t>
  </si>
  <si>
    <t>IGA: checking limit of reduction to irregular incomes II</t>
  </si>
  <si>
    <t>190: Increase length of fields on QSTRE table</t>
  </si>
  <si>
    <t>GARNT: Customer option to consider cash payments on RPCDTAE0</t>
  </si>
  <si>
    <t>CALC: Corrections for SAP Note 1728767</t>
  </si>
  <si>
    <t>CRT2: error in BCERT constant in 604, 500 and 470 releases</t>
  </si>
  <si>
    <t>CP: General corrections II for Contract Printing</t>
  </si>
  <si>
    <t>LOPD: New 'Creación' action type</t>
  </si>
  <si>
    <t>TC: Wrong totals for mixed artists and non-artists employees</t>
  </si>
  <si>
    <t>Infotype 0062: Not possible to hide NOHIJ and RENIR fields</t>
  </si>
  <si>
    <t>CALC: Wrong number of days in case of ILT and split</t>
  </si>
  <si>
    <t>Contributions Amounts 2013</t>
  </si>
  <si>
    <t>CALC: Corrections for SAP Note 1759270</t>
  </si>
  <si>
    <t>IRPF: Family field in 0062 infotype during hiring year</t>
  </si>
  <si>
    <t>190: Issue generating 296 model after SAP note 1754324</t>
  </si>
  <si>
    <t>TC: Wrong CD17 and missing BA42 segments in case of absence</t>
  </si>
  <si>
    <t>IRPF: Incorrect percentage rounding for Ceuta and Melilla</t>
  </si>
  <si>
    <t>TC: Issue with 36% surcharge and L09 additional settlements</t>
  </si>
  <si>
    <t>IRPF: Incorrect tax calculation for one year contracts</t>
  </si>
  <si>
    <t>BONIFICACIONES: Corrections for method 0058</t>
  </si>
  <si>
    <t>190: Error messages being hidden for multiple employees</t>
  </si>
  <si>
    <t>TC: CD01 moved to 'Saldo acr. no entregable por RED'</t>
  </si>
  <si>
    <t>PA: Incorrect sort sequence in infotype 0768 screen 3000</t>
  </si>
  <si>
    <t>Certific@2: Wrong contribution basis for ERE in year change</t>
  </si>
  <si>
    <t>MASSIVE: Wrong employee name abbreviation in the XML file</t>
  </si>
  <si>
    <t>Artists Contribution Amounts for 2013</t>
  </si>
  <si>
    <t>Contributions amounts 2013 for employees older than 65</t>
  </si>
  <si>
    <t>TC: VND days greater than maximum in case of payroll split</t>
  </si>
  <si>
    <t>Certific@2: Incorrect rejection of employees</t>
  </si>
  <si>
    <t>FDI: Error message shown when selecting the report dates</t>
  </si>
  <si>
    <t>Ley 17/2012: Changes in V_T5E4C - Contributions for CNAE</t>
  </si>
  <si>
    <t>CALC: Wrong Manual BRD in case of split</t>
  </si>
  <si>
    <t>RED 01/2013: New reduction value for temporal illness contr.</t>
  </si>
  <si>
    <t>TEMSE: Adaptation of TemSe report to PSE II</t>
  </si>
  <si>
    <t>TEMSE: Correction of SAP Note 1750316</t>
  </si>
  <si>
    <t>HRFI: HFICVAE0 - Payroll dumps when reading Cluster</t>
  </si>
  <si>
    <t>HRFI: LC KELA Form Y17 2012 (Y17 06.12)</t>
  </si>
  <si>
    <t>HRFI: Missing entries in T514K and T514N for CEDT form</t>
  </si>
  <si>
    <t>HRFI: HFISTWC0 - shortdump for wrong IT0041 seniority date</t>
  </si>
  <si>
    <t>HRFI - Force leading zeros for V_T7FI1P_2003-PAYID</t>
  </si>
  <si>
    <t>HRFI: HFILTAX0 - Runtime error ITAB_ILLEGAL_SORT_ORDER</t>
  </si>
  <si>
    <t>N4DS: S45 incorrect amounts</t>
  </si>
  <si>
    <t>N4DS: Temse data renderer dump</t>
  </si>
  <si>
    <t>N4DS: Section S70 with SIREN different is missing</t>
  </si>
  <si>
    <t>IT3340: fix to support S40.G10.25/version V01X07</t>
  </si>
  <si>
    <t>N4DS V01X07 No S20.G05.00 for a single SIRET company</t>
  </si>
  <si>
    <t>N4DS: S40.G28.10 incorrect dates</t>
  </si>
  <si>
    <t>N4DS V01X07 Wrong calculation of S40.G40.00.035.001</t>
  </si>
  <si>
    <t>N4DS : S44.G10.10 amounts can trigger S40</t>
  </si>
  <si>
    <t>N4DS: Feature FSECT in PYFR_N4DS_V_T5F4G customizing Activ.</t>
  </si>
  <si>
    <t>N4DS V01X07 Wrong calculation of S40.G30.35</t>
  </si>
  <si>
    <t>N4DS: S60 duration may be inflated</t>
  </si>
  <si>
    <t>Payroll France: View V_530_E is missing in the PY-FR IMG</t>
  </si>
  <si>
    <t>Fix inconsistency towards T5F4E and T5F4E1 tables</t>
  </si>
  <si>
    <t>DUE: Table T5F1A is missing in the Payroll France IMG</t>
  </si>
  <si>
    <t>RPLRPSF1: poor performance</t>
  </si>
  <si>
    <t>RPLDUEF0: Documentation update (deletion of parameters docu)</t>
  </si>
  <si>
    <t>IJSS: continued pay - calculation of reference period</t>
  </si>
  <si>
    <t>Useless selection parameters in RPLDUEF0</t>
  </si>
  <si>
    <t>View V_T5FPER: Documentation Update</t>
  </si>
  <si>
    <t>N4DS CI-BTP: Fields S56.G01.00.004 &amp; .005 formnat error</t>
  </si>
  <si>
    <t>N4DS CI-BTP: S80.G01.03 cardinality issue</t>
  </si>
  <si>
    <t>FPS: fix for wrong "grace days" deduction</t>
  </si>
  <si>
    <t>FPS: fix for wrong "grace days" deduction (payroll</t>
  </si>
  <si>
    <t>P45 Multiple Employment with tax reference change</t>
  </si>
  <si>
    <t>RTI: Retro change of NI Category affects TP RTINI values</t>
  </si>
  <si>
    <t>P45 rejects employee for special character in address</t>
  </si>
  <si>
    <t>Employee not picked up in starter report</t>
  </si>
  <si>
    <t>RPCEOYG0PBS:Multiple Employment with tax reference change</t>
  </si>
  <si>
    <t>RTI April 2013 changes for payroll &amp; recon reports</t>
  </si>
  <si>
    <t>PY-GB: PAE Teacher pension report - tax free employee</t>
  </si>
  <si>
    <t>PY-GB: PAE IT0071 in change mode displays table values</t>
  </si>
  <si>
    <t>PY-GB: PAE: ME payroll simulation: Payroll errors by-passed</t>
  </si>
  <si>
    <t>FPS XMl with No NI BAND values and NI categor</t>
  </si>
  <si>
    <t>PY-GB: PAE: Legal Change for April 2013</t>
  </si>
  <si>
    <t>RTI: Payroll error incorrect message</t>
  </si>
  <si>
    <t>PY-GB: PAE Customer Include CI_3297 for infotype 3297</t>
  </si>
  <si>
    <t>PY-GB: PAE Transitional Period is not applic. to New Hires</t>
  </si>
  <si>
    <t>Error:IT0088-'Either First name or Initials must be entered'</t>
  </si>
  <si>
    <t>PY-GB: PAE: Enhancement to Postponement (feature GBAE4)</t>
  </si>
  <si>
    <t>PY-GB: PAE Mass Opt-In/Opt-Out are not forcing assessment</t>
  </si>
  <si>
    <t>PY-GB: PAE: Unnecessary transitional period notices created</t>
  </si>
  <si>
    <t>PY-GB: PAE Pre Payroll Report correction</t>
  </si>
  <si>
    <t>RPCMECG0 throws a run time error</t>
  </si>
  <si>
    <t>PY-GB: PAE Error using 'View Notice' button in IT3297</t>
  </si>
  <si>
    <t>PY-GB: PAE Restricting Infotype 3297 to GB only</t>
  </si>
  <si>
    <t>PY-GB: Pensions: Enabling more then 99 Calculation Rules</t>
  </si>
  <si>
    <t>PY-GB: PAE Opting out from start of employment</t>
  </si>
  <si>
    <t>PY-GB: SPA staggered to 67 and 68 (Pension Act 2011)</t>
  </si>
  <si>
    <t>PY-GB: PAE: Stopping "irrelevant" notices</t>
  </si>
  <si>
    <t>Missing entries in table V_T5GT2 and V_T511K</t>
  </si>
  <si>
    <t>PY-GB: PAE: Payments to Leavers are being assessed</t>
  </si>
  <si>
    <t>RTI: Issues with reports</t>
  </si>
  <si>
    <t>PY-GB: PAE: Rounding up pension contributions</t>
  </si>
  <si>
    <t>HRGB - Reconcilation report</t>
  </si>
  <si>
    <t>SWF:Issue while saving the Curriculum data</t>
  </si>
  <si>
    <t>RTI: Infotype 65 not modified by EAS, FPS &amp; Leaver repor</t>
  </si>
  <si>
    <t>RTI: EAS report bug fixes and FPS, EPS display XML</t>
  </si>
  <si>
    <t>Issue:P46(car) SAPscript incorrectly flags the trade up box</t>
  </si>
  <si>
    <t>The NIable band values on the EP60 form are rounding up</t>
  </si>
  <si>
    <t>RTI EYU Report</t>
  </si>
  <si>
    <t>RTI report not picking up correct tax refrence</t>
  </si>
  <si>
    <t>RTI: FPS report NI Band copy issue</t>
  </si>
  <si>
    <t>LCO HK: Employees' Compensation Ordinance-Periodical Payment</t>
  </si>
  <si>
    <t>HK Chinese Character BIG5 Issue for Report IR56B</t>
  </si>
  <si>
    <t>PY-HK: IR56G item 11 font size issue</t>
  </si>
  <si>
    <t>PY-ID: Projection factor for Expatriates and ABAP/4 List</t>
  </si>
  <si>
    <t>P46 Report address issue</t>
  </si>
  <si>
    <t>P45 Supplementary:Disability Wagetypes in ALV Output</t>
  </si>
  <si>
    <t>EOY Report is not populating correct illness benefit values.</t>
  </si>
  <si>
    <t>EOY Report Issue in PRSI Class validations based on weeks</t>
  </si>
  <si>
    <t>EOY Report issues with Exclusion Order</t>
  </si>
  <si>
    <t>IE EOY Illness Benefit issues</t>
  </si>
  <si>
    <t>/4MI Incorrect With Prev. Employment Profits &amp; Perquisit</t>
  </si>
  <si>
    <t>HINCF160 : Digital Signature Alias Validation</t>
  </si>
  <si>
    <t>UniEmens: wrong calculation for absence and ASO events</t>
  </si>
  <si>
    <t>Contributo di licenziamento</t>
  </si>
  <si>
    <t>F24 identificator is not created when t5itf24a is empty</t>
  </si>
  <si>
    <t>IRPEF For local taxes management - documentation</t>
  </si>
  <si>
    <t>CUD 2013 - Correction Package I</t>
  </si>
  <si>
    <t>UniEmens 2.2 - Correction Package I</t>
  </si>
  <si>
    <t>CUD 2013 - Correction Package II</t>
  </si>
  <si>
    <t>Addizionale regionale Provincia di Bolzano 2013</t>
  </si>
  <si>
    <t>TFR - Payroll error stopping execution of all EE's</t>
  </si>
  <si>
    <t>Incorrect Width for half-width space</t>
  </si>
  <si>
    <t>Additional Corrections for South Korea 2012 YEA</t>
  </si>
  <si>
    <t>Foreigner's HI Base Effects as of Jan.01, 2012</t>
  </si>
  <si>
    <t>Correction for Separation DME and YEA DME</t>
  </si>
  <si>
    <t>Correct Earned Income Tax Cred &amp; Receipt and DME of HKRC</t>
  </si>
  <si>
    <t>LC2013: Overtime Non-taxable Allowance</t>
  </si>
  <si>
    <t>Incorrect KR Loan Balance and Interest-bearing Capital</t>
  </si>
  <si>
    <t>[MX] Performance enhancement on report HMXCDAN0</t>
  </si>
  <si>
    <t>[MX] Disable FONACOT discount for inactive periods</t>
  </si>
  <si>
    <t>[MX] Short Dump at HMXCALC0 when INFONAVIT base is not found</t>
  </si>
  <si>
    <t>[MX] HMXCDAN0 wrong period evaluation with off-cycles</t>
  </si>
  <si>
    <t>[MX] Unexistent error message at P0370 payroll function</t>
  </si>
  <si>
    <t>[MX] Negative values in Annual Tax Statement (HMXCDAN0)</t>
  </si>
  <si>
    <t>PY-MY: TP1 &amp; TP3 form layout changes 2013</t>
  </si>
  <si>
    <t>PY-MY: Decimal point issue in CP39 download file</t>
  </si>
  <si>
    <t>Form Changes : Lampiran A and SOCSO payment slip Alignment</t>
  </si>
  <si>
    <t>Addition of missing Logo in form Borang BBCD</t>
  </si>
  <si>
    <t>PY-MY: PCB 2(II) form and EPF 'STD' format issues</t>
  </si>
  <si>
    <t>PY-MY: CP8D download file &amp; form changes for CP39 &amp;</t>
  </si>
  <si>
    <t>PY-MY: PCB Amounts for previous runs are cumulated in CP39A</t>
  </si>
  <si>
    <t>Subapplication (T596A): Documentation Improvements</t>
  </si>
  <si>
    <t>YELC 2012/2013: Crisis Tax: Verrekeningen for Years bf 2012</t>
  </si>
  <si>
    <t>WCR: Performance Improvement RPLWCON0</t>
  </si>
  <si>
    <t>WCR: RPLWCON0 does not take Sign in V_T596I/J into account</t>
  </si>
  <si>
    <t>Aangifte LH: Superfluous Indicators Created</t>
  </si>
  <si>
    <t>YELC 2012/2013: ULB / NSV02: Extended Error Messages</t>
  </si>
  <si>
    <t>YELC 2012/2013: ULB / NSV01: Extended Error Messages</t>
  </si>
  <si>
    <t>Negative Life-course Tax Credit in Case of Tax Reimbursement</t>
  </si>
  <si>
    <t>ULB: RPCEDTN0 handling of line layouts in simulation</t>
  </si>
  <si>
    <t>WCR: RPCWCEN0 does not find the current WCR-period</t>
  </si>
  <si>
    <t>Aangifte LH: Incorrect Tax Table Code reported</t>
  </si>
  <si>
    <t>Payroll NL: Incorrect Evaluation Class 02 for Wtype ASAL</t>
  </si>
  <si>
    <t>eTaxCard - RF-1211 Electronic Tax deduction card</t>
  </si>
  <si>
    <t>HRNO: Max date for maternity leave if IT0080 used</t>
  </si>
  <si>
    <t>HRNO: Positive time recording support in AA-register</t>
  </si>
  <si>
    <t>HRNO: Annual tax statement-issues January 2013</t>
  </si>
  <si>
    <t>HRNO: OSLU - incorrect days transferred in OF1C</t>
  </si>
  <si>
    <t>HRNO: Incorrect Svalbard tax calculation in correction run</t>
  </si>
  <si>
    <t>HRNO: RPLAAMV0 - Correction of issues - February 2013</t>
  </si>
  <si>
    <t>eTaxCard - correction of issues - February 2013</t>
  </si>
  <si>
    <t>HRNO: RPLLONV0 - wrong balance calculated when using /LEQ WT</t>
  </si>
  <si>
    <t>HRNO: Other employee/claim details printed on NAV 08-30.01</t>
  </si>
  <si>
    <t>HRNO: Start AP on 1st working day issues</t>
  </si>
  <si>
    <t>HRNO: Incorrect hire date in printed ATS form</t>
  </si>
  <si>
    <t>HRNO: Report RPCATPV0 is ignoring IT0419 in some cases</t>
  </si>
  <si>
    <t>SPK - correction of issues - February 2013</t>
  </si>
  <si>
    <t>Overwrite Proration Factor Value Not Saved in Table PA0965</t>
  </si>
  <si>
    <t>System Gives Short Dump If an LWOP has End Date as'99991231'</t>
  </si>
  <si>
    <t>Rename Data Element PUN_RSOPC</t>
  </si>
  <si>
    <t>No Change in Deduction Amount for Free and Subsidized Rents</t>
  </si>
  <si>
    <t>Making IT0959 Fields Configurable in T588M</t>
  </si>
  <si>
    <t>PY-NZ: Performance issue in HNZLLVL0 and HNZLABQ0 reports</t>
  </si>
  <si>
    <t>PY-NZ: Cross Company transfer issues of EMS Report Redesign</t>
  </si>
  <si>
    <t>Modelo 30: Wrong retro calculation filtering behavior</t>
  </si>
  <si>
    <t>New monthly tax declaration class</t>
  </si>
  <si>
    <t>New report: Monthly Income Declaration</t>
  </si>
  <si>
    <t>Working time account: processing of weekly hours</t>
  </si>
  <si>
    <t>HR-PT: new auxiliary table for social protection regimes</t>
  </si>
  <si>
    <t>RPCSSRP0: Wrong nr of days for FTE/part-time split</t>
  </si>
  <si>
    <t>National Budget 2013: IRS Surcharge - Corrections II</t>
  </si>
  <si>
    <t>IRS Rounding delimitation functionality for non-resident EE</t>
  </si>
  <si>
    <t>National Budget 2013: IRS Surcharge - Corrections III</t>
  </si>
  <si>
    <t>National Budget 2013: CA/VA payment in twelfths</t>
  </si>
  <si>
    <t>HR-PT: Generation of leave entitlement in 2nd contract year</t>
  </si>
  <si>
    <t>Monthly income declaration: corrections I</t>
  </si>
  <si>
    <t>Monthly income declaration: corrections II</t>
  </si>
  <si>
    <t>Monthly income declaration: corrections III</t>
  </si>
  <si>
    <t>CGA Report: Changes to cover version 2.6</t>
  </si>
  <si>
    <t>Family Allowance not calculated in case of retrocalculation</t>
  </si>
  <si>
    <t>Maternity leave if employee didn't have earnings in 1 year</t>
  </si>
  <si>
    <t>FSSDP Report HRULAPL: Status Field is Blank</t>
  </si>
  <si>
    <t>HR-RU: FSSDP: Issue in payroll calculation for child care</t>
  </si>
  <si>
    <t>HR-RU: Processing of customization of WT codes in Off-cycle</t>
  </si>
  <si>
    <t>FSSDP: Wrong average in XML register of applications to FSS</t>
  </si>
  <si>
    <t>FSSDP: Several issues with Recalculation Note for FSS</t>
  </si>
  <si>
    <t>Global pay increase. Wrong processing of sppe1</t>
  </si>
  <si>
    <t>PY-CE: SETCU incorrectly prepares CRT_PERSON after off-cycle</t>
  </si>
  <si>
    <t>Short dump CX_SY_PROVIDE_TABLE_NOT_SORTED in HRULSTAT</t>
  </si>
  <si>
    <t>FSSDP: Physician position is not displayed in XML</t>
  </si>
  <si>
    <t>Performance improvement in FM HR_RU_AV_REFINE_RESULTS</t>
  </si>
  <si>
    <t>HR-RU: connection of frozen averages for different rules</t>
  </si>
  <si>
    <t>HR-RU: returning values of the operation VAKEYGLBPC</t>
  </si>
  <si>
    <t>Maximum daily average rate for maternity since 2013 (276-FZ)</t>
  </si>
  <si>
    <t>HR-RU: Payroll log is not displayed due to error in RURAB</t>
  </si>
  <si>
    <t>HR-Nordics: Checkman 2008-2012</t>
  </si>
  <si>
    <t>HRSE: RPCEDTS0 - Merging of Absence days for Payslip report</t>
  </si>
  <si>
    <t>HRSE: Correct quota deduction for unpaid vacation Sweden</t>
  </si>
  <si>
    <t>HRSE:RPLLASS2 LAS Report - multiple work contracts</t>
  </si>
  <si>
    <t>HRSE: RPIABSS0_NEW - Absence of Fired EE displayed wrongly</t>
  </si>
  <si>
    <t>HRSE: SNAB - Too many records in table NCALES, overflow</t>
  </si>
  <si>
    <t>HRSE:RPCKU1S0 form KU14 amount in field 11 and 31</t>
  </si>
  <si>
    <t>HRSE: RPREHBS0 - Overlapping absences in Rehab. report</t>
  </si>
  <si>
    <t>HRSE: RPCKU1S0 - Layout change of Swedish PDF form KU14</t>
  </si>
  <si>
    <t>HRSE: SNAB - Wrong Val.Rule for several Absences per day</t>
  </si>
  <si>
    <t>PY-SG: Issues with IR8A/8E and IR21 Sapscript forms</t>
  </si>
  <si>
    <t>PY-SG: Issue with IR8A form generation, PATfile &amp; ITS</t>
  </si>
  <si>
    <t>PY-TH: ITF1 form not generated in retro cases</t>
  </si>
  <si>
    <t>PY-TH : Misalignments in ITF1 and ITF1A Thai Forms</t>
  </si>
  <si>
    <t>Rounding Error in Report HTWLNPP0</t>
  </si>
  <si>
    <t>Enhancement: Retro Display, UI, and Logic of HTWLSHI0</t>
  </si>
  <si>
    <t>Subschema TWBO Error in Off-Cycle Run</t>
  </si>
  <si>
    <t>Wrong corss-year wage types evaluated in HTWCTXM0 &amp; HTWC</t>
  </si>
  <si>
    <t>Enhancement: Off-cycle Display,Download Content Of HTWLSHI0</t>
  </si>
  <si>
    <t>HTWLCE00: Amount Error if There Is Retro for Previous Years</t>
  </si>
  <si>
    <t>HTWLCE00: Unncessary Spaces in LI/NHI Certificate</t>
  </si>
  <si>
    <t>Payroll Savings Bonds: Validity Ends with December 31, 2010</t>
  </si>
  <si>
    <t>Corrections to Online W-2: Wave 7</t>
  </si>
  <si>
    <t>TR: New form layout for Employer's Annual FUTA Tax Return PR</t>
  </si>
  <si>
    <t>Year End 2012 latest changes to magnetic media files</t>
  </si>
  <si>
    <t>TR: Online W-2 Paper Generation for Terminated EE - obsolete</t>
  </si>
  <si>
    <t>TR: SUI Monthly IL shows blank records when downloading</t>
  </si>
  <si>
    <t>TR: Delete Tax Reporter Test Execution</t>
  </si>
  <si>
    <t>TAX: Correction of Base Wages for BSI.</t>
  </si>
  <si>
    <t>TAX:Out-of-state wages should not be considered for LA SUI.</t>
  </si>
  <si>
    <t>TAX:WTA Override not taken into account in retrocalculation.</t>
  </si>
  <si>
    <t>TAX:Remittance Authority not populated for negative tax(EIT)</t>
  </si>
  <si>
    <t>TAX: Rounding Indicator (RN) for BSI Interface</t>
  </si>
  <si>
    <t>TAX: Improve the selection of Supplemental Pay in T5UTLA</t>
  </si>
  <si>
    <t>[VE] Tax Unit changes for 2013</t>
  </si>
  <si>
    <t>RPUDELPN: Performance Improvements</t>
  </si>
  <si>
    <t>Error Messages Shown for Each RELID When Using RPUDELPN</t>
  </si>
  <si>
    <t>RPUPAV00 support for Italy (molga 15)</t>
  </si>
  <si>
    <t>Variable Pay Streamlined Timing - Tax Year 2013-14 - Phase 1</t>
  </si>
  <si>
    <t>EE names are not displayed in the OADP Name Column</t>
  </si>
  <si>
    <t>EE names are not displayed in the OADP column</t>
  </si>
  <si>
    <t>PA-ER</t>
  </si>
  <si>
    <t>E-Recruiting</t>
  </si>
  <si>
    <t>Datenschutz: Archivierungsobjekte zur Datenvernichtung</t>
  </si>
  <si>
    <t>[AR] Correction in default beggining date in infotype 551</t>
  </si>
  <si>
    <t>RPCURLA1: Falscher Resturlaub nach Konvertierung 0005 - 2006</t>
  </si>
  <si>
    <t>Keine Schwerarbeit bei Arbeitszeitplan 00:00 - 06:00</t>
  </si>
  <si>
    <t>JW 2012/13: Korrektur ELDA Arbeits- und Entgeltbestätigung</t>
  </si>
  <si>
    <t>Currency not updated in infotype 0442 (Company Car)</t>
  </si>
  <si>
    <t>SAP Standard Configuration of China Labor Contract Platform</t>
  </si>
  <si>
    <t>BAdI for Warning of Permanent Contract in IT0016</t>
  </si>
  <si>
    <t>Warning messages poped incorrectly on IT0022 Education</t>
  </si>
  <si>
    <t>Fixed the spell issues on Infotype Off Position</t>
  </si>
  <si>
    <t>Enhancement: Add Infotype 0528 in Report RPUPAV00 for CN</t>
  </si>
  <si>
    <t>Pfändung Stammdaten: Sortierung des Übersichtsbilds</t>
  </si>
  <si>
    <t>TNM: report RPCTNM9S_ASSIGN, add TP object info</t>
  </si>
  <si>
    <t>TNM: 2483, new CF role to handle "SIREN" edition</t>
  </si>
  <si>
    <t>TNM, transaction HRTNM00_SNAP obsolete</t>
  </si>
  <si>
    <t>IT0048: Issue with sponsorship check for document type B02</t>
  </si>
  <si>
    <t>HR-GB: Applicant Sexual Orientation</t>
  </si>
  <si>
    <t>Data Privacy for HK</t>
  </si>
  <si>
    <t>Professional Tax considers the last split of IT0007 splits</t>
  </si>
  <si>
    <t>Output grid for Ptax Report inconsistent for multiple pernr</t>
  </si>
  <si>
    <t>Form 16 Inconsistent when File Path of Tax details provided</t>
  </si>
  <si>
    <t>Runtime Error in Payroll Execution for Negative Wage Type</t>
  </si>
  <si>
    <t>Form 16 layout changes for financial year 2012-2013</t>
  </si>
  <si>
    <t>Wrong F4 Help Result of Business Place</t>
  </si>
  <si>
    <t>Name Format for Complete Name(P0021-FCNAM) in Infotype 0021</t>
  </si>
  <si>
    <t>PA-PA-KW</t>
  </si>
  <si>
    <t>Kuwait Personal Adminsitration</t>
  </si>
  <si>
    <t>Kuwait HCM Private Sector Localization</t>
  </si>
  <si>
    <t>EIR: Mededelingenservice Part 1</t>
  </si>
  <si>
    <t>SZV-6: using grouping reason for seniority calculation in CE</t>
  </si>
  <si>
    <t>Usage of 18 characters long bank accounts in infotype 11</t>
  </si>
  <si>
    <t>HR-RU: Extending length of field OKPO up to 10 symbols</t>
  </si>
  <si>
    <t>Missing label for field "Delimit Date" in infotype</t>
  </si>
  <si>
    <t>HRULP4: Print OKPO from Additional Form Adjustment</t>
  </si>
  <si>
    <t>Runtime error DYNPRO_FIELD_CONVERSION in HRPADRUT7RUN</t>
  </si>
  <si>
    <t>Payroll calculate for HWC with substitutions</t>
  </si>
  <si>
    <t>PA-PA-SG: Issue with IT0021 subscreen display</t>
  </si>
  <si>
    <t>Error When Creating IT0354 in PA30 with Existing LI Records</t>
  </si>
  <si>
    <t>CLUSTER/POOL table in SAP HCM (VI): change into ORDER BY</t>
  </si>
  <si>
    <t>PP61 Target plan cannot be completed as total</t>
  </si>
  <si>
    <t>PP61: Error during Drag&amp;Drop for requirements assignment</t>
  </si>
  <si>
    <t>RH_CREATE_REQ_ASSIGNMENT sy-subrc handled incorrectly</t>
  </si>
  <si>
    <t>[AR] /411 wrongly considered as Taxable amount in HARUTAX0</t>
  </si>
  <si>
    <t>[AR] New Review Situation on SICOSS for Paternity leave</t>
  </si>
  <si>
    <t>[AR] Tax table T7AR53 - new values for 2013</t>
  </si>
  <si>
    <t>[AR] Incorrect special deduction on Final Settlement report</t>
  </si>
  <si>
    <t>rpcalca0 / IT0527: Urlaubsersatzleistung SV-frei behandeln</t>
  </si>
  <si>
    <t>rpcksba0_b2a: Vermeidung überlappender Sätze in IT3248</t>
  </si>
  <si>
    <t>KSB: Enqueue/Dequeue T5ABX</t>
  </si>
  <si>
    <t>LZ-Kompensation steuerfreier Zuschläge bei Steuerfreiheit</t>
  </si>
  <si>
    <t>RPCGWBA2: Keine Dateierstellung möglich</t>
  </si>
  <si>
    <t>ELDA-Pensionistenmeldungen IT0794</t>
  </si>
  <si>
    <t>RPCSVBA2: Nachverrechnung für überlassene Arbeiter</t>
  </si>
  <si>
    <t>ATO annual report for ETP appearing in multiple Company code</t>
  </si>
  <si>
    <t>Corrections for ETP whole of Income cap Legal change</t>
  </si>
  <si>
    <t>Incorrect /106 generation for retro back dated termination</t>
  </si>
  <si>
    <t>Retro termination issue in termination organizer</t>
  </si>
  <si>
    <t>Incorrect /GPT formed in payroll function QPWCT</t>
  </si>
  <si>
    <t>Rule QTS0: Number field in wage types having incorrect value</t>
  </si>
  <si>
    <t>Incorrect generation of table C1 in QLVPR for some scenarios</t>
  </si>
  <si>
    <t>Termination org. incorrect result in retro termination</t>
  </si>
  <si>
    <t>Wagetype/109 is blank in RT when retro within Financial year</t>
  </si>
  <si>
    <t>Tax wage types not reported by some of the reports</t>
  </si>
  <si>
    <t>Corrections after applying NAT 3348 changes Note 1808081</t>
  </si>
  <si>
    <t>Number field is getting populated for Backpay taxation</t>
  </si>
  <si>
    <t>ETP: WIC missing customizing and ETP Infotype update error</t>
  </si>
  <si>
    <t>APSED Report (RPLPBSQ7) does not read IT0105/0010 for email</t>
  </si>
  <si>
    <t>APS Remuneration Report - Annualised Amounts from I0014</t>
  </si>
  <si>
    <t>AU-PS:Unable to maintain Equity and Diversity (IT0619) data</t>
  </si>
  <si>
    <t>Operation NUM - Record Layout Field BVAT1 - No results</t>
  </si>
  <si>
    <t>Advance Taxes - Non-periodic payments for Administrators</t>
  </si>
  <si>
    <t>Dimona: Duplicate Prevention - Unique ID in T5BDI0</t>
  </si>
  <si>
    <t>DmfA: Invalid occupation line after corrected hiring date</t>
  </si>
  <si>
    <t>Garnishments - No prorata calculation when status "Clos</t>
  </si>
  <si>
    <t>DmfA: Run time error in DMFA Update (early retiree)</t>
  </si>
  <si>
    <t>Activation allowance - Wrong creation of a negative /509</t>
  </si>
  <si>
    <t>Rail tariffs Home Work Expenses as of 01.02.2013</t>
  </si>
  <si>
    <t>CL_HRPAYBE_CONDITION: ATC (ABAP Test Cockpit) correction</t>
  </si>
  <si>
    <t>Dimona - Preparation Report - Unexpected Cancel Declaration</t>
  </si>
  <si>
    <t>Belcotax: Zone 2.101 not be blanked out - follow up</t>
  </si>
  <si>
    <t>BELCOTAX: retroactivities and BETAX in case company change</t>
  </si>
  <si>
    <t>Non recurring result bonus previous year</t>
  </si>
  <si>
    <t>BSV00: Mismatch of types - run time error</t>
  </si>
  <si>
    <t>DmfA/DmfAPPL - Legal Changes 2013 Q1</t>
  </si>
  <si>
    <t>Dimona: Legal Change Q1 2003 - Original &amp; TRI Worker Typ</t>
  </si>
  <si>
    <t>BELCOTAX: Entry/leaving if company change on 01 January</t>
  </si>
  <si>
    <t>Dimona - Generation Report - Duplicate Status not cleared</t>
  </si>
  <si>
    <t>FINPROF: issue in case of retroactivity with company change</t>
  </si>
  <si>
    <t>DmfA: LC 2013 Q1 - Reductions (Structural/Target Group)</t>
  </si>
  <si>
    <t>BELCOTAX/FINPROF: Option NOSP - standard customizing /509</t>
  </si>
  <si>
    <t>BELCOTAX - Text elements wrong translated into Dutch</t>
  </si>
  <si>
    <t>BELCOTAX: Default implementation for future declarations</t>
  </si>
  <si>
    <t>DmfA: 2013 Q1 - FWT Statistical Occupation Inf.</t>
  </si>
  <si>
    <t>SOCIAL BALANCE: Entry or Leave out of declaration period</t>
  </si>
  <si>
    <t>BELCOTAX: Printout of empty entry and leave dates</t>
  </si>
  <si>
    <t>SOCIAL BALANCE: Feature BSOBA not used by 130,132,133 &amp;</t>
  </si>
  <si>
    <t>DmfA 2013Q1: Professional Fireman Adm/tech - Unicode</t>
  </si>
  <si>
    <t>MANAD: Competence in K250 data for 13th salary is wrong</t>
  </si>
  <si>
    <t>HBRSEGDE: Reported months are not selected correctly</t>
  </si>
  <si>
    <t>HBRRTER3: "Total Bruto" field with wrong amount</t>
  </si>
  <si>
    <t>RAIS: "Uso Empresa" field is empty</t>
  </si>
  <si>
    <t>HBRUTMS5: MANAD file incorrectly separated in download</t>
  </si>
  <si>
    <t>HBRRAIS0: Generic layout with wrong version indicator</t>
  </si>
  <si>
    <t>HBRRAIS0: One record missing if employee is transferred back</t>
  </si>
  <si>
    <t>TAX: QC Health Contribution 2013</t>
  </si>
  <si>
    <t>Dump while creating STD or LTD in Absences (IT201) via PA30</t>
  </si>
  <si>
    <t>Enhancement to Note 913100</t>
  </si>
  <si>
    <t>Enhancement to note 872150 for KATAX</t>
  </si>
  <si>
    <t>PD7A: Incorrect amount when Disp. Employee Data is selected</t>
  </si>
  <si>
    <t>YE12:Incorrect Releve 2 amendment created due to spouse data</t>
  </si>
  <si>
    <t>YE12:ESS T4 reprint still shows custom field after disabling</t>
  </si>
  <si>
    <t>GRSUP with an C1ZNR split causes incorrent amounts</t>
  </si>
  <si>
    <t>ROE:XML not generating all entries in B15C</t>
  </si>
  <si>
    <t>YE12 : Incorrect footnote code B1 in case of multiple RLs</t>
  </si>
  <si>
    <t>YE12: T4 and T4A pre-printed misalignment</t>
  </si>
  <si>
    <t>YE12 : Length of email address in RL-1 XML is increased</t>
  </si>
  <si>
    <t>TAX: Incorrect proration of QHC</t>
  </si>
  <si>
    <t>YE12 : Negative amount displayed in box 23 in Rl-1 slip</t>
  </si>
  <si>
    <t>YE12:XML transmitter details missing in RL-1 RL-2 XML</t>
  </si>
  <si>
    <t>Performance and usability improvement (CheckMan)</t>
  </si>
  <si>
    <t>HR-CH: Wage stmnt, text 15 cumulatn WT, inactive employees</t>
  </si>
  <si>
    <t>HR-CH: Survey of struct + level of wages (RPLBGAC3), corr.</t>
  </si>
  <si>
    <t>LAW 2005: Access violation in method get_size_barcode()</t>
  </si>
  <si>
    <t>HR CH: Corrections for Check Manager messages</t>
  </si>
  <si>
    <t>[CL] Missing Gratuity payment with partition Payroll</t>
  </si>
  <si>
    <t>[CL] Reliquidation not triggered on Termination</t>
  </si>
  <si>
    <t>[CL] Incorrect Payroll results selection on HCLCCRTA0</t>
  </si>
  <si>
    <t>[CL] Update Factor - Income Certif. update for 2012</t>
  </si>
  <si>
    <t>[CL] Wrong text in Income Certificate PDF form</t>
  </si>
  <si>
    <t>Display EE Name in Chinese Format in Report HCNCDTA0</t>
  </si>
  <si>
    <t>Wage type copier: Wage type from T5D2S not copied</t>
  </si>
  <si>
    <t>SI: Composite SAP Note data exchange 4/2013</t>
  </si>
  <si>
    <t>Minimum leave remuneration: Enhancements</t>
  </si>
  <si>
    <t>Seaconal reduced working hours comp.: Winter comp./overtime</t>
  </si>
  <si>
    <t>Minimum leave remuneration: Required enhancement II</t>
  </si>
  <si>
    <t>DEUEV: Corrections X</t>
  </si>
  <si>
    <t>Check annual income limit health insurance: Corrections (5)</t>
  </si>
  <si>
    <t>ELStAM: Corrections after year-end legal change 15/2013</t>
  </si>
  <si>
    <t>ELStAM: Preparation for distributed reporting for ELStAM</t>
  </si>
  <si>
    <t>AAG: Supplements and corrections (3)</t>
  </si>
  <si>
    <t>ZMV: Unnecessary reversal notifications and new notificatns</t>
  </si>
  <si>
    <t>Prohibited activities: Taking into account IT 0007</t>
  </si>
  <si>
    <t>BVV: Record struct. of trailer rec. is incorrect (fld DUMMY)</t>
  </si>
  <si>
    <t>PofA: Int. in notional calc., repayment, running supp. pymnt</t>
  </si>
  <si>
    <t>PofO: Model wage type to clean up garnishment results</t>
  </si>
  <si>
    <t>PofO: Model wage type: Del. diff. from prev. mth garnishment</t>
  </si>
  <si>
    <t>Coll. agency for insolvency fund contrib. chngd for mix jobs</t>
  </si>
  <si>
    <t>Non-recurring payt under March clause for challenged persons</t>
  </si>
  <si>
    <t>Employment tax statement: Corrections 02/2013</t>
  </si>
  <si>
    <t>Special rule for forcing inflow principle: Wage type /415</t>
  </si>
  <si>
    <t>Merging tax split periods</t>
  </si>
  <si>
    <t>Guarantee amount TV-L: Corrections in indirect valuation</t>
  </si>
  <si>
    <t>ER contribution CFS in TVoeD/TV-L, various corrections</t>
  </si>
  <si>
    <t>RPSPSTD0: EF17 "Levels" and feature PRVAR</t>
  </si>
  <si>
    <t>Struc equalizatn acc to Sec 12 TVUE: Cases "w/o" p</t>
  </si>
  <si>
    <t>Trty on sharing of pension costs: Payroll/posting run(VLTSV)</t>
  </si>
  <si>
    <t>Sec. 10 VersStaatsV: New event for dynamic modification</t>
  </si>
  <si>
    <t>PS Regulatn State of Bavaria:Bonuses Art.71 foll. BayBeamtVG</t>
  </si>
  <si>
    <t>Regular reimbursements according to Sec 10 VersStaatsV (12)</t>
  </si>
  <si>
    <t>Reductn sec.57: "No pensionable employment period exist</t>
  </si>
  <si>
    <t>Transfer of surcharges regarding KEZ, KEEZ, PZ in wage types</t>
  </si>
  <si>
    <t>Labor costs census 2012: Minor corrections 1</t>
  </si>
  <si>
    <t>RPLEHAD3: Error for semiretirement, address, traineeship</t>
  </si>
  <si>
    <t>RPLEHAD3: Length of company activity</t>
  </si>
  <si>
    <t>RPLEHAD3: Vol. soc./eco. year/Federal voluntary service</t>
  </si>
  <si>
    <t>Corrections to statements 1/2013</t>
  </si>
  <si>
    <t>Stmts for applic. for parental leave benefit: Vers 12/2012</t>
  </si>
  <si>
    <t>IGA report not considering all year decrease due to mortgage</t>
  </si>
  <si>
    <t>AFI: Improvements in log and optimizations</t>
  </si>
  <si>
    <t>BRD: RPCALCE0 is not recovering correct IT0061 entries</t>
  </si>
  <si>
    <t>TC: New BAdI method in RPCTC0E0</t>
  </si>
  <si>
    <t>TEMSE: Incorrect conversion of special characters</t>
  </si>
  <si>
    <t>Garnishment: Missing values from total deducted</t>
  </si>
  <si>
    <t>CALC: Corrections on calculation of M717 and M719 wage types</t>
  </si>
  <si>
    <t>190: Subkeys update according with RDL 20/2012</t>
  </si>
  <si>
    <t>TC: Negative sign in additional settlement</t>
  </si>
  <si>
    <t>FDI: New values for Reason for registration field</t>
  </si>
  <si>
    <t>190: Issue when processing arrears of payment in kind</t>
  </si>
  <si>
    <t>PA: Infotype framework classes wrongly activated</t>
  </si>
  <si>
    <t>TC: Inconsistent L04 FAN file</t>
  </si>
  <si>
    <t>IRPF: Regularization fields are not cleared automatically</t>
  </si>
  <si>
    <t>CRT2: Filling &amp;lt;FechaFinSupension&amp;gt; XML element in wrong</t>
  </si>
  <si>
    <t>FDI: Error in RPUFRIE0 processing employees with CCC change</t>
  </si>
  <si>
    <t>IGA: Warning messages not shown with Log resumido flag</t>
  </si>
  <si>
    <t>190: Issues with duplication of Compensatory payments</t>
  </si>
  <si>
    <t>Certific@2: &amp;lt;CCC&amp;gt; XML tag with zeros for Periodos Acti</t>
  </si>
  <si>
    <t>IGA: Unexpected warning message for retiree employees</t>
  </si>
  <si>
    <t>TC: Short dump after SAP Note 1799646</t>
  </si>
  <si>
    <t>TC: Retroactive leave of employee with fixed amount contrib.</t>
  </si>
  <si>
    <t>TC: 'Deactivate control in EDT' option in RPCFANE0</t>
  </si>
  <si>
    <t>BONIFICACIONES: Corrections of method and formulas 2013/1</t>
  </si>
  <si>
    <t>Offcycle: Special Payments with splits in 0001 infotype</t>
  </si>
  <si>
    <t>TC: RZS segment does not match CCC in L13</t>
  </si>
  <si>
    <t>Garnishment: Wrong deduction when employee is inactive</t>
  </si>
  <si>
    <t>CALC: Issue with part-time employee number of worked hours</t>
  </si>
  <si>
    <t>Garnishment: some fields not filled in 0887 infotype</t>
  </si>
  <si>
    <t>IRPF: IT0062 is storing wrong number of family members</t>
  </si>
  <si>
    <t>FDI: New BAdI method to change the start of IT</t>
  </si>
  <si>
    <t>TC: L04 with fixed contributions for training contracts</t>
  </si>
  <si>
    <t>190: Retentions Certificate does not show some fields</t>
  </si>
  <si>
    <t>MASSIVE: Wrong value for &amp;lt;MinoracionPrestamosVivienda&amp;gt;</t>
  </si>
  <si>
    <t>FDI: Wrong CCC in FDI generation</t>
  </si>
  <si>
    <t>Contrat@: Changes of February, 2013</t>
  </si>
  <si>
    <t>BONIFICACIONES: Correction of SAP Note 1826723</t>
  </si>
  <si>
    <t>PA: Wrong size of P0480-CODOCU text field on SAP Query</t>
  </si>
  <si>
    <t>CALC: Error in Enhanced EIGA due to SAP note 1226447</t>
  </si>
  <si>
    <t>DELT@: Wrong number of days of Antigüedad field at XML file</t>
  </si>
  <si>
    <t>AFI: BAdI GEN_AUTOMATISM_DATA is not being called</t>
  </si>
  <si>
    <t>Off-cycle: Incorrect retroactive off-cycle result</t>
  </si>
  <si>
    <t>CALC: Structure expansion for using with feature EATRA</t>
  </si>
  <si>
    <t>190: Negative expenses not shown correctly in Certificate</t>
  </si>
  <si>
    <t>HRFI: Checkman - "Accessibility" attribute for PDF</t>
  </si>
  <si>
    <t>N4DS V01X07 S40.G40.10 not generated or wrong amount</t>
  </si>
  <si>
    <t>RPLASMF3: stops with "TIME OUT" error</t>
  </si>
  <si>
    <t>IT3340: S60.G05.00 sections not sorted</t>
  </si>
  <si>
    <t>RPLDATF2:Employee name truncated in paper declaration &amp;</t>
  </si>
  <si>
    <t>DN-AC AED: V01X07 - New section S48.G10.02</t>
  </si>
  <si>
    <t>Profit sharing: contributions on interests</t>
  </si>
  <si>
    <t>IT3340: fix for label management using the T5FITCORRC</t>
  </si>
  <si>
    <t>AED: S48.G55.00.007 not generated in final file</t>
  </si>
  <si>
    <t>DMMO: Documentation Update (EE leaving last day of month</t>
  </si>
  <si>
    <t>RPLRPSF1: Add a column if an employee is "cadre" o</t>
  </si>
  <si>
    <t>RPL4DSF0: selection parameters consistency</t>
  </si>
  <si>
    <t>RPLRPSF1 - Incorrect hiring date</t>
  </si>
  <si>
    <t>RPL4DSF0: selection parameters in test mode</t>
  </si>
  <si>
    <t>N4DS: S40.G28.05.029.001 DAQ condition setting does not work</t>
  </si>
  <si>
    <t>N4DS sub-group S40.G15.00: Add wagetype group DW10</t>
  </si>
  <si>
    <t>N4DS: S45 amounts missing in case of retrocalculation</t>
  </si>
  <si>
    <t>RPLDUEF0: incorrect error log</t>
  </si>
  <si>
    <t>RPLCOTF2: Incorrect headcount</t>
  </si>
  <si>
    <t>Public Sector Promotion Process: none promotion issue</t>
  </si>
  <si>
    <t>PY-GB: PAE: RPUPAEG4: Update IT0071 EE specific indicator</t>
  </si>
  <si>
    <t>PY-GB: PAE IT3297 large gap between std. and cust. subscreen</t>
  </si>
  <si>
    <t>RPCPENG0_NEW: Incorrect behaviour for Mid-Period scenario.</t>
  </si>
  <si>
    <t>PY-GB: PAE: Payroll Relevant fields in IT3297</t>
  </si>
  <si>
    <t>PY-GB: PAE: "Position Title" added to notification</t>
  </si>
  <si>
    <t>PY-GB: PAE: Stopping "irrelevant" notices II</t>
  </si>
  <si>
    <t>PY-GB: PAE: Late Starters</t>
  </si>
  <si>
    <t>PY-GB: PAE: TUPE and Re-Hires</t>
  </si>
  <si>
    <t>PY-GB: PAE: New Hires on Staging Date</t>
  </si>
  <si>
    <t>PY-GB: PAE: Payroll Transfers and Postponement</t>
  </si>
  <si>
    <t>PY-GB: PAE: Postponement within the current pay period</t>
  </si>
  <si>
    <t>PY-GB: PAE: Opt-In for Entitled Workers (and No Duties)</t>
  </si>
  <si>
    <t>PY-GB: PAE: Separate Spool Files</t>
  </si>
  <si>
    <t>SAP Script Forms for Tax year 2012-13</t>
  </si>
  <si>
    <t>PY-GB: RTI Incorrect handling of leavers</t>
  </si>
  <si>
    <t>PY-GB: PAE: ABAP dump during CE Framework</t>
  </si>
  <si>
    <t>PY-GB: PAE: Previous postponement re-introduced in error</t>
  </si>
  <si>
    <t>PY-GB: PAE: Opt-In for Entitled Workers (and No Duties) II</t>
  </si>
  <si>
    <t>PY-GB: RTI Transaction codes for recon. reports</t>
  </si>
  <si>
    <t>Leaving date on P14 for late payments</t>
  </si>
  <si>
    <t>PY-GB: PAE: FM HR_GBAE_MIN_CHECK incorrectly stops Payroll</t>
  </si>
  <si>
    <t>PY-GB: PAE: Payroll Simulation generating a payslip</t>
  </si>
  <si>
    <t>PY-GB: PAE: Bugfix for Mid-Period Transfers in Post Payroll</t>
  </si>
  <si>
    <t>P46(Car) report is reporting car incorrectly</t>
  </si>
  <si>
    <t>PY-HK: Legislation Update - New Statutory Minimum Wage</t>
  </si>
  <si>
    <t>PY-HK: LC Revised IR56B Specification 2013</t>
  </si>
  <si>
    <t>PY-HK: LC XML format of IR56B e-filing from April 2013</t>
  </si>
  <si>
    <t>EOY Illnes Benefit and Structure changes</t>
  </si>
  <si>
    <t>EOY P35 XML issue with BenefitInKind medical insurance</t>
  </si>
  <si>
    <t>Claims report - Carry Forward error</t>
  </si>
  <si>
    <t>LEA Exemption in case of Death of an employee</t>
  </si>
  <si>
    <t>Form 24Q: Offcycle results not displayed consistently</t>
  </si>
  <si>
    <t>Inconsistent Annual PTax calculation - Madhya Pradesh</t>
  </si>
  <si>
    <t>Variable DA amounts incorrectly calculated</t>
  </si>
  <si>
    <t>Inconsistency in Professional tax amount deducted</t>
  </si>
  <si>
    <t>HCM India ESS application terminates when importing cluster</t>
  </si>
  <si>
    <t>Jharkhand Professional Tax Reporting</t>
  </si>
  <si>
    <t>HINCPTX0: Inconsistent Basis Displayed for Tamil Nadu</t>
  </si>
  <si>
    <t>PY-IN: Union Budget Changes for Year 2013</t>
  </si>
  <si>
    <t>UniEmens 2.0 - Correction Package IV</t>
  </si>
  <si>
    <t>CUD 2013 - Issue in BAdI Method REJECT_EE_BEFORE_CLUSTER</t>
  </si>
  <si>
    <t>PY-IT: Documentation for CUD 2013</t>
  </si>
  <si>
    <t>Cud 2013 error in Box B0124</t>
  </si>
  <si>
    <t>UniEmens Declaration cannot be marked as sent</t>
  </si>
  <si>
    <t>UniEmens 2.0 - Negative amounts handling</t>
  </si>
  <si>
    <t>HR-IT: UniEmens 2.0 Public Sector</t>
  </si>
  <si>
    <t>HR-IT: UniEmens 2.0 Public Sector - Correction Package I</t>
  </si>
  <si>
    <t>Enhancement of Labor Insurance Wage Basis Calculation</t>
  </si>
  <si>
    <t>Incorrect tax for multiple retirement allowances in a year</t>
  </si>
  <si>
    <t>RPLHTAJ0: Texts Output Not in Logon Language</t>
  </si>
  <si>
    <t>PY-JP-RP</t>
  </si>
  <si>
    <t>PY-JP-RP-TX</t>
  </si>
  <si>
    <t>Tax Statement</t>
  </si>
  <si>
    <t>LC2013: JP Salary Payment Report (SPR) in Format for eLTAX</t>
  </si>
  <si>
    <t>RPCWTSJ0: Incorrect Amounts Output</t>
  </si>
  <si>
    <t>LC2013: Tax Calculation Logic Change for Separation Payment</t>
  </si>
  <si>
    <t>Round Up HI Exempt Premium and HI Premium in IT0544</t>
  </si>
  <si>
    <t>Minus Gross Income in HKRCYEA0 Receipt</t>
  </si>
  <si>
    <t>Incorrect Overtime Non-taxable for Cross-Year Payroll Period</t>
  </si>
  <si>
    <t>LC2013: Tax Calculation Logic Change for Mid-Separation</t>
  </si>
  <si>
    <t>HKRCUPNP: Incorrect EI Status</t>
  </si>
  <si>
    <t>LC2013: Worker's Compensation Insurance Premium Rate</t>
  </si>
  <si>
    <t>Check Upper Limit of RP Lump-sum for Senior Executive</t>
  </si>
  <si>
    <t>[MX] HMXCAGU0 calculates incapacity days incorrectly</t>
  </si>
  <si>
    <t>[MX] Wrong liquidation of Christmas Bonus at termination</t>
  </si>
  <si>
    <t>[MX] Correction in RFC validation in HMXCRFC0 report</t>
  </si>
  <si>
    <t>[MX] Income Tax for Pensioner with several employments</t>
  </si>
  <si>
    <t>[MX] P0370 Payroll function wrongly generates error message</t>
  </si>
  <si>
    <t>[MX] Incorrect remaining Pension days on Termination</t>
  </si>
  <si>
    <t>PY-MY : Issues in WD ABAP ESS PDF PCB2(II) and EA form</t>
  </si>
  <si>
    <t>PY-MY: Semi-Monthly Additional Income projection</t>
  </si>
  <si>
    <t>PY-MY: SOCSO 8B generation for Semi-monthly payroll</t>
  </si>
  <si>
    <t>PY-MY: Maybank download file format(M2N and MN2) issues</t>
  </si>
  <si>
    <t>PY-MY: Incorrect status in prepare EA form report</t>
  </si>
  <si>
    <t>PY-MY : Text changes for Form CP21, CP22 and CP22A</t>
  </si>
  <si>
    <t>PY-MY: Issue in CP8D download file format</t>
  </si>
  <si>
    <t>PY-MY: Tabung Haji Report: R/No. displayed incorrectly</t>
  </si>
  <si>
    <t>PY-MY: Maybank download file format M2N issues</t>
  </si>
  <si>
    <t>WCR: Additional Checks Work Cost Regulation Customizing</t>
  </si>
  <si>
    <t>WCR: Consistent use of Employer and Legal Person</t>
  </si>
  <si>
    <t>Life Course Savings Scheme: Non-Taxable Amount</t>
  </si>
  <si>
    <t>Report RPCLGPNC: Improvements</t>
  </si>
  <si>
    <t>WCR: Recognition of retroactive legal person change</t>
  </si>
  <si>
    <t>Aangifte LH: RPCLAVNO log intended as technical log</t>
  </si>
  <si>
    <t>PY-NL-IE</t>
  </si>
  <si>
    <t>OTMx: Address data export issue on payroll outsourcing</t>
  </si>
  <si>
    <t>HRNO: SPK - correction of issues - March 2013</t>
  </si>
  <si>
    <t>ACF - new proxy object for communication - March 2013</t>
  </si>
  <si>
    <t>HRNO: Error in ERC Report after changes in municipalities</t>
  </si>
  <si>
    <t>HRNO: Reimb. basis for following absences</t>
  </si>
  <si>
    <t>eTaxCard - correction of issues - March 2013</t>
  </si>
  <si>
    <t>RPUTILV1* - changes in internal utilities - March 2013</t>
  </si>
  <si>
    <t>HRNO: Reimbursement - printing NAV 08-30.01 for maternity</t>
  </si>
  <si>
    <t>HRNO: Reimbursement Solution issues - March 2013</t>
  </si>
  <si>
    <t>RPCINDV0 - new parameter for start date of change in IT0173</t>
  </si>
  <si>
    <t>HRNO: Annual tax statement-issues March 2013</t>
  </si>
  <si>
    <t>HRNO: Chronic sickness start before go-live date - print</t>
  </si>
  <si>
    <t>HRNO: VRMHO incorrect senior age calculation in retro</t>
  </si>
  <si>
    <t>HRNO: RPURMBV0 - Batch input session name / user id</t>
  </si>
  <si>
    <t>HRNO - Norwegian translations for note 1802907</t>
  </si>
  <si>
    <t>HRNO: BADI for ATS -address printing country line</t>
  </si>
  <si>
    <t>SST - correction of issues - March 2013</t>
  </si>
  <si>
    <t>HRNO: RPSSSTV0 selection parameter PC_OUT is upper case only</t>
  </si>
  <si>
    <t>PY-NZ:Leave liability and leaves are not paid at RDP rate</t>
  </si>
  <si>
    <t>PY-NZ: Some issues in the Update Superannuation Report</t>
  </si>
  <si>
    <t>Leave Liability is incorrect in case of negative entitlement</t>
  </si>
  <si>
    <t>Issue with conversion of days into hours for termination</t>
  </si>
  <si>
    <t>PY-NZ: ACCRCALC table is getting cleared in P0310 function</t>
  </si>
  <si>
    <t>Single Report General Corrections for 2012</t>
  </si>
  <si>
    <t>Monthly income declaration: corrections IV</t>
  </si>
  <si>
    <t>Single Report: filling fields 3.1 and 4 in Anexo D</t>
  </si>
  <si>
    <t>National Budget 2013: IRS Surcharge - Corrections IV</t>
  </si>
  <si>
    <t>National Budget: CA/VA payment twelfths Correction I</t>
  </si>
  <si>
    <t>Monthly income declaration: corrections V</t>
  </si>
  <si>
    <t>Wage type /890 is incorrect for more ab record in 1 period</t>
  </si>
  <si>
    <t>SZV-6-1: grouping packages by special work conditions</t>
  </si>
  <si>
    <t>Averages adaptation after off-cycle for vacation in future</t>
  </si>
  <si>
    <t>HR-RU: resplit of recalculated results in correctional run</t>
  </si>
  <si>
    <t>HR-RU: Social insurance limit values in 2013</t>
  </si>
  <si>
    <t>Income Tax From Vacation Pay</t>
  </si>
  <si>
    <t>Legal change: RSV-1 form the first quarter 2013</t>
  </si>
  <si>
    <t>Regional Coefficient in MROT at Daily Rates Comparison</t>
  </si>
  <si>
    <t>New PFR forms SZV-6-4, ADV-6-5</t>
  </si>
  <si>
    <t>SZV-6-*: Setting the application server's logical path</t>
  </si>
  <si>
    <t>Days for absence average calculation in results tables</t>
  </si>
  <si>
    <t>HR-RU: Attribute FPEND of Cluster Record for OC Category 08</t>
  </si>
  <si>
    <t>HR-RU: 4-FSS Table 3 Wrong Amounts for Non-Residents</t>
  </si>
  <si>
    <t>HRSE: RPLSPPS2 H29 - incorrect text file - spaces</t>
  </si>
  <si>
    <t>HRSE: RPCKU1S0 - Printer field is missing on Sel.screen</t>
  </si>
  <si>
    <t>HRSE: Checkman ("Accessibility" attribute; Code In</t>
  </si>
  <si>
    <t>CPF monthly report for period after termination</t>
  </si>
  <si>
    <t>Incorrect CPF excess for offcycle run in yearend</t>
  </si>
  <si>
    <t>Offcycle payments reporting in NRS report</t>
  </si>
  <si>
    <t>Simulation error in payroll function R2010</t>
  </si>
  <si>
    <t>IR8A reporting for cross payroll periods</t>
  </si>
  <si>
    <t>Apportion method for Singapore PR employees</t>
  </si>
  <si>
    <t>IR21 form generation for SPR for future fund type change</t>
  </si>
  <si>
    <t>NRS report generation with future NS record</t>
  </si>
  <si>
    <t>CPF refund proration in pension paper</t>
  </si>
  <si>
    <t>PY-TH: Incorrect Other/Previous Employment in HTHCINS0</t>
  </si>
  <si>
    <t>PY-TH: Incorrect sheet count on cover page of ITF1A</t>
  </si>
  <si>
    <t>Correction for Function TWSHI</t>
  </si>
  <si>
    <t>Add 2nd-Generation NHI in Certificate for LI/NHI (HTWLCE00)</t>
  </si>
  <si>
    <t>Enhancement: Amount Display in Detail View for HTWLSHI0</t>
  </si>
  <si>
    <t>HTWCTXM0:ENTBD Cannot Display Pers. No. for Tax Category 93</t>
  </si>
  <si>
    <t>Remove /388 Retro-difference Caused by /387 Logic Change</t>
  </si>
  <si>
    <t>Correction: HTWLCE00 Amount Error When Retro Several Times</t>
  </si>
  <si>
    <t>HTWCTXM0 Amount Incorrect When Tax Form Selection Is Blank</t>
  </si>
  <si>
    <t>HTWLSHI0: Mid-Month Org Change and Off-Cycle Bonus NHI Amt</t>
  </si>
  <si>
    <t>HTWCTXP0 Tax Summary Report Display Data Error</t>
  </si>
  <si>
    <t>LI Days Calculated Incorrectly for Isolated Join on 31st</t>
  </si>
  <si>
    <t>HTWLCE00: Incorrect Name Display for Employee's Dependents</t>
  </si>
  <si>
    <t>Correction:EE NHI Contribution for Family Members (HTWLCE00)</t>
  </si>
  <si>
    <t>HTWLCE00: Alignment Issue in Certificate for LI/NHI Payment</t>
  </si>
  <si>
    <t>HTWLCE00: Incorrect Display of Family NHI When EE Transfer</t>
  </si>
  <si>
    <t>HTWLCE00: Family Member Name Cannot Display Completely</t>
  </si>
  <si>
    <t>HTWLCE00: Incorrect Total if HNIF = 0 in a Payroll Period</t>
  </si>
  <si>
    <t>Remove /387 Retro Difference when /387 Does Not Exist in ORT</t>
  </si>
  <si>
    <t>RPCLMRU0: CLM table entries from incorrect payroll period</t>
  </si>
  <si>
    <t>Tax Infotype Summary report displays wrong entries</t>
  </si>
  <si>
    <t>TR: New York W-2c with cross-year retro incorrect</t>
  </si>
  <si>
    <t>TR: Multiple Localities information in HR Forms</t>
  </si>
  <si>
    <t>TR: W-2 creation when earns only box 12 DD</t>
  </si>
  <si>
    <t>TR: W-2c PR not generated for SSN change</t>
  </si>
  <si>
    <t>TR: Spool Number not being properly displayed for HR Forms</t>
  </si>
  <si>
    <t>TR: Extra special character in employee name in XML file</t>
  </si>
  <si>
    <t>TR: Number of employees incorrect in SUI NY Q4</t>
  </si>
  <si>
    <t>TR: Total number of Forms W-2 incorrect in Form W-3</t>
  </si>
  <si>
    <t>TR: W-2 Employee copy CORRECTED statement</t>
  </si>
  <si>
    <t>TR: Print Copy also shows in Production area of log</t>
  </si>
  <si>
    <t>TR: Incorrect amount in Wages not Allocate of monthly SUI IL</t>
  </si>
  <si>
    <t>TR: W-2 Magmedia for State of Mississippi correction</t>
  </si>
  <si>
    <t>TR: Incorrect length in SUI CSV for PA</t>
  </si>
  <si>
    <t>Q1/2013: Functional changes for U.S. Tax Reporter.</t>
  </si>
  <si>
    <t>Online W-2: Several W-2 displayed for overwrite scenarios</t>
  </si>
  <si>
    <t>TR: Philadelphia EE considered in custom Act 32 MMREF files</t>
  </si>
  <si>
    <t>TR: Form W-2 has negative amount printed in Box 12 DD</t>
  </si>
  <si>
    <t>TR: Log Manager message is always shown</t>
  </si>
  <si>
    <t>TAX: California SDI Tax is incorrect after note 1741011</t>
  </si>
  <si>
    <t>[VE] Error when running the Profit Share Payroll</t>
  </si>
  <si>
    <t>Rounding Feature for Net Pay in MENA Solution</t>
  </si>
  <si>
    <t>Annual tax negative due to Offcycle payment</t>
  </si>
  <si>
    <t>Variable Pay Streamlined Timing - Tax Year 2013-14 - Phase 2</t>
  </si>
  <si>
    <t>Budget changes 2013 - 2014</t>
  </si>
  <si>
    <t>XX-TRANSL-NO</t>
  </si>
  <si>
    <t>Translation into Norwegian</t>
  </si>
  <si>
    <t>Correction of translation of 'senior' from '62' to '60'</t>
  </si>
  <si>
    <t>SAPKE60460</t>
  </si>
  <si>
    <t>SAPKE60461</t>
  </si>
  <si>
    <t>SLIN: Technical Check in the report RHBAUS04</t>
  </si>
  <si>
    <t>Times_out when maintaining HR Org Structur</t>
  </si>
  <si>
    <t>HRMD_A: New idoctype (new and enhanced segments)</t>
  </si>
  <si>
    <t>0EMPLOYEE_ATTR: Reference personnel number is incorrect</t>
  </si>
  <si>
    <t>Deletion statistics not updated for arch. object PA_TRAVEL</t>
  </si>
  <si>
    <t>Travel Management PS</t>
  </si>
  <si>
    <t>F1-Hilfe für T702N-P15</t>
  </si>
  <si>
    <t>HR context authorization: HRPADAUTH_AC_UNIT</t>
  </si>
  <si>
    <t>RHBAUS04: GUI status 'LIST01' is missing</t>
  </si>
  <si>
    <t>CL_HRPAD00AUTH_CHECK_FAST method CHECK_PA_MIN_SUBTY_AUTH</t>
  </si>
  <si>
    <t>PD-PA Integration: Update of PA tables from PD</t>
  </si>
  <si>
    <t>RHINTE30 does not take into account any end of integratn per</t>
  </si>
  <si>
    <t>BEN:Eligibility check error for dependents who are students</t>
  </si>
  <si>
    <t>PA-BN-CE</t>
  </si>
  <si>
    <t>Conc.Empl.-Benefits</t>
  </si>
  <si>
    <t>BEN: Benefit Salary calculated incorrectly in CE scenarios</t>
  </si>
  <si>
    <t>BEN: COBRA - FSA plans are not collected</t>
  </si>
  <si>
    <t>COBRA: Event Reduction in Work Hours is not collected.</t>
  </si>
  <si>
    <t>PA-ER-INT</t>
  </si>
  <si>
    <t>Integration</t>
  </si>
  <si>
    <t>EREC (I1): Integration called despite inactive BAdI</t>
  </si>
  <si>
    <t>LDB PNPCE: Fields PNPDISBD/PNPDISED are initial</t>
  </si>
  <si>
    <t>HR_SELECT_PERSONS: preliminary check incorrect</t>
  </si>
  <si>
    <t>PD-&gt;PA integration in new infotype framework</t>
  </si>
  <si>
    <t>HRCA_COBL_CHECK does not issue error message second time</t>
  </si>
  <si>
    <t>1001 relationship is not delimited correctly</t>
  </si>
  <si>
    <t>Search help for BUKRS for positions</t>
  </si>
  <si>
    <t>PPOME: Search help for BUKRS for positions</t>
  </si>
  <si>
    <t>PPOME: Working time: Default value for approval percent</t>
  </si>
  <si>
    <t>RHINTE30:No detailed error messages in background processing</t>
  </si>
  <si>
    <t>Postal Codes - User interface harmonization</t>
  </si>
  <si>
    <t>Display of SWIFT code and IBAN in German infotypes</t>
  </si>
  <si>
    <t>Datenvernichtung: Protokoll zeigt prod. Lauf als "Testmodus"</t>
  </si>
  <si>
    <t>Runtime error in class CL_PT_BLP_IT0424</t>
  </si>
  <si>
    <t>Data Privacy: destroying French personnel master data</t>
  </si>
  <si>
    <t>TNM: 2483, new/updated messages in the log</t>
  </si>
  <si>
    <t>TNM: unwanted "technical" messages within the log</t>
  </si>
  <si>
    <t>TNM: warning message related to DIF quota not triggered</t>
  </si>
  <si>
    <t>TNM: wrong FR translation for transaction HRTNM00_REPCRE</t>
  </si>
  <si>
    <t>TNM: 2483 frame F, new parameters in the table T5F5Q</t>
  </si>
  <si>
    <t>TNM: 2483, fix for rounding issue in the frame H/line 23 b</t>
  </si>
  <si>
    <t>TNM: 2483, switch for the frame F/line c calculation</t>
  </si>
  <si>
    <t>TNM: 2483, transaction for maintaining T5F5Q data</t>
  </si>
  <si>
    <t>HRGB: Error on applicant infotype 0002</t>
  </si>
  <si>
    <t>Data Privacy for GB</t>
  </si>
  <si>
    <t>RPUPAVHK Enhancement for Infotype Views 0342 and 0344</t>
  </si>
  <si>
    <t>HRIE: New PPS number validation on IT0002</t>
  </si>
  <si>
    <t>HRIE: New ERN format effective for 2013</t>
  </si>
  <si>
    <t>Inconsistent Ptax in mid-year transfer to Jharkhand region</t>
  </si>
  <si>
    <t>E1P0146: IDOC Segment Enhancement</t>
  </si>
  <si>
    <t>Revision of ESS YEA Enhancement Phase 2</t>
  </si>
  <si>
    <t>Kuwait Pers. Admin.</t>
  </si>
  <si>
    <t>This is created for some specific correction no-need note</t>
  </si>
  <si>
    <t>[MX] District code field is read only in Infotype 0006</t>
  </si>
  <si>
    <t>Data Privacy for MX</t>
  </si>
  <si>
    <t>Pension Return for the Netherl.: IDOC Segment for IT3274</t>
  </si>
  <si>
    <t>Absence Overview Report RPLWPAN0 cannot be run in background</t>
  </si>
  <si>
    <t>EIR: Mededelingenservice: Adjustment of Proxies</t>
  </si>
  <si>
    <t>Special Expense Regulations Text is not Cleared</t>
  </si>
  <si>
    <t>PZ13 does not save fields COUBI and PARBI of 0002 infotype</t>
  </si>
  <si>
    <t>HR-PT: RPUPAV00 support for Portugal (molga 19)</t>
  </si>
  <si>
    <t>End of Service Enhancement for Qatar</t>
  </si>
  <si>
    <t>SZV-6-4, ADV-6-2: updates after the Note 1830512</t>
  </si>
  <si>
    <t>HRULPAY2: dump in CE environment</t>
  </si>
  <si>
    <t>KLADR checking tool: wrong postal code</t>
  </si>
  <si>
    <t>RSV-1: Part 2 multiple tariff codes processing</t>
  </si>
  <si>
    <t>Number of group personnel order is saved in upper case</t>
  </si>
  <si>
    <t>HRULP4: Dismissed Employees in Row 13 of NZ Form</t>
  </si>
  <si>
    <t>HR-RU: 4-FSS - Customizing for Direct Payments Project</t>
  </si>
  <si>
    <t>Tax ID for Mainland Employees in TW Is Incorrect in IT0353</t>
  </si>
  <si>
    <t>IT0210: Field help updates</t>
  </si>
  <si>
    <t>BEN: Incorrect date used to check HSA eligibility rule</t>
  </si>
  <si>
    <t>BEN: Incorrect eligibility maximum age check for HSA</t>
  </si>
  <si>
    <t>BEN: Override for contribution limits of 401(k) plans</t>
  </si>
  <si>
    <t>BEN: Post-tax deduction not taken in catch-up transi. period</t>
  </si>
  <si>
    <t>Sammelhinweis für neue Komponenten im HCM</t>
  </si>
  <si>
    <t>Infotype 0302 displayed in infotype 0000 w/out authorization</t>
  </si>
  <si>
    <t>IT 0001: " HR Administrator" field is mandatory</t>
  </si>
  <si>
    <t>PA30: runtime error OBJECTS_OBJREF_NOT_ASSIGNED_NO</t>
  </si>
  <si>
    <t>Infotype 3213 decoupling</t>
  </si>
  <si>
    <t>Interface Note: Additional Fields for IT0001 Overview Screen</t>
  </si>
  <si>
    <t>Interface Note: Additional Fields for IT0009 Overview Screen</t>
  </si>
  <si>
    <t>BADIs HRPAD00INFTY and HRPAD00INFTYDB called several times</t>
  </si>
  <si>
    <t>PA30:Header incorr. for PERNR change using object manager[3]</t>
  </si>
  <si>
    <t>CLUSTER/POOL table in SAP HCM (I): change into ORDER BY</t>
  </si>
  <si>
    <t>CLUSTER/POOL table in SAP HCM (II): change into ORDER BY</t>
  </si>
  <si>
    <t>CLUSTER/POOL table in SAP HCM (IV): change into ORDER BY</t>
  </si>
  <si>
    <t>CLUSTER/POOL table in SAP HCM (V): change into ORDER BY</t>
  </si>
  <si>
    <t>CLUSTER/POOL table in SAP HCM (VII): change into ORDER BY</t>
  </si>
  <si>
    <t>CLUSTER/POOL table in SAP HCM (VIII): change into ORDER BY</t>
  </si>
  <si>
    <t>Runtime error MESSAGE_TYPE_X during payroll area change (II)</t>
  </si>
  <si>
    <t>PZ03/PZ13: Incorrect infotype record changed</t>
  </si>
  <si>
    <t>Infotypes 0113 / 0784: Error message RP213</t>
  </si>
  <si>
    <t>Infotype 0001/0231: Infotype record is not changed</t>
  </si>
  <si>
    <t>Dump while executing pre-processing program of Archiving Obj</t>
  </si>
  <si>
    <t>PM01: Technical change for SAP internal (2)</t>
  </si>
  <si>
    <t>Warning message PG 214 is issued when end date is changed</t>
  </si>
  <si>
    <t>Function module HR_CHECK_INFOTYPE_SUBTYPE for garnishment</t>
  </si>
  <si>
    <t>Infotype 0003: error message 54590 is not triggered</t>
  </si>
  <si>
    <t>TA PA20/PA30: Green checkmark for infotype 0024</t>
  </si>
  <si>
    <t>PE03: F1 help triggers termination message RP 016</t>
  </si>
  <si>
    <t>PCL4 - New Infotype Framework: HR master data key is stored</t>
  </si>
  <si>
    <t>RCCSEC_MIGRATION_070: Decryption not possible</t>
  </si>
  <si>
    <t>PBA7: Only one subtype transferred for applicant data</t>
  </si>
  <si>
    <t>PA71: Proceesing not possible due to message PG 450</t>
  </si>
  <si>
    <t>PA30/batch input: Infotype record cannot be delimited</t>
  </si>
  <si>
    <t>IT0105: Warning message RP 900 for empty infotype fields</t>
  </si>
  <si>
    <t>IT0000: Application log terminates with error BL 207</t>
  </si>
  <si>
    <t>Infotype 0552: system triggers error message PG199</t>
  </si>
  <si>
    <t>PA48: Duplicate personnel numbers may be used</t>
  </si>
  <si>
    <t>Infotype 0001: records A008/B008 in HRP1001 are merged</t>
  </si>
  <si>
    <t>IT0001: Search help for Job key contains expired data</t>
  </si>
  <si>
    <t>BADI HR_CE_PERSONID_EXT is not called from new framework</t>
  </si>
  <si>
    <t>HRPAD00_ENTRY_LEAVE: Incorrect entry date/leaving date</t>
  </si>
  <si>
    <t>PA40: "Gender" field not hidden in SAPMP5X0_CE</t>
  </si>
  <si>
    <t>Check in view V_T591A causes error in view cluster VC_T506A</t>
  </si>
  <si>
    <t>IF_HRPA_PLAIN_INFOTYPE_ACCESS dump ASSIGN_REFERENCE_EXPECTED</t>
  </si>
  <si>
    <t>PA48: Middle name cannot be transferred</t>
  </si>
  <si>
    <t>RPUFIXDS: only one COMMIT WORK is performed</t>
  </si>
  <si>
    <t>Input help for payee keys displays old data</t>
  </si>
  <si>
    <t>PA40: Delimitation date not preassigned for leaving action</t>
  </si>
  <si>
    <t>PA40: Not possible to scroll back within the action</t>
  </si>
  <si>
    <t>Additional Actions: 'Reason for Action' cannot be changed</t>
  </si>
  <si>
    <t>Several records of the infotype 0001 cannot be deleted</t>
  </si>
  <si>
    <t>IT0001: Owner connection (A/B008) not delimited correctly</t>
  </si>
  <si>
    <t>Short Dump MESSAGE_TYPE_UNKNOWN in SAPLRPAQ_ADD_FIELDS</t>
  </si>
  <si>
    <t>Infotype 0028: Last Examination field is not defaulted</t>
  </si>
  <si>
    <t>Changes in ALE Segments/IDocs for AR, BR, CL, IT, PT, VE, MX</t>
  </si>
  <si>
    <t>PA41: Infotype 0302 ('Additional Actions') is not updated</t>
  </si>
  <si>
    <t>IBAN in Overview screen / SWIFT code in detail screen</t>
  </si>
  <si>
    <t>IT0001: Feature JUPER not taken into account</t>
  </si>
  <si>
    <t>RHINTE00: Batch input session created again w/ same data</t>
  </si>
  <si>
    <t>IT0008: Wage type amounts on overview screen incorrect</t>
  </si>
  <si>
    <t>RPUDELPP: Fehlermeldung BL 201 tritt beim Löschen auf</t>
  </si>
  <si>
    <t>HCMDP: Dump OBJECTS_OBJREF_NOT_ASSIGNED (Deletion program)</t>
  </si>
  <si>
    <t>HCMDP: Change documents written during destruction of data</t>
  </si>
  <si>
    <t>Cost distribution: "Insert Line" not possible</t>
  </si>
  <si>
    <t>PA-PD-QR</t>
  </si>
  <si>
    <t>Qualif./Requirements</t>
  </si>
  <si>
    <t>Wrong language usage for HR_QUALI Archiving Object</t>
  </si>
  <si>
    <t>BW: 0HR_PA_PD_1 returns incorrect qualification group</t>
  </si>
  <si>
    <t>Pensionskasse Universalauswertung: Kein Sofortdruck</t>
  </si>
  <si>
    <t>Rounding error in calculation of financing requirement</t>
  </si>
  <si>
    <t>Rundungsfehler bei Berechnung des Finanzierungsbedarfs II</t>
  </si>
  <si>
    <t>Diverse AD-HOC-Korrekturen</t>
  </si>
  <si>
    <t>ADTKEY: Persönliche Wertehilfe funktioniert nicht korrekt</t>
  </si>
  <si>
    <t>ADT: Erster Eintrag in Werteliste ist nicht korrekt</t>
  </si>
  <si>
    <t>PA-RC-AA</t>
  </si>
  <si>
    <t>Applicant Admin.</t>
  </si>
  <si>
    <t>Vacancy assign Priorities field not long enough for display</t>
  </si>
  <si>
    <t>PE-LSO-LPO</t>
  </si>
  <si>
    <t>Learning Portal</t>
  </si>
  <si>
    <t>Learning Portal: Incorrect costs shown in Training History.</t>
  </si>
  <si>
    <t>Prebookings per Participant: Incorrect display of Org Unit.</t>
  </si>
  <si>
    <t>V3S: Using operation PPINC in time evaluation</t>
  </si>
  <si>
    <t>RPUWSH00: Unjustified error message for missing infotype</t>
  </si>
  <si>
    <t>V3S: Missing previous day assignment for night shift</t>
  </si>
  <si>
    <t>PT60: Deactivating program options for breakpoints</t>
  </si>
  <si>
    <t>PT-EV-MP</t>
  </si>
  <si>
    <t>Time Manag. Pool</t>
  </si>
  <si>
    <t>RPTERR01 (PT40): Jump to time evaluation</t>
  </si>
  <si>
    <t>Missing REFRESH parameter calling BAPI_PTIMEOVERVIEW_GET</t>
  </si>
  <si>
    <t>Interface Note: Additional Fields for IT0080</t>
  </si>
  <si>
    <t>PT40: Error handling terminates with internal error</t>
  </si>
  <si>
    <t>Technical enhancement for FM HR_CHECK_CLUSTERB2_ARCHIVED</t>
  </si>
  <si>
    <t>New Infotype for Absence Quota Group</t>
  </si>
  <si>
    <t>Interface Note: New Infotype for Absence Quota Group</t>
  </si>
  <si>
    <t>PA61 list entry: Records "disappear" during copying</t>
  </si>
  <si>
    <t>PA61: Error message P2 025 when you enter IT 2012</t>
  </si>
  <si>
    <t>PA61 list entry: Error when you copy lines</t>
  </si>
  <si>
    <t>Fumo HR_GET_QUOTA_DEDUCTION: Buffer returns incorrect data</t>
  </si>
  <si>
    <t>PT: Prerequisites for functionality 'Islamic Calendar' (II)</t>
  </si>
  <si>
    <t>HRTIM_MAT: Internal check for dependent absences</t>
  </si>
  <si>
    <t>PA30: Unlocking absences with cost assignment does not work</t>
  </si>
  <si>
    <t>PA61: Info type logging when delimiting</t>
  </si>
  <si>
    <t>PA30: Un-/locking IT2001 and IT2002 does not work</t>
  </si>
  <si>
    <t>HRTIM_ABS: Short dump CX_HRPT_BLP_VIOLATED_CONDITION</t>
  </si>
  <si>
    <t>Interface Note: PT50 Customize Selection Intervals</t>
  </si>
  <si>
    <t>Customizable Selection Intervals Available for PT50</t>
  </si>
  <si>
    <t>PTQUODED: Performance issue when accessing database table</t>
  </si>
  <si>
    <t>PT-RC-TE</t>
  </si>
  <si>
    <t>Personnel Time Event</t>
  </si>
  <si>
    <t>PA61: Entering the time '00:00:00</t>
  </si>
  <si>
    <t>PTMW: Short dump with termination MESSAGE_TYPE_X</t>
  </si>
  <si>
    <t>ESS: Performance problems when creating requests</t>
  </si>
  <si>
    <t>PP61: Manual break schedule deleted after changing shift</t>
  </si>
  <si>
    <t>MC W set for call of time statement list or projection</t>
  </si>
  <si>
    <t>HCM - Time Management Declustering B2 Version Handling</t>
  </si>
  <si>
    <t>Interface Note: Enhanced Search for WSR in IT0007</t>
  </si>
  <si>
    <t>[AR] Missing header in "Totals" section in HARLIBR0 report</t>
  </si>
  <si>
    <t>[AR] Incorrect /315 wage type generation with rehire</t>
  </si>
  <si>
    <t>[AR] Social Security Withholding wrong in AJUS termination</t>
  </si>
  <si>
    <t>[AR]Documentation for Decree 2191/2012</t>
  </si>
  <si>
    <t>[AR] HARUTAX0 report with authorization check missing</t>
  </si>
  <si>
    <t>RPCBETA1: Fehler bei Rollungen bei Kleinbetriebsregelung</t>
  </si>
  <si>
    <t>RPCKSMA1, RPCKSJA1: Kleinunternehmerregelung abschalten</t>
  </si>
  <si>
    <t>RPUELDA0 bricht wegen Unicode Zeichen ab</t>
  </si>
  <si>
    <t>Erhöhter Pensionistenabsetzbetrag fehlerhaft berücksichtigt</t>
  </si>
  <si>
    <t>rpcalca0: LC Einschleifung erh. Pensionistenabsetzbetrag</t>
  </si>
  <si>
    <t>RPCKTOA0 - Form set_last_entry_nation/_customer</t>
  </si>
  <si>
    <t>rpcalca0: ASTES ergänzt für §67(3)-Versteuerung</t>
  </si>
  <si>
    <t>RPTNSHA0 falsche Zählung Nachtschicht wenn Abwes. Folgetag</t>
  </si>
  <si>
    <t>PCALZ: T5A1O ist nicht durchgehend gesperrt</t>
  </si>
  <si>
    <t>Pendlerpauschale (2013)</t>
  </si>
  <si>
    <t>LC: Keine E-Card-Gebühr für Familienangehörige</t>
  </si>
  <si>
    <t>UEKV: Erweiterung der Lösung für den öffentlichen Dienst</t>
  </si>
  <si>
    <t>WPBP split mid period causing incorrect superable earnings</t>
  </si>
  <si>
    <t>Legal Change 2013 Super Guarantee Changes: Customizing</t>
  </si>
  <si>
    <t>Voluntary Super. incorrectly calculated when fixed amount</t>
  </si>
  <si>
    <t>Missing tax override for Wagetypes /477, /478, /479 and /47A</t>
  </si>
  <si>
    <t>Incorrect tax in reversal period due to extra tax</t>
  </si>
  <si>
    <t>Non-CE /TTP is not created in retro termination</t>
  </si>
  <si>
    <t>Payment Summary Date Override</t>
  </si>
  <si>
    <t>Error in payroll for employees with non-numeric tax scale</t>
  </si>
  <si>
    <t>Payment Summary overrides for gross are ignored</t>
  </si>
  <si>
    <t>Infotype 850/626 overview screen does not display subtype</t>
  </si>
  <si>
    <t>LSL payout incorrectly calculated for splits</t>
  </si>
  <si>
    <t>Corrections to Payment Summary Date Override</t>
  </si>
  <si>
    <t>Deduction listing report (RPLDEDQ0) dumps on execution</t>
  </si>
  <si>
    <t>Payroll Australia</t>
  </si>
  <si>
    <t>Issues with Leave Provision for concurrent employee</t>
  </si>
  <si>
    <t>Leave loading sorting for multiple leave records is wrong</t>
  </si>
  <si>
    <t>Termination organizer Public Sector &amp; NON-CE Private sector</t>
  </si>
  <si>
    <t>Termination Workbench Wagetypes not saved in Infotype 0567</t>
  </si>
  <si>
    <t>RPTGENB0: Error with different "Illness description" (UMSKD)</t>
  </si>
  <si>
    <t>DmfA: Occupation Line Dates Intergration Allowance</t>
  </si>
  <si>
    <t>Social Risk: Integration of process UN05 with IT3331</t>
  </si>
  <si>
    <t>Checktool to validate professional tax scales</t>
  </si>
  <si>
    <t>Work Bonus - Addendum to notes 1811679 &amp; 1704197</t>
  </si>
  <si>
    <t>SOCIAL BALANCE: Employee consider active in 2 employers</t>
  </si>
  <si>
    <t>Error messages of BAdI CHECK_FICHE_GENERATION not displayed</t>
  </si>
  <si>
    <t>Certificate 281.25 - Payroll - General Availability</t>
  </si>
  <si>
    <t>BELCOTAX: Fiche 281.25 corrections I</t>
  </si>
  <si>
    <t>DmfA/DmfAPPL 2013-Q1 - Tables T5F99F0/ T5BVJ not correct</t>
  </si>
  <si>
    <t>Raising of warning message (5V)600 in BSV00 misleading</t>
  </si>
  <si>
    <t>SOCIAL BALANCE: Entry and Leave if change of employer</t>
  </si>
  <si>
    <t>SOCIAL BALANCE: Incorrect read of data from SVEVL</t>
  </si>
  <si>
    <t>Dimona - Prep. and Generation Report - Clearing Buffers</t>
  </si>
  <si>
    <t>Dimona - Preparation Report - Update Leaving Date becomes IN</t>
  </si>
  <si>
    <t>DmfA: Elderly employees 3102 (2013Q1)</t>
  </si>
  <si>
    <t>DmfA 2013Q1 - Youngsters deduction code 3410, 3411, 3412</t>
  </si>
  <si>
    <t>Complementary Indemnity Payments - Tax basis wrong</t>
  </si>
  <si>
    <t>BELCOTAX: XML rejected because of zone 2.016 equal to 0000</t>
  </si>
  <si>
    <t>Company Car - Reference CO2 emission - 2013</t>
  </si>
  <si>
    <t>Legal Change: ACTIVA Allowance - 2012-Q4</t>
  </si>
  <si>
    <t>DmfA/DmfAPPL - Legal Changes 2013 Q1 - Addendum I</t>
  </si>
  <si>
    <t>Unit test: Read Payroll Utility Class</t>
  </si>
  <si>
    <t>CL_HR_BR_READ_PAYROLL: Memory issue IMPORT_DATA internal tab</t>
  </si>
  <si>
    <t>SREP: The HBRTMIF0 report do not reimport AFD files</t>
  </si>
  <si>
    <t>HBRRTER3: Field 67 filled with no period information</t>
  </si>
  <si>
    <t>HBRDARF0: Legal change 2013</t>
  </si>
  <si>
    <t>IT221 : Correction to note 1526284</t>
  </si>
  <si>
    <t>IT001: Fields not showing in V_T588M</t>
  </si>
  <si>
    <t>YE12: HR_CA download to appserver incorrect checking</t>
  </si>
  <si>
    <t>ROE: change to ROE printing language settings in XML</t>
  </si>
  <si>
    <t>RPCAUDK0 report doubling values for out of sequence runs</t>
  </si>
  <si>
    <t>ROE: Change to printing language of ROE XML</t>
  </si>
  <si>
    <t>3PR: Error in Remittance Posting run</t>
  </si>
  <si>
    <t>LAW2005: Obligation to include awards as of 2013</t>
  </si>
  <si>
    <t>CE CH: techn. Auslieferung ohne Änderung der Funktionalität</t>
  </si>
  <si>
    <t>HR-CH: LSE: Error for apprentices and training code 9</t>
  </si>
  <si>
    <t>HR-CH: Wage Structure Survey (RPLBGAC3), rounding problem</t>
  </si>
  <si>
    <t>[CL] Unit Test for Function Group</t>
  </si>
  <si>
    <t>[CL] Income Certificate - New format for Form 1887</t>
  </si>
  <si>
    <t>[CL] Wrong garnishment differences at off-cycles</t>
  </si>
  <si>
    <t>[CL] Wrong garnishment differences at retrocalculation</t>
  </si>
  <si>
    <t>[CL]Voluntary severance considers only termination type EXIV</t>
  </si>
  <si>
    <t>[CL] Changes in overtime wage types generation</t>
  </si>
  <si>
    <t>[CL] Incorrect WTs customizing for Income Certificate report</t>
  </si>
  <si>
    <t>Correction of Report HCNCTXD0 Retro Difference</t>
  </si>
  <si>
    <t>Correction of Tax Reduction for Tax Amount Less Than 1 Yuan</t>
  </si>
  <si>
    <t>Incorrect Output of Report HCNCAWS0</t>
  </si>
  <si>
    <t>Syntax error in report RPCDTSD0</t>
  </si>
  <si>
    <t>Enhancement of payroll table BT for SEPA direct debit</t>
  </si>
  <si>
    <t>B2A: Changes and new features (1/2013)</t>
  </si>
  <si>
    <t>ZfA/RBM: Improvement of inbound processing</t>
  </si>
  <si>
    <t>SI: Composite SAP Note for data exchange 5/2013</t>
  </si>
  <si>
    <t>SKV: Termination when executing report RPCBKVD0</t>
  </si>
  <si>
    <t>DBAU BLST: Runtime error if wage type /001 does not exist</t>
  </si>
  <si>
    <t>Construction ind. Parameter V_5DBK_B-SK 96 must be renamed</t>
  </si>
  <si>
    <t>DEUEV(UVMG): Minimum remuneration</t>
  </si>
  <si>
    <t>DEUEV: Corrections XI</t>
  </si>
  <si>
    <t>ELStAM: Corrections after year-end legal change 14/2013</t>
  </si>
  <si>
    <t>ELStAM: Distributed reporting - object delivery</t>
  </si>
  <si>
    <t>ELStAM: Corrections after year-end legal change 16/2013</t>
  </si>
  <si>
    <t>EEL: Corrections and enhancements (05/2013)</t>
  </si>
  <si>
    <t>Statement of Earnings Regulation (EBeschV) - enhancements</t>
  </si>
  <si>
    <t>ER suppl benefits in calc of suppl to maternity pay/sick pay</t>
  </si>
  <si>
    <t>BVV: Reversal when the tariff number changes</t>
  </si>
  <si>
    <t>BVV: Taking over of employer contributions by employee (N)</t>
  </si>
  <si>
    <t>Contributions with variable remuneration elements</t>
  </si>
  <si>
    <t>SI reporting: Revision of the report RPUSVMD0_FLAG</t>
  </si>
  <si>
    <t>SRHC: Terminology change to "seasonal reduced hours comp."</t>
  </si>
  <si>
    <t>Probl when maintaining "Activity with Higher Rate of Pay" IT</t>
  </si>
  <si>
    <t>TV FlexAZ: Tax exemption according to sect. 3b EStG</t>
  </si>
  <si>
    <t>Applicant management: Error in indirect val. w/ module ORTSZ</t>
  </si>
  <si>
    <t>SR: Dissaving wage types not coded for garnishment</t>
  </si>
  <si>
    <t>Coll. CA PS/coll. CA PS states: Overtime w/ guarantee amount</t>
  </si>
  <si>
    <t>TV FlexAZ/TV Bund: 2 x dynamic mod. of static value credit</t>
  </si>
  <si>
    <t>Account assignment error for mid-month service type change</t>
  </si>
  <si>
    <t>Pay scale level increase with DEPBS_NEU: Start of Level</t>
  </si>
  <si>
    <t>Pay scale level incr. w/ DEPBS_NEU: Identify similar levels</t>
  </si>
  <si>
    <t>Public Services regulation changes for Rhineland-Palatinate</t>
  </si>
  <si>
    <t>Administrative changes</t>
  </si>
  <si>
    <t>Capital amount sect. 58: Missing header in statement</t>
  </si>
  <si>
    <t>State treaty on the sharing of pension costs (22)</t>
  </si>
  <si>
    <t>No success message for data release</t>
  </si>
  <si>
    <t>Corrections for statements 2/2013</t>
  </si>
  <si>
    <t>TC: Incorrect Payment mode for more than one DAT segment</t>
  </si>
  <si>
    <t>Certific@2: ERE changes after creation of 3231 infotype</t>
  </si>
  <si>
    <t>CP: Contracts update of PE170 and PE172 models</t>
  </si>
  <si>
    <t>CALC: Contributions for partially-retired pensioners</t>
  </si>
  <si>
    <t>GARNT: total deducted disregarded after off-cycle payroll</t>
  </si>
  <si>
    <t>Certific@2: Missing &lt;Datos_Cotizacion&gt; for ERE</t>
  </si>
  <si>
    <t>CALC: Overtime for part-time contracts customer situation</t>
  </si>
  <si>
    <t>CONTRAT@: unable to configure fields via V_T588M (IT0480)</t>
  </si>
  <si>
    <t>RED 02/2013: Bonifications for younger employees</t>
  </si>
  <si>
    <t>CP: RDL 04/2013 - New contract PE-238</t>
  </si>
  <si>
    <t>190: Incorrect arrears treatment after SAP note 1817061</t>
  </si>
  <si>
    <t>AFI: Improvements in log and optimizations 2</t>
  </si>
  <si>
    <t>BONIFICACIONES: Wrong unemployment type for 0118 and 3220</t>
  </si>
  <si>
    <t>TC: Doubled number of hours in additional settlement III</t>
  </si>
  <si>
    <t>190: Short dump due to timeout</t>
  </si>
  <si>
    <t>RPCMSVE0 split: EPRO0 and EPRO1</t>
  </si>
  <si>
    <t>TC: VND bases discounted twice from contribution bases</t>
  </si>
  <si>
    <t>RPCMSVE0 split: EAUT0 and ERPD</t>
  </si>
  <si>
    <t>UTIL: New function module HR_ES_DISPLAY_XML to XML display</t>
  </si>
  <si>
    <t>CALC: Wrong indemnity payment after rehiring</t>
  </si>
  <si>
    <t>OFFCYCLE: Loans wrongly discounted after off-cylce payroll</t>
  </si>
  <si>
    <t>CALC: Corrections of SAP Note 1763461 mistakenly undone</t>
  </si>
  <si>
    <t>RPCMSVE0 split: ECPD, ELRD and EHEXT</t>
  </si>
  <si>
    <t>Tax calculation reset is not done correctly</t>
  </si>
  <si>
    <t>HRFI: phone numbers unification, reports corrections</t>
  </si>
  <si>
    <t>EDT: contributions retro-amounts wrong when using RECOT</t>
  </si>
  <si>
    <t>N4DS V01X07 S40.G01.00 not generated if SIRET change</t>
  </si>
  <si>
    <t>Progressive regularization error between SV splits</t>
  </si>
  <si>
    <t>IT0713 structure is not extendable.</t>
  </si>
  <si>
    <t>CICE: New wage types, Contribution and standard solution</t>
  </si>
  <si>
    <t>AED: support of declaration code "61" (cancellation)</t>
  </si>
  <si>
    <t>RPUTIRF0: Lunch Vouchers to be sent to employee address</t>
  </si>
  <si>
    <t>IT3319: fix following the note 1825252</t>
  </si>
  <si>
    <t>AED: fix for statement viewer (too many lines involved)</t>
  </si>
  <si>
    <t>IT0424: fix for DYNP_TOO_MANY_RADIO... runtime error</t>
  </si>
  <si>
    <t>Closed exercices interests evaluated for whole freeze period</t>
  </si>
  <si>
    <t>Profit Sharing: Execution date instead of balance date</t>
  </si>
  <si>
    <t>FCRE: missing technical PERCO wage types and wrong labels</t>
  </si>
  <si>
    <t>Fiscal FCRE: no input via WT for Social Security ceiling</t>
  </si>
  <si>
    <t>RPLASMF3: incorrect absence reason</t>
  </si>
  <si>
    <t>N4DS V01X07: S56.G01.00 - BadI not using correct type</t>
  </si>
  <si>
    <t>N4DS V01X07: S40.G40.10 not generated</t>
  </si>
  <si>
    <t>RPLDUCF0 EDI empty declaration not generated</t>
  </si>
  <si>
    <t>Improvement of ABAP source code quality</t>
  </si>
  <si>
    <t>New IJSS minimum amounts in T511K (April 2013)</t>
  </si>
  <si>
    <t>RPLDATF2: wrong work time format for accident day</t>
  </si>
  <si>
    <t>AED: CRA KO mistakenly interpreted as CRA OK</t>
  </si>
  <si>
    <t>Decree 2012-1061 18/09/12: New rules parental leave</t>
  </si>
  <si>
    <t>Retained seniority of IT576 not evaluated</t>
  </si>
  <si>
    <t>P45 Leaver Report-Tax paid more than taxable pay</t>
  </si>
  <si>
    <t>RTI FPS issue with NI values and ALV display of old PAY ID</t>
  </si>
  <si>
    <t>PY-GB: PAE: Transitional Period applied incorrectly</t>
  </si>
  <si>
    <t>RTI: Incorrect leaving date</t>
  </si>
  <si>
    <t>PY-GB: RTI User Exit for RTI Payroll</t>
  </si>
  <si>
    <t>PY-GB: PAE Late Starters II</t>
  </si>
  <si>
    <t>Issue with address in EAS report</t>
  </si>
  <si>
    <t>PY-GB: RTI Payroll log issue</t>
  </si>
  <si>
    <t>PY-GB: PAE: EJHs not postponed if TP active (feature GBAE5)</t>
  </si>
  <si>
    <t>RTI: RTINI incorrect when primary leaver before paydt</t>
  </si>
  <si>
    <t>PY-GB: PAE OI/OO take the percentages from prev. IT0071 rec.</t>
  </si>
  <si>
    <t>PY-GB: PAE Opt-In notice was processed with wrong date</t>
  </si>
  <si>
    <t>RTI: RTINI TP values reported as 0</t>
  </si>
  <si>
    <t>PY-GB: RTI Payroll BADI enhancement</t>
  </si>
  <si>
    <t>RTI: Leaving date not populated for a leaver and /Z10 issue</t>
  </si>
  <si>
    <t>PY-GB:PAE: "When Paid" Qualifying Earnings/Pensionable Pay</t>
  </si>
  <si>
    <t>RTI: Incorrect EOY adjustments BF to current tax year</t>
  </si>
  <si>
    <t>PY-GB - FPS negative Taxable Benefit &amp; IT065 record creation</t>
  </si>
  <si>
    <t>PY-GB: PAE: Bugfixes in Mass Date Sent Upload</t>
  </si>
  <si>
    <t>PY-GB: PAE: Mass Opt Out: New option to lock records</t>
  </si>
  <si>
    <t>PY-GB: RTI Payroll BADI enhancement II.</t>
  </si>
  <si>
    <t>PY-GB: PAE: Post/Pre payroll reports: New test mode opt</t>
  </si>
  <si>
    <t>RTI: Net deductions doubled - multiple bank accounts - /C01</t>
  </si>
  <si>
    <t>RTI: Change of payroll area, EE reported starter incorrectly</t>
  </si>
  <si>
    <t>PY-GB: PAE: Legal Change for April 2013 (UEL Rounding)</t>
  </si>
  <si>
    <t>PY-GB: checkman errors</t>
  </si>
  <si>
    <t>Incorrect tax code for leavers with payment in new tax year</t>
  </si>
  <si>
    <t>It0065 not updating tax basis from incoming P6</t>
  </si>
  <si>
    <t>RTI: FPS XML with period end date in next tax year</t>
  </si>
  <si>
    <t>Address Format for P45 II</t>
  </si>
  <si>
    <t>FPS issue with PAYID and Validation</t>
  </si>
  <si>
    <t>Directory traversal in PY-HK</t>
  </si>
  <si>
    <t>PY-HK: IR56B-Font size of highlighted characters with ****</t>
  </si>
  <si>
    <t>WT/150 cross fiscal year retro case error</t>
  </si>
  <si>
    <t>HRIE: TCK(SP): SAPKGPHBC6 -&gt; SLIN_CALFB -&gt; HIECP35L</t>
  </si>
  <si>
    <t>P35 XML:Taxable pay and USCable pay are getting doubled</t>
  </si>
  <si>
    <t>PY-IN: Dual Language Handling in PA Infotypes</t>
  </si>
  <si>
    <t>IT0582: Issue maintaining Leave Travel Allowance(LTA)</t>
  </si>
  <si>
    <t>HINCESI0 Form 6: Date of App/ Leaving Service Incorrect</t>
  </si>
  <si>
    <t>PY-IN: Budget Changes 2013 - Surcharge Marginal Relief</t>
  </si>
  <si>
    <t>Loan Interest amount is not getting calculated correctly</t>
  </si>
  <si>
    <t>Incorrect Net Pay in case of EE Eligible for Tax Credit</t>
  </si>
  <si>
    <t>India PS - checkman error resolution</t>
  </si>
  <si>
    <t>HR-IT: ICOMP Infotype 0008 Indirect Evaluation issue</t>
  </si>
  <si>
    <t>HR-IT: Regional Taxation: T5ITR2 update</t>
  </si>
  <si>
    <t>INAIL sections not handled in F24 report</t>
  </si>
  <si>
    <t>Wrong cumulated results for INPS Table in PC_PAYRESULT</t>
  </si>
  <si>
    <t>Rel.604: View Società (V_T5IT01) dump</t>
  </si>
  <si>
    <t>Issue during birthplace/city validation.</t>
  </si>
  <si>
    <t>F24: Section INPS codes amounts not rounded</t>
  </si>
  <si>
    <t>UniEmens 2.2 Correction Package II</t>
  </si>
  <si>
    <t>Modello 770-2013</t>
  </si>
  <si>
    <t>CUD 2013 Extraordinary Company Transfer</t>
  </si>
  <si>
    <t>UniEmens - New Calculation of element &lt;NumDenIndiv&gt;</t>
  </si>
  <si>
    <t>Report RPCRIEI0 Synchronization issue</t>
  </si>
  <si>
    <t>HR-IT: wrong behavior when changing city (monic) in IT0006</t>
  </si>
  <si>
    <t>Payroll function IACCA doesn't consider condition in T5ITQ3</t>
  </si>
  <si>
    <t>Contributo Licenziamento - Feature not considering IT0016</t>
  </si>
  <si>
    <t>CUD2013: Deduction days (Box 3) filled with wrong value</t>
  </si>
  <si>
    <t>CUD 2013 Rounding issue with BOX 1 and BOX 5</t>
  </si>
  <si>
    <t>CUD 2013 - Correction Package III</t>
  </si>
  <si>
    <t>Operations JMPER &amp; VALBR Become Obsolete</t>
  </si>
  <si>
    <t>HJPUBT_BOTAX: Wrong Personnel Area Text display</t>
  </si>
  <si>
    <t>RPCNRPJ0: PDF Form correction</t>
  </si>
  <si>
    <t>RPCELVJ0&amp;RPCEWCJ0: BADI Enhancement</t>
  </si>
  <si>
    <t>Enhancement of RPCLIAJ0 and RPCLIAJ1</t>
  </si>
  <si>
    <t>Correction for function 'HR_GET_TIME_BETWEEN_DATES'</t>
  </si>
  <si>
    <t>Revision of Separation SAPScript Form (HR_KR_SEPR13)</t>
  </si>
  <si>
    <t>WCI Premium Calculation:Supplemental Rate and Basic Rate</t>
  </si>
  <si>
    <t>Correction of Tax Calculation Logic for Mid-Separation</t>
  </si>
  <si>
    <t>[MX] Payroll Log Enhancements - April 2013</t>
  </si>
  <si>
    <t>[MX] Wrong Economic Zone and Region on HMXCDAN0</t>
  </si>
  <si>
    <t>[MX] Wrong Christmas bonus deduction in bissextile year</t>
  </si>
  <si>
    <t>PY-MY: EA form and Borang E Headcount issue incase of Rehire</t>
  </si>
  <si>
    <t>PY-MY: Legal Change - Enhancement to Note 1812053</t>
  </si>
  <si>
    <t>PY-MY: Incorrect value of State in Borang E form</t>
  </si>
  <si>
    <t>PY-MY: Zakat issues in Semi-Monthly Payroll</t>
  </si>
  <si>
    <t>PY-MY: Customer Product flexibility in MayBank File formats</t>
  </si>
  <si>
    <t>PY-MY: Correction to note 1842788</t>
  </si>
  <si>
    <t>PY-MY: Socso Recoveries Form totals issue</t>
  </si>
  <si>
    <t>PY-MY: Error in CP21 form for employee terminated on 1st Jan</t>
  </si>
  <si>
    <t>PY-MY: Page generation issue in Tax report CP39</t>
  </si>
  <si>
    <t>RPULAEN0: Update on Checks for IT0059</t>
  </si>
  <si>
    <t>YELC 2012/2013: Error if ZVW EE Contrib &amp; ER Levy same time</t>
  </si>
  <si>
    <t>WCR: Retrocalculation for Employer not recognized</t>
  </si>
  <si>
    <t>RPCALCN0: Payment Reductions and pro Rata</t>
  </si>
  <si>
    <t>RPCALCN0: User Exit for Database Update</t>
  </si>
  <si>
    <t>NSV01: Update in Check for Zvw Code</t>
  </si>
  <si>
    <t>Incorrect Benefit Value Percentage Company Car as of 2015</t>
  </si>
  <si>
    <t>HRNO: Reimbursement: changes for further functionality</t>
  </si>
  <si>
    <t>HRNO: Authorization problem PC00_M20_LTO_LATS</t>
  </si>
  <si>
    <t>ACF &amp; eTaxCard - documentation</t>
  </si>
  <si>
    <t>HRNO: RPURMBV0: Two records in IT0002</t>
  </si>
  <si>
    <t>HRNO:Amounts &gt;1.000.000 not correctly diplayed in ATS</t>
  </si>
  <si>
    <t>RPCINDV0 - correction for default tax card entry</t>
  </si>
  <si>
    <t>HRNO: Self-declared illness warnings report - updated</t>
  </si>
  <si>
    <t>HRNO: Field SONE in view V_T5V2A is inaccesible</t>
  </si>
  <si>
    <t>RPCRMBV0_RECON - read payroll results</t>
  </si>
  <si>
    <t>eTaxCard - correction of issues - April 2013</t>
  </si>
  <si>
    <t>HRNO: SPK - correction of issues - April 2013</t>
  </si>
  <si>
    <t>eTaxCard - initial IT0173 structure enhancement</t>
  </si>
  <si>
    <t>HRNO:Update of NAV office from postal code in IT0006   [2/2]</t>
  </si>
  <si>
    <t>The Text of IT 0021 Dependent Field is Rendered Dynamically</t>
  </si>
  <si>
    <t>PY-NZ: PRINT function cannot output NZ specific cluster EMS</t>
  </si>
  <si>
    <t>PY-NZ : Infotype 310 validations</t>
  </si>
  <si>
    <t>Button 'Save Layout' display is not coming in HNZULVR0</t>
  </si>
  <si>
    <t>Incorrect tax rate used for extra pay for STC tax code</t>
  </si>
  <si>
    <t>PY-NZ: Cashup leaves are paid at incorrect rate</t>
  </si>
  <si>
    <t>Annual Income Declaration wrong wagetype selection for H3</t>
  </si>
  <si>
    <t>RPCAIDP0: Number of previous years being displayed wrongly</t>
  </si>
  <si>
    <t>RPTIME00/RPTQTA00: wrong quota generation for long absences</t>
  </si>
  <si>
    <t>RPCOVRP0 - updating method get_company_overtime of BAdI</t>
  </si>
  <si>
    <t>RPCWARP0: wrong remuneration amounts for statutory members</t>
  </si>
  <si>
    <t>RPCSSRP0: Corrections 2013</t>
  </si>
  <si>
    <t>RPCOVRP0 - New Text Elements Change</t>
  </si>
  <si>
    <t>Modelo 30: wrong legal person filtering behavior</t>
  </si>
  <si>
    <t>Single Report: wrong behavior in attachment E (strikes)</t>
  </si>
  <si>
    <t>New Report: Extraordinary Solidarity Contribution</t>
  </si>
  <si>
    <t>Monthly income declaration: corrections VI</t>
  </si>
  <si>
    <t>Single Report: Legal changes for version 2012</t>
  </si>
  <si>
    <t>Single Report: Corrections for version 2012 II</t>
  </si>
  <si>
    <t>Single Report: Attachment E correction for version 2012</t>
  </si>
  <si>
    <t>Single Report: General Corrections for 2012 III</t>
  </si>
  <si>
    <t>Single Report: General Corrections IV</t>
  </si>
  <si>
    <t>Social Balance: Legal changes for version 2012</t>
  </si>
  <si>
    <t>SIOE: New methods in Enhanc. Spot for changing employee data</t>
  </si>
  <si>
    <t>Annual Staff report - Missing search help for area/subarea</t>
  </si>
  <si>
    <t>PY-PT-PS: reduction of CA and VA - feature PRECV enhancement</t>
  </si>
  <si>
    <t>CGA report: Corrections I - 2013</t>
  </si>
  <si>
    <t>IT0899: wrongly consideration of organization code</t>
  </si>
  <si>
    <t>Social Balance: Wrong range validation for Board 17</t>
  </si>
  <si>
    <t>RPCSOCPT0PBS: Social Balance text corrections</t>
  </si>
  <si>
    <t>CGA report: wrong amounts reported with splits in WPBP</t>
  </si>
  <si>
    <t>Dummy Note</t>
  </si>
  <si>
    <t>Program Error for End of Service Function</t>
  </si>
  <si>
    <t>Sick Leave Remuneration Incorrect during Retroactive(Qatar)</t>
  </si>
  <si>
    <t>State of Qatar PS</t>
  </si>
  <si>
    <t>Overtime Enhancement for QA PBS</t>
  </si>
  <si>
    <t>New XML specificaton ver. 1.7 for XML register in FSSDP</t>
  </si>
  <si>
    <t>Child care benefits calculation in accordance with 81-FZ</t>
  </si>
  <si>
    <t>HR-RU: connection of frozen averages for continued absences</t>
  </si>
  <si>
    <t>Issues in Processing of IT 0293 Data and WT /890 Creation</t>
  </si>
  <si>
    <t>Short dump CALL_FUNCTION_CONFLICT_TYPE in HR_RU_PR_PERIODS</t>
  </si>
  <si>
    <t>Short title of organization is not displayed in DSV-3 XML</t>
  </si>
  <si>
    <t>SZV 6-4/ADV 6-5: Issues with layouts of form and XML</t>
  </si>
  <si>
    <t>SZV-6-4: cumulative updates 04.2013</t>
  </si>
  <si>
    <t>HRSE:Consider claim form last period for garnishment</t>
  </si>
  <si>
    <t>HRSE:RPTOVTS0 restored hours are incorrect</t>
  </si>
  <si>
    <t>HRSE: RPLABSS0 - Error for Part-time absences</t>
  </si>
  <si>
    <t>HRSE: Vacation Quota 45 has wrong value</t>
  </si>
  <si>
    <t>HRSE: Operation SEIF - Swedish specific IF</t>
  </si>
  <si>
    <t>HRSE: Vacation Quota 40 is wrongly calculated</t>
  </si>
  <si>
    <t>HRSE: RPCEDTS0 - Incorrect rate shown on Sweden Payslip</t>
  </si>
  <si>
    <t>Legal Change:IR8A/8S/8E Adobe PDF forms for YA 2013</t>
  </si>
  <si>
    <t>HR-SG: M&amp;P Package 2013</t>
  </si>
  <si>
    <t>Formula string for fixed allowance in NRS-XML output</t>
  </si>
  <si>
    <t>Bonus Declaration date showed incorrectly in form IR8A IR8E</t>
  </si>
  <si>
    <t>PY-TH:50BIS Double pages genration</t>
  </si>
  <si>
    <t>PY-TH: Incorrect header description on 50 BIS form</t>
  </si>
  <si>
    <t>PY-TH: Tax amount displays incorrectly in tax reports</t>
  </si>
  <si>
    <t>Tax Recalc. for Residency Less Than 183 days in TW in a Year</t>
  </si>
  <si>
    <t>HTWLCE00 Cannot Print Form When Executed in Background</t>
  </si>
  <si>
    <t>Income Limit Check Incorrect in TWSHE for 2nd NHI</t>
  </si>
  <si>
    <t>Seniority Calculation in Severance Payment Report (HTWLNPP0)</t>
  </si>
  <si>
    <t>Tax Exemption for Non-fix Salary Changes to 69,501 in 2013</t>
  </si>
  <si>
    <t>HTWLCE00: Display Family Member if NHIF = 0</t>
  </si>
  <si>
    <t>Rule TWSR Error</t>
  </si>
  <si>
    <t>Wage Type Reporter Shows Incorrect Info for Retro Period</t>
  </si>
  <si>
    <t>Correction of checkman issues</t>
  </si>
  <si>
    <t>Views for the tables BTXFORM, BTXTAX, BTXTAXT and BTXTAXC</t>
  </si>
  <si>
    <t>USCLM: Documentation - Overpayment wage type grouping</t>
  </si>
  <si>
    <t>TAX: Remittance Authority field blank for manual check.</t>
  </si>
  <si>
    <t>REC: Wrong Remittance Tax Authority in Reconciliation Report</t>
  </si>
  <si>
    <t>3PR: 3PR tables are updated even when there are no results</t>
  </si>
  <si>
    <t>3PR: Adjust in remittance tax authority engine</t>
  </si>
  <si>
    <t>TR: Incorrect amount when overflow occurs in FL XML</t>
  </si>
  <si>
    <t>TR: W-2 Magmedia RT total does not sum all RW records.</t>
  </si>
  <si>
    <t>TR: Form 941 PR - Issue in boxes 7 and 9</t>
  </si>
  <si>
    <t>TR: Incorrect name format in SUI Tennessee Magmedia</t>
  </si>
  <si>
    <t>TR: Incorrect Employer Account Number format in PA SUI CSV</t>
  </si>
  <si>
    <t>TR: Log Manager message when TFF is zero or negative</t>
  </si>
  <si>
    <t>TR: Issues downloading Monthly SUI IL with ALV disabled</t>
  </si>
  <si>
    <t>TR: W-2 Employee copy not generated</t>
  </si>
  <si>
    <t>TR: New Form 941 PR with additional Medicare data.</t>
  </si>
  <si>
    <t>TR: Incorrect out of balance message for Form 941 FED and PR</t>
  </si>
  <si>
    <t>TAX: PA LST lump-sum/prorated amount customizing</t>
  </si>
  <si>
    <t>TAX: SUI changes for Michigan, Minnesota, and Massachusetts</t>
  </si>
  <si>
    <t>[VE] Corrections and Enhancements for Payroll Venezuela</t>
  </si>
  <si>
    <t>[VE] Wrong seniority compensantion at termination</t>
  </si>
  <si>
    <t>[VE] Incorrect selection of periods relevant for Seniority</t>
  </si>
  <si>
    <t>[VE]Documentation:Termination calculation and TIUNA changes</t>
  </si>
  <si>
    <t>Pension Contrib. Calc. (P3213) always displays log</t>
  </si>
  <si>
    <t>Pool table in SAP HCM:guaranteed sort order after conversion</t>
  </si>
  <si>
    <t>Social Risk: Follow-up actions on employee level (Internat.)</t>
  </si>
  <si>
    <t>BADI Implementation Template for Islamic Calendar</t>
  </si>
  <si>
    <t>P0442: Warning for NL in Case of no Update for 60 Months</t>
  </si>
  <si>
    <t>PU01: Decoupling: Payroll Garnishment (Germany)</t>
  </si>
  <si>
    <t>Technical Note (internal only) - UTD,... international</t>
  </si>
  <si>
    <t>Wrong retro calculation when you do a repetition</t>
  </si>
  <si>
    <t>RPUCTP00: Display error for payment date from T549S</t>
  </si>
  <si>
    <t>Report RPUDELPN cannot delete CL2 cluster data</t>
  </si>
  <si>
    <t>Warning Message when you display remuneration statement</t>
  </si>
  <si>
    <t>Buffer is initialed when error finds at employees' payroll</t>
  </si>
  <si>
    <t>Cluster/pooled table in SAP HCM (IX): Change in ORDER BY</t>
  </si>
  <si>
    <t>Original off-cycle results are not found</t>
  </si>
  <si>
    <t>HCM Declustering Tools Phase II</t>
  </si>
  <si>
    <t>RPCALCx0 - with 'Display Log' and Remuneration Statement</t>
  </si>
  <si>
    <t>HCM Declustering Tools: Support of further payroll clusters</t>
  </si>
  <si>
    <t>GRSUP: Enablement for concurrent employement</t>
  </si>
  <si>
    <t>MPSD: PA03 doesn't work correctly</t>
  </si>
  <si>
    <t>CE: Kundennamensraum von T7CCE_PERS_WGTYP nicht gepflegt</t>
  </si>
  <si>
    <t>CE: PUT_LRT fehlt im Kontex</t>
  </si>
  <si>
    <t>Retro-calculation is wrongly triggered in simulation mode</t>
  </si>
  <si>
    <t>Pre-DME program RPCDTBx0/_CE creates duplicate payments</t>
  </si>
  <si>
    <t>Converted currency amount is different in BT and PRE-DME</t>
  </si>
  <si>
    <t>RPCDTAX0: IBAN is not displayed in log</t>
  </si>
  <si>
    <t>Pre-DME for collective transfers: ZBKON not filled in REGUH</t>
  </si>
  <si>
    <t>RPCIPE01: Error message No Substitute cost center maintained</t>
  </si>
  <si>
    <t>Posting tables entries get deleted when you repeat run</t>
  </si>
  <si>
    <t>RPCIPE00: Payroll simulation for off-cycle result</t>
  </si>
  <si>
    <t>No error, when you reverse posting that never get posted</t>
  </si>
  <si>
    <t>H99CWTR0: Access on table PCL2 redundant with Compare option</t>
  </si>
  <si>
    <t>PY-XX-HF</t>
  </si>
  <si>
    <t>HR Smart Forms</t>
  </si>
  <si>
    <t>HR Forms - Currency conversion not working for forms</t>
  </si>
  <si>
    <t>OTMx: Export IBAN in Outsourcing(additional fix for 1333429)</t>
  </si>
  <si>
    <t>Repetition run does not retro back to Bonus or Correction</t>
  </si>
  <si>
    <t>PUOCBA - entries from T52OCG with type F</t>
  </si>
  <si>
    <t>Offcycle payroll results in T558B &amp; T558C cannot be loaded</t>
  </si>
  <si>
    <t>Reverse the change in Note 1712175</t>
  </si>
  <si>
    <t>PUOC_xx: incorrect Rem Statement for reversed periods</t>
  </si>
  <si>
    <t>You get wrong average calculation using rolling month</t>
  </si>
  <si>
    <t>Performance issue with Payroll Functions RUAVE/AVERA</t>
  </si>
  <si>
    <t>Incorrect calculation of loan wages type</t>
  </si>
  <si>
    <t>Wrong documentation after applying the note 1691392</t>
  </si>
  <si>
    <t>Extending PRINT function to include EMS cluster table</t>
  </si>
  <si>
    <t>You get Runtime Errors CONNE_IMPORT_WRONG_STRUCTURE</t>
  </si>
  <si>
    <t>PY-GB: PAE Spool Request Error when displaying statistics</t>
  </si>
  <si>
    <t>B2A - Preparation for Country Enhancements II</t>
  </si>
  <si>
    <t>PY: Diff. Result for POOL/CLUSTER Tables after DB migration</t>
  </si>
  <si>
    <t>Errors in function group HR99S00_TIME</t>
  </si>
  <si>
    <t>HR Attributes: Error message displayed on VC_T799BATTRIB03C</t>
  </si>
  <si>
    <t>DAQ - Corrections for Q2-2013 synchronization SP</t>
  </si>
  <si>
    <t>Infotype 0713 structure is not extendable for customers</t>
  </si>
  <si>
    <t>DAQ Ext. Data API: Incorrect data generated</t>
  </si>
  <si>
    <t>HRPAL: Line breaks in spool request</t>
  </si>
  <si>
    <t>Hire and Fire function modules documentation</t>
  </si>
  <si>
    <t>RPUPAV00 support for Portugal (molga 19)</t>
  </si>
  <si>
    <t>HR-XX: DAQ Infotype Reading From Database</t>
  </si>
  <si>
    <t>Change of delivery class of view V_T799BCFT and V_799BCFT_A</t>
  </si>
  <si>
    <t>Waitpoint is not working for process model</t>
  </si>
  <si>
    <t>PUST - Short dump OBJECTS_OBJREF_NOT_ASSIGNED</t>
  </si>
  <si>
    <t>In Process model, you get error when you use archive</t>
  </si>
  <si>
    <t>PU30: Copying wage types for Poland</t>
  </si>
  <si>
    <t>IF: IT0579 - in PA30 wage type text is not displayed</t>
  </si>
  <si>
    <t>COID Report issues</t>
  </si>
  <si>
    <t>SARS Code 3922 : Compensation i.r.o death during employment</t>
  </si>
  <si>
    <t>SARS Code 4115 appearing in Income Received window when 0</t>
  </si>
  <si>
    <t>Error display while executing payroll</t>
  </si>
  <si>
    <t>Leased Car - Company car tax changes for tax year 2014</t>
  </si>
  <si>
    <t>South Africa - COID Threshold changed : Tax Year 2014</t>
  </si>
  <si>
    <t>IRP5 PDF: SARS code 4116 not displayed</t>
  </si>
  <si>
    <t>SAPKE60462</t>
  </si>
  <si>
    <t>HR-IDM data extraction: error handling in delta update</t>
  </si>
  <si>
    <t>BW-BCT-LSO</t>
  </si>
  <si>
    <t>SAP-Learning Solutio</t>
  </si>
  <si>
    <t>Performance issue with extractor 0TRAINING_ATTR</t>
  </si>
  <si>
    <t>OTRAINING_ATTR: dump "TSV_TNEW_PAGE_ALLOC_FAILED" occurs</t>
  </si>
  <si>
    <t>BW-BCT-PE</t>
  </si>
  <si>
    <t>Training/Event Mgmt.</t>
  </si>
  <si>
    <t>Language filter not working for extractor 0ATTENDEETY_TEXT</t>
  </si>
  <si>
    <t>Extractor 0EVENT_ATTR dumps</t>
  </si>
  <si>
    <t>Extractor 0HR_PY_1 does not extract data from all countries</t>
  </si>
  <si>
    <t>MSS is displaying positions as Vacant when they are Occupied</t>
  </si>
  <si>
    <t>Dump in the subrountine 'GET_APPLICANTS'</t>
  </si>
  <si>
    <t>WEB: F4 Search Help Reason Historic Values is empty</t>
  </si>
  <si>
    <t>WEB: Previously used cost objects not displayed</t>
  </si>
  <si>
    <t>WEB: Previously used trip destinations are not displayed</t>
  </si>
  <si>
    <t>Commuter allowance 2013 (infotype adjustments)</t>
  </si>
  <si>
    <t>Postal Codes - User interface harmonization logic</t>
  </si>
  <si>
    <t>IT 0100 - Error on combination DmfA code 3430 and EMPLP</t>
  </si>
  <si>
    <t>Infotype 0006 Screen 2012 - Field HSNMR (House number)</t>
  </si>
  <si>
    <t>IT0021: National Health Card field has 15 characters</t>
  </si>
  <si>
    <t>Dummy Note for Business Function Creation</t>
  </si>
  <si>
    <t>Enhancement of HCM Report Management Platform</t>
  </si>
  <si>
    <t>Obsolete - Protential SQL Injection in PA-PA-CN</t>
  </si>
  <si>
    <t>HR-DK:SQL-Select Statement and explicit sort</t>
  </si>
  <si>
    <t>Incoherent entry for infotype view indicator FP</t>
  </si>
  <si>
    <t>Data Privacy: infotype can be recreated after deletion</t>
  </si>
  <si>
    <t>TNM, "HTT" amount not correctly split with multi-financing</t>
  </si>
  <si>
    <t>TNM: 2483, fix for frame B/line 9 calculation</t>
  </si>
  <si>
    <t>TNM, TP status change to "99" is not possible</t>
  </si>
  <si>
    <t>TNM, runtime error using the "Reg. Comp." view</t>
  </si>
  <si>
    <t>Incorrect sorting of SQL-Select statement</t>
  </si>
  <si>
    <t>IT0069:Incorrect pension age check when CA4140 is submitted</t>
  </si>
  <si>
    <t>PA-PA-GB: Sexual Orientation Dynamic action on IT0002</t>
  </si>
  <si>
    <t>HRGBPS: Incorrect screen call in HESA infotype 0615</t>
  </si>
  <si>
    <t>PA-PA-GB: Wrong limit in transaction PC00_M08_OVERVIEW</t>
  </si>
  <si>
    <t>HK: Suspicious Access to Unsorted DB Content (HANA_CLSTR)</t>
  </si>
  <si>
    <t>PA-PA-ID</t>
  </si>
  <si>
    <t>Change in Reference table/field in IT0319 Currency field</t>
  </si>
  <si>
    <t>HRIE: Text for message 502 in msg class HRPAYIEINFOTYPES</t>
  </si>
  <si>
    <t>Sorting for Result Set of SQL-Select Statement - JP</t>
  </si>
  <si>
    <t>Cannot Hide Dependent Type Field of Infotype 0002</t>
  </si>
  <si>
    <t>PA-PA-MY: Issue with Screen check box</t>
  </si>
  <si>
    <t>FlexBenNL: Display of Hyperlinks in Help Texts in EhP6</t>
  </si>
  <si>
    <t>EIR: Corrected Check for MLA Hersteld Message</t>
  </si>
  <si>
    <t>Incorrect Sorting of SQL-Select Statement</t>
  </si>
  <si>
    <t>IT0059: Default Data Adjusted for new ZVW Codes</t>
  </si>
  <si>
    <t>HR-RU: Selection of IFNS Code in Line with Reporting Period</t>
  </si>
  <si>
    <t>IT0022, Institute full name not cleared</t>
  </si>
  <si>
    <t>IT0102: Cannot modify Subtype field.</t>
  </si>
  <si>
    <t>IT0057: Text Indicator Icon with wrong width in PA30.</t>
  </si>
  <si>
    <t>PA-PA-ZA</t>
  </si>
  <si>
    <t>Missing authorization check in PA-PA-ZA</t>
  </si>
  <si>
    <t>RBM: ZE99-Ablehnung wegen Feld 'ErbGebdt'</t>
  </si>
  <si>
    <t>Fehlende Sortierung bei DB-Select-Anweisungen</t>
  </si>
  <si>
    <t>Day-to-Day Activity</t>
  </si>
  <si>
    <t>Translation of message PV 778</t>
  </si>
  <si>
    <t>Format for Arabic and Hebrew languages in SAP Script</t>
  </si>
  <si>
    <t>Syntax error when calling FM 'CONVERT_OTF_MEMORY'</t>
  </si>
  <si>
    <t>Cost center not displayed when booked free of charge</t>
  </si>
  <si>
    <t>Error with rebook during cancellation of an event</t>
  </si>
  <si>
    <t>Qualifications are not displayed when CE is active</t>
  </si>
  <si>
    <t>RHSTOR00 : Events with no cancellations are displayed.</t>
  </si>
  <si>
    <t>Pop up for automatic resource allocation</t>
  </si>
  <si>
    <t>Index for table HRPAD25</t>
  </si>
  <si>
    <t>Deleting attendance record removes lock entry on person</t>
  </si>
  <si>
    <t>Search help object cannot be selected in PSVR</t>
  </si>
  <si>
    <t>Correction of SLIN error about TRANSLATE statement</t>
  </si>
  <si>
    <t>Info columns are not updated</t>
  </si>
  <si>
    <t>Correction note 1706441</t>
  </si>
  <si>
    <t>[AR] Changes in payroll functionality "Otro Empleador"</t>
  </si>
  <si>
    <t>[AR] Using divisor 30 for Maternity field in SICOSS</t>
  </si>
  <si>
    <t>[AR] Missing special deduction on Final Settlement</t>
  </si>
  <si>
    <t>[AR] Additional special deduction not considered in 2013</t>
  </si>
  <si>
    <t>[AR] System does not generate /315 wage type</t>
  </si>
  <si>
    <t>[AR] F649 adds amount of in favor to DGI to withholded tax</t>
  </si>
  <si>
    <t>[AR] Payroll function AROSO not retrieving "Obra Social"</t>
  </si>
  <si>
    <t>RRVJ: Nachzahlung von SZ gemäß §67 (10) und andere Zahlungen</t>
  </si>
  <si>
    <t>UBahnsteuer: Problem bei Wiedereintritt</t>
  </si>
  <si>
    <t>Personalrechenregel AUB und Lohnart /980</t>
  </si>
  <si>
    <t>RPCALCA0: Further rollout of ST redesign</t>
  </si>
  <si>
    <t>RPCALCA0: Grundlage des Pensionistenabsetzbetrags</t>
  </si>
  <si>
    <t>IT0527: UI-Probleme Dienstjahre und Urlaubskontingent</t>
  </si>
  <si>
    <t>E-Card Gebühr ab November 2013</t>
  </si>
  <si>
    <t>RPCALCA0: Legal change, commuter rate 2013</t>
  </si>
  <si>
    <t>RPCALCA0: SV-freie Urlaubsersatzleistung und BMV</t>
  </si>
  <si>
    <t>RPCALCA0: SZ-Steuerberechung / IT0055 Vorarbeitgeberdaten</t>
  </si>
  <si>
    <t>Documentation: Commuter rate</t>
  </si>
  <si>
    <t>Korrektur des Befehls Select (2)</t>
  </si>
  <si>
    <t>LC commuter rate 2013: Display module for ST</t>
  </si>
  <si>
    <t>Altersteilzeit: Index-Erhöhung 2013</t>
  </si>
  <si>
    <t>PY-AT: Freiwillige Abfertigung und Pfändbarkeit</t>
  </si>
  <si>
    <t>Bonus and marginal payments GT 12 mon. not reported as LSE</t>
  </si>
  <si>
    <t>Leave Provisions not considering QUOMO decision in T5QPR</t>
  </si>
  <si>
    <t>QSUEA Value incorrect when there is increase in salary</t>
  </si>
  <si>
    <t>Legal changes 2013  Super guarantee Code Corrections</t>
  </si>
  <si>
    <t>SGC in Retro: OTE is incorrectly being deducted in retro prd</t>
  </si>
  <si>
    <t>Incorrect refund of tax on Lumpsum A payments</t>
  </si>
  <si>
    <t>Shortdump in Super Report for 64 yr old with emp contr</t>
  </si>
  <si>
    <t>Stopping voluntary contributtion for eMp over 65</t>
  </si>
  <si>
    <t>Incorrect /111 in case of negetive leave loading paid</t>
  </si>
  <si>
    <t>Multiple Payment summary not getting generated correctly</t>
  </si>
  <si>
    <t>Short dump in PS report due to overlapping 0850 records</t>
  </si>
  <si>
    <t>Leave loading not added to /116 of current period ACFY</t>
  </si>
  <si>
    <t>Lumpsum E payments are reversed incorrectly</t>
  </si>
  <si>
    <t>Correction to NAT 3348 Legal change 2013,Bonus solution</t>
  </si>
  <si>
    <t>EOY Legal Changes : Averages and cross year backpay taxation</t>
  </si>
  <si>
    <t>EOY Legal Changes:Decommissioning Deferred Earnings solution</t>
  </si>
  <si>
    <t>Field 'TOTAL TAX WITHHELD' blank when ETP is reprinted</t>
  </si>
  <si>
    <t>ETP form not reprinted for tax year 2013</t>
  </si>
  <si>
    <t>Death benefit ETP paid to dependent &lt; cap is reported on ETP</t>
  </si>
  <si>
    <t>No error message when ETP Tax is negative</t>
  </si>
  <si>
    <t>ETP details not filled correctly in ATO annual Report</t>
  </si>
  <si>
    <t>Code injection vulnerability in PY-AU-PS</t>
  </si>
  <si>
    <t>Leave Loading check for consecutive records not working</t>
  </si>
  <si>
    <t>Incorrect IT0573 absence type text display</t>
  </si>
  <si>
    <t>Leaving loading payment is incorrect for CE</t>
  </si>
  <si>
    <t>Leave Loading Provision Currency issue</t>
  </si>
  <si>
    <t>PY-AU-TAX</t>
  </si>
  <si>
    <t>HCM Australia tax</t>
  </si>
  <si>
    <t>Incorrect /116 in retro period for leave loading payment</t>
  </si>
  <si>
    <t>RPTGENB0: Customizing error message T5BP4,T5BP5,T5BP6,T5BP9</t>
  </si>
  <si>
    <t>DMFA: retrieval of T5F99FW/X on glbdt in case of DmfA update</t>
  </si>
  <si>
    <t>DmfA/DmfAPPL - Wrong basis computation</t>
  </si>
  <si>
    <t>BEEVL: New REMI section not in cluster</t>
  </si>
  <si>
    <t>B2A: Deactivate ACRF file for DMUN</t>
  </si>
  <si>
    <t>DmfA Update: Hired during quarter - No INSS error</t>
  </si>
  <si>
    <t>RPTGENB0: Unpaid public holiday during maternity leave</t>
  </si>
  <si>
    <t>BELCOTAX: Declaration 'Selected Update' never generated</t>
  </si>
  <si>
    <t>SOCIAL BALANCE: Legal changes 2013 - Corrections</t>
  </si>
  <si>
    <t>Payroll operation BOE does not read correct SVEVL entry</t>
  </si>
  <si>
    <t>Processing of /162 within payroll function BST00</t>
  </si>
  <si>
    <t>DmfA: Special Social Contribution greater payroll result</t>
  </si>
  <si>
    <t>Wrong customizing of wage types used for loans</t>
  </si>
  <si>
    <t>DmfA/DmfAPPL - Legal Changes 2013 Q1 - Addendum II</t>
  </si>
  <si>
    <t>Certificate 281.25 - Payroll - Check Class IT 3326</t>
  </si>
  <si>
    <t>Non Recurring Result Bonus - Advance Taxes</t>
  </si>
  <si>
    <t>Infotype 0101-Registration of data combination not possible</t>
  </si>
  <si>
    <t>DmfA Consult Answer: OccupationInformationsAction Upload</t>
  </si>
  <si>
    <t>Certificate 281.25 - Documentation Update</t>
  </si>
  <si>
    <t>BFIRE: Last day of dismissal period II</t>
  </si>
  <si>
    <t>RPTGENB0: Long-term sickness within leap year (Correction)</t>
  </si>
  <si>
    <t>Certificate 281.25 - Posting of payroll results</t>
  </si>
  <si>
    <t>Typo for fiche code in fiche 281.11</t>
  </si>
  <si>
    <t>SREP: generation of AFDT and ACJEF files - selection period</t>
  </si>
  <si>
    <t>HBRTMSH0: the order of worked hours are not correct</t>
  </si>
  <si>
    <t>SREP: Wrong company information displayed in AFDT and ACJEF</t>
  </si>
  <si>
    <t>SREP: Work schedule blank when should be zeros (0000)</t>
  </si>
  <si>
    <t>MANAD: K050 is reported only in case of infotype split</t>
  </si>
  <si>
    <t>HBRRTER3: Field 31 and 32 filled with incorrect information</t>
  </si>
  <si>
    <t>Different results set of an SQL-Select Statement</t>
  </si>
  <si>
    <t>SREP: Work Schedule being displayed twice in ACJEF file</t>
  </si>
  <si>
    <t>TAX: Corrections to QHC processing</t>
  </si>
  <si>
    <t>Directory traversal in PY-CA</t>
  </si>
  <si>
    <t>PY-CA Sort corrections</t>
  </si>
  <si>
    <t>YE11 : Incorrect value of Box G in Rel-1 for 2011</t>
  </si>
  <si>
    <t>Original Releve Number missing in XML</t>
  </si>
  <si>
    <t>DTA: Text key for data medium for pensioners incorrect</t>
  </si>
  <si>
    <t>Auslieferung CE-Abrechnung Schweiz (RPCALCC0_CE) in EnhP7</t>
  </si>
  <si>
    <t>HR-CH: Changes for country version CH for ERP on HANA, CE</t>
  </si>
  <si>
    <t>HR CH: Corrections due to CheckMan errors (SELECTSORT)</t>
  </si>
  <si>
    <t>[CL] Prorate issue in Social Insurance basis calculation</t>
  </si>
  <si>
    <t>[CL] Duplicated Reliquidation payment on Termination</t>
  </si>
  <si>
    <t>[CL] Incorrect Family Allowances calculation</t>
  </si>
  <si>
    <t>[CL] Missing Reliquidation WTs on retroative calculation</t>
  </si>
  <si>
    <t>[CL] Missing AFP code in PREVIRED report</t>
  </si>
  <si>
    <t>[CL] Wrong number of Vacation days in Termination</t>
  </si>
  <si>
    <t>Enhancement: Display Corrected Results in SI&amp;PHF reports</t>
  </si>
  <si>
    <t>Correction of Report HCNCTAX0 &amp; HCNCTXM0 for Exempt Amount</t>
  </si>
  <si>
    <t>Enhance Reports HCNCTAX0 &amp; HCNCTXM0 for Standard Exemption</t>
  </si>
  <si>
    <t>Incorrect taxable amount of Public Housing Fund</t>
  </si>
  <si>
    <t>Display CN Name w/o Space Between Last Name &amp; First Name</t>
  </si>
  <si>
    <t>HCNCDTA0: Error when English Characters or Space in IT0182</t>
  </si>
  <si>
    <t>HCNCGA0:Suspicious Access to Unsorted DB Content(HANA_CLSTR)</t>
  </si>
  <si>
    <t>SI: Composite SAP Note for data exchange 6/2013</t>
  </si>
  <si>
    <t>SFP: Enhancement of social fund procedure URMEL</t>
  </si>
  <si>
    <t>Minimum leave remuneration: Enhancements III</t>
  </si>
  <si>
    <t>Minimum leave remuneration: Enhancement of leave statement</t>
  </si>
  <si>
    <t>DEUEV(UVMG): Corrections XXI</t>
  </si>
  <si>
    <t>DEUEV: Shortened deadline for transfer of annual reports</t>
  </si>
  <si>
    <t>BV-DEUEV: Corrections (9)</t>
  </si>
  <si>
    <t>DEUEV inbound notifications: Corrections III</t>
  </si>
  <si>
    <t>ELStAM: Corrections after year-end legal change 17/2013</t>
  </si>
  <si>
    <t>ELStAM: Corrections after year-end legal change 18/2013</t>
  </si>
  <si>
    <t>ELStAM: Corrections after year-end legal change 19/2013</t>
  </si>
  <si>
    <t>ELStAM: Corrections after year-end legal change 20/2013</t>
  </si>
  <si>
    <t>ELStAM: Corrections after year changed 21/2013</t>
  </si>
  <si>
    <t>EEL: Last payroll period for unpaid absence time II</t>
  </si>
  <si>
    <t>EEL: Corrections and enhancements (06/2013)</t>
  </si>
  <si>
    <t>ZMV: Changed procedure when creating balance notifications</t>
  </si>
  <si>
    <t>EBeschV: Minor corrections 1</t>
  </si>
  <si>
    <t>PY-DE-GR-MP</t>
  </si>
  <si>
    <t>Maternity Protection</t>
  </si>
  <si>
    <t>Changed proc. for limitatn of remuneratn to income threshold</t>
  </si>
  <si>
    <t>Prohibited activities: Incorrect distibution</t>
  </si>
  <si>
    <t>IBAN: IBAN is missing in input help for payee data</t>
  </si>
  <si>
    <t>BVV: Print settings are not transferred</t>
  </si>
  <si>
    <t>BVV:Retroact acctng diff distrb incorr btw employer/employee</t>
  </si>
  <si>
    <t>BVV: Leaving date incorrect in case of retroactive leaving</t>
  </si>
  <si>
    <t>IBAN: Error message for payee from T521B in IT 0026</t>
  </si>
  <si>
    <t>BVV: Notification report does not create zero notification</t>
  </si>
  <si>
    <t>New protected earnings as of July 01, 2013</t>
  </si>
  <si>
    <t>IBAN: Error when entering incorrect bank key</t>
  </si>
  <si>
    <t>AAG fictitious run: Incapacity to work: Corrections VIII</t>
  </si>
  <si>
    <t>Concurrent employment w/ voluntary/private HI/exempt from PI</t>
  </si>
  <si>
    <t>Consideration of minimum contribution assessment basis</t>
  </si>
  <si>
    <t>SI reporting: Termination in distributed reporting (4)</t>
  </si>
  <si>
    <t>Comparison net too low in fict. runs for AVmG ER benefit</t>
  </si>
  <si>
    <t>ETStmt: Corrections 05 2013: Form correction</t>
  </si>
  <si>
    <t>LStB: Statement of incorrect PI contrib. for chall. persons</t>
  </si>
  <si>
    <t>Pay scale level increase w/ DEPBS_NEU:No entry in T510_PSRCL</t>
  </si>
  <si>
    <t>ZfA: Notifications are rejected by ZfA with error 6001</t>
  </si>
  <si>
    <t>Municipality ID in pension recipient statistics</t>
  </si>
  <si>
    <t>Pay scale adjustment in case of limited capacity to work</t>
  </si>
  <si>
    <t>No sorting when using DB SELECT statements</t>
  </si>
  <si>
    <t>Reduction sect. 57: Missing description in IMG</t>
  </si>
  <si>
    <t>State treaty: IBAN not checked in view V_T536C_BANK</t>
  </si>
  <si>
    <t>State treaty about the distribution of pension costs (23)</t>
  </si>
  <si>
    <t>AKE 2012: Minor corrections 2</t>
  </si>
  <si>
    <t>Secondary income statement sect. 313 SGB III, Version 03.13</t>
  </si>
  <si>
    <t>Statement of employment section 312 SGB III, Version 03.13</t>
  </si>
  <si>
    <t>Secondary income statement art 313 SGB III, version 03.13 II</t>
  </si>
  <si>
    <t>Checkman : note for checkman fixes</t>
  </si>
  <si>
    <t>CALC: BRD calculation in case of strike in previous months</t>
  </si>
  <si>
    <t>CALC: 31 days reported in TC with split in day 31</t>
  </si>
  <si>
    <t>CALC: Hours with decimals rounded up customer situation</t>
  </si>
  <si>
    <t>TC: Performance improvement and parallel execution</t>
  </si>
  <si>
    <t>New reduction method for Contrato Predoctoral (9921)</t>
  </si>
  <si>
    <t>CALC: Incorrect bonification over non-taken vacations</t>
  </si>
  <si>
    <t>CRT2: Missing contribution base in case of ERE situation</t>
  </si>
  <si>
    <t>Certific@2: Display XML without generating a TemSe file</t>
  </si>
  <si>
    <t>CALC: Rounding issue with training contracts</t>
  </si>
  <si>
    <t>CRT2: Wrong certificate in case of ERE situation and split</t>
  </si>
  <si>
    <t>TC: CCC filter not considering Sin CCC asociados flag</t>
  </si>
  <si>
    <t>SSOCIAL: Wrong Search Help and checking of OCUPA field</t>
  </si>
  <si>
    <t>TEMSE: Truncated visualization of TemSe files</t>
  </si>
  <si>
    <t>CALC: Retroactivity shelter for SAP Note 1776561</t>
  </si>
  <si>
    <t>190: Deductions Certificate is not mapping key H in PDF</t>
  </si>
  <si>
    <t>AFI: FCT segment not generated for multiple employees</t>
  </si>
  <si>
    <t>CP: Data is being duplicated in PE-191 contract</t>
  </si>
  <si>
    <t>CP: Contracts update of PE-179 model</t>
  </si>
  <si>
    <t>RED 3/2013: Mensaje de Afiliación modifications</t>
  </si>
  <si>
    <t>CALC: Doubled unemployment contrib. for training contract</t>
  </si>
  <si>
    <t>CALC: Partially-retired pensioner's solidarity (RED 03/2013)</t>
  </si>
  <si>
    <t>Certific@2: wrong &lt;CCC&gt; value for Periodos Actividad</t>
  </si>
  <si>
    <t>UTIL: Selection of PERNR by NIF retrieves only actives EE</t>
  </si>
  <si>
    <t>CALC: Issue in overtime for part-time EE after note 1836316</t>
  </si>
  <si>
    <t>AFI: Cambio de ocupación (MT) action generated in rehire</t>
  </si>
  <si>
    <t>TC: Partially-retired pensioner's solidarity (RED 03/2013)</t>
  </si>
  <si>
    <t>TEMSE: White space at TEMSE's title display</t>
  </si>
  <si>
    <t>CP: Template is overwriting initial data in the contract</t>
  </si>
  <si>
    <t>RED 05/2012: Bonification for victims of gender violence</t>
  </si>
  <si>
    <t>RPCMSVE0 split: EDSS0 and ESVC0</t>
  </si>
  <si>
    <t>TC: Issue with difference of bonification options</t>
  </si>
  <si>
    <t>HRFI: HFILTAX0 - negative gross; HFILTAX1 - fixed format</t>
  </si>
  <si>
    <t>N4DS: Priority of values in V_T5F5Q over V_T5F99FX</t>
  </si>
  <si>
    <t>IT3340: P fields conversion issue using different codepage</t>
  </si>
  <si>
    <t>RPLRPSF1 - Incorrect start date</t>
  </si>
  <si>
    <t>N4DS: Absence interval management</t>
  </si>
  <si>
    <t>N4DS: S48.G47.06.003.002 - date correction</t>
  </si>
  <si>
    <t>N4DS AED: Checksum should consider the version</t>
  </si>
  <si>
    <t>RPUTIRF2: Lunch Vouchers to be sent to employee address</t>
  </si>
  <si>
    <t>LHRPAYFRABS1F10: new Badi for modifying absence quotas</t>
  </si>
  <si>
    <t>Docu: Feature FACI1 missing in Customizing</t>
  </si>
  <si>
    <t>Disabled employees with permanent contract not counted</t>
  </si>
  <si>
    <t>Infoytpes 3319/3340 are not payroll relevant</t>
  </si>
  <si>
    <t>RPLASAF3: empty columns</t>
  </si>
  <si>
    <t>N4DS: S40 periods for isolated amounts missing</t>
  </si>
  <si>
    <t>New coefficient for CICE</t>
  </si>
  <si>
    <t>AED S40.G28.10.003.001: new check in rel. V01X07</t>
  </si>
  <si>
    <t>IT3340: S48.G55.20 and S48.G10.02 customizing</t>
  </si>
  <si>
    <t>HR_FR_GET_PAYROLL_RESULTS does not provide any results</t>
  </si>
  <si>
    <t>FPS: fix to avoid trigger of "grace days" with same CASNO</t>
  </si>
  <si>
    <t>PY-GB: P11D - E-Filing</t>
  </si>
  <si>
    <t>RTI: FPS, Display report and EYU issues</t>
  </si>
  <si>
    <t>PY-GB: PAE: Registering with the Pension Regulator</t>
  </si>
  <si>
    <t>RTI: RTINI EEs and ERs TP values incorrect with IT0874 Adj</t>
  </si>
  <si>
    <t>PY-GB: PAE: Stopping "irrelevant" notices III.</t>
  </si>
  <si>
    <t>RTI: Enhancements to  Net pensions, GG26, &amp; SXP</t>
  </si>
  <si>
    <t>PY-GB: P45 incorrect validation of dash in address</t>
  </si>
  <si>
    <t>PY-GB: PAE: State Pension Age (DoB on 29.02.YYYY or no DOB)</t>
  </si>
  <si>
    <t>PY-GB: P45 incorrect validation of spec.char. in address</t>
  </si>
  <si>
    <t>PY-GB: Employee address not printing on P60 2013_D form</t>
  </si>
  <si>
    <t>PY-GB: P45 incorrect validation of spec.char. in addr. II</t>
  </si>
  <si>
    <t>PY-GB: PAE: Error using 'View Notice' button in IT3297 III.</t>
  </si>
  <si>
    <t>PY-GB: PAE: Automated retrospective changes in table PAE</t>
  </si>
  <si>
    <t>RTI: Incorrect YTDs - ME to SE in prev tx yrs / transfers</t>
  </si>
  <si>
    <t>PY-GB: PAE: Table Driven solution activated one period late</t>
  </si>
  <si>
    <t>PY-GB: PAE: RPUPAEG4: Syntax error</t>
  </si>
  <si>
    <t>PY-GB: PAE: Mass Updates: Re-instate authorisation concept</t>
  </si>
  <si>
    <t>HANA related checkmen errors</t>
  </si>
  <si>
    <t>RTI: SIPS deductions</t>
  </si>
  <si>
    <t>PY-GB: GBSXP: Payroll ABAP dumps processing AWE override</t>
  </si>
  <si>
    <t>PY-GB: PAE: Post Payroll report: Update of IT3297</t>
  </si>
  <si>
    <t>PY-GB: P45 postcode in Foreign Address</t>
  </si>
  <si>
    <t>PY-GB: PAE: Contractual leaving after active membership</t>
  </si>
  <si>
    <t>PY-GB: Starter Notification postcode in Foreign Address</t>
  </si>
  <si>
    <t>PY-GB:PAE: "When Paid" Qualifying Earnings/Pensionable Pay 2</t>
  </si>
  <si>
    <t>PY-GB: E filing of P11D Corrections - CWB release</t>
  </si>
  <si>
    <t>PY-GB: RTI Display report DUMPs with old data</t>
  </si>
  <si>
    <t>Incorrect handling of "Sickness during the MPP".</t>
  </si>
  <si>
    <t>Issue with processing of Student Loan arrears</t>
  </si>
  <si>
    <t>HRGBPS: Incorrect NIC for a late starter acorss the tax year</t>
  </si>
  <si>
    <t>PY-GB-PS: LGPS: Re-assessment back into 2012 incorrect</t>
  </si>
  <si>
    <t>PY-GB: RTI Display report issues</t>
  </si>
  <si>
    <t>PY-GB: FPS for employees with retro payroll results</t>
  </si>
  <si>
    <t>PY-GB: FPS for leavers in last period of previous year</t>
  </si>
  <si>
    <t>PY GB: FPS issue with court order payment and '/' in address</t>
  </si>
  <si>
    <t>Relevant income of HSBC MPF report for the age reaches 18&amp;65</t>
  </si>
  <si>
    <t>LCO HK IR56F/G Additional form for Terminated Employee</t>
  </si>
  <si>
    <t>The Underlines of Design and Date is wrong if Remarks exists</t>
  </si>
  <si>
    <t>Cumulation of /150 is Wrong with Split in Cross Year Case</t>
  </si>
  <si>
    <t>IR56B form has negative amount in Item 11d</t>
  </si>
  <si>
    <t>HK Report HHKCPFC0 issue of New Member and no MPF employee</t>
  </si>
  <si>
    <t>MPF contribution shown in MPF interface file not correct</t>
  </si>
  <si>
    <t>PY-ID: Incorrect projection factor of terminated employee</t>
  </si>
  <si>
    <t>PY-ID,PA-PA-ID: Result set of select statement is not sorted</t>
  </si>
  <si>
    <t>HRIE: ERN change (P45, P46)</t>
  </si>
  <si>
    <t>sap hana checkman</t>
  </si>
  <si>
    <t>HRIE: Local Property Tax</t>
  </si>
  <si>
    <t>HINCF24Q: Q4 Inconsistencies in Salary and Tax Details</t>
  </si>
  <si>
    <t>West Bengal Professional tax report page 2 inconsistency</t>
  </si>
  <si>
    <t>New Form 16 Layout for Financial Year 2012-2013</t>
  </si>
  <si>
    <t>Tax Credit Amount Not Considered for Cross FY Retro Cases</t>
  </si>
  <si>
    <t>Declustering checkman</t>
  </si>
  <si>
    <t>HINCF24C: Runtime Error while consolidating files</t>
  </si>
  <si>
    <t>HINCF24Q: Inconsistencies on Annex II</t>
  </si>
  <si>
    <t>Form 16: Part A and Part B Mail Attachment &amp; Mail Log File</t>
  </si>
  <si>
    <t>Potential disclosure of persisted data</t>
  </si>
  <si>
    <t>Form 16: Dumps due to higher values in number field of WT's</t>
  </si>
  <si>
    <t>PY-IN :Result set of select statement is not sorted</t>
  </si>
  <si>
    <t>Form 16: Layout modifications</t>
  </si>
  <si>
    <t>Form 12BA: Layout modifications 2012-13</t>
  </si>
  <si>
    <t>Form 16: Sec80C values are repeated in form layout</t>
  </si>
  <si>
    <t>Form 24Q : Annexure I &amp; II Modified Formats eff. FY 2013</t>
  </si>
  <si>
    <t>Form 16AA: To display Employee no and Pan no in header</t>
  </si>
  <si>
    <t>ESS: IT Declaration Dump While Updating Infotype 0586</t>
  </si>
  <si>
    <t>Rel.604: Libro Unico Cluster Viewer runtime error</t>
  </si>
  <si>
    <t>RDTAB Operation - New option for warning message</t>
  </si>
  <si>
    <t>CUD: wrong behavior in migration tool</t>
  </si>
  <si>
    <t>Uniemens TFR field INSCPREOBB wrong fill</t>
  </si>
  <si>
    <t>UniEmens 2.4</t>
  </si>
  <si>
    <t>Modello 730-2013</t>
  </si>
  <si>
    <t>UniEmens 2.4.1 - Congedo Paternità</t>
  </si>
  <si>
    <t>RPCEADJ0:Enhancement for EE with yearly income above 20M</t>
  </si>
  <si>
    <t>Incorrect income tax rounding for Non-resident</t>
  </si>
  <si>
    <t>Operations WKHRS &amp; DYLEA Become Obsolete</t>
  </si>
  <si>
    <t>LC2013: Exclude NP Premium from Foreigner A Taxable Income</t>
  </si>
  <si>
    <t>Correction on Check Logic of Separation and HKRSEPR0 Report</t>
  </si>
  <si>
    <t>HI Adjustment:Premium Limit Check Logic Lose Efficiency</t>
  </si>
  <si>
    <t>LC2013: Non-taxable Income Limit of Deep Sea Fishing Worker</t>
  </si>
  <si>
    <t>2013LR:Tax-Deferring of DB Retirement Pension (Master Data)</t>
  </si>
  <si>
    <t>South Korea YEA 2013 Mid-Year Legal Changes</t>
  </si>
  <si>
    <t>Correction of Field Display in HKRSEPR0 Output</t>
  </si>
  <si>
    <t>[MX] Corrections for INFONAVIT discount</t>
  </si>
  <si>
    <t>[MX] Double Christmas Bonus payment on termination</t>
  </si>
  <si>
    <t>[MX] New State Tax for Chihuahua 2013</t>
  </si>
  <si>
    <t>[MX] Documentation changes for PY-MX</t>
  </si>
  <si>
    <t>[MX] Incorrect Infonavit deduction amount in SUA file</t>
  </si>
  <si>
    <t>Checkman Corrections - Malaysia, Singapore, Indonesia</t>
  </si>
  <si>
    <t>PY-MY: SOCSO first time contributor age limit enhanced to 55</t>
  </si>
  <si>
    <t>PY-MY: Arrear Tax issue for EE not Contributing to Tax</t>
  </si>
  <si>
    <t>YELC 2012/2013: ZVW EE Contrib &amp; ER Levy at the same time</t>
  </si>
  <si>
    <t>Aangifte LH: Wage Return rejected due to CodeZVW C</t>
  </si>
  <si>
    <t>Aangifte LH: Negative Premium Wages Displayed</t>
  </si>
  <si>
    <t>Payroll Account NK03, NKV3: Some Wage Types Shown Incorrect</t>
  </si>
  <si>
    <t>Wage return incorrect when negative WTs are cumulating</t>
  </si>
  <si>
    <t>Changes to Transitional Rule Premium Exemption Elderly EEs</t>
  </si>
  <si>
    <t>New Statutory Minimum Wages as of July 1st 2013</t>
  </si>
  <si>
    <t>Company Car NL: New pollution category as of January 2014</t>
  </si>
  <si>
    <t>HRNO: Reimbursement: sick + vacation + sick -&gt; AP/TP days</t>
  </si>
  <si>
    <t>HRNO: Reimbursement reconciliation - text transfer to IT0015</t>
  </si>
  <si>
    <t>HRNO: Reimbursement issues April 2013</t>
  </si>
  <si>
    <t>HRNO: Commutation wage types for Svalbard /136 and /137</t>
  </si>
  <si>
    <t>HRNO: Error message for KID appears just if runing with log</t>
  </si>
  <si>
    <t>HRNO: Self-declared illness warnings report - fix!</t>
  </si>
  <si>
    <t>RPCERIV0 - support for ACF (Altinn Communication Framework)</t>
  </si>
  <si>
    <t>ACF - changes for RPCERIV0 support</t>
  </si>
  <si>
    <t>RPCDTBV0 - new parameter for Posting date              [1/2]</t>
  </si>
  <si>
    <t>RPCDTBV0 - new parameter for Posting date              [2/2]</t>
  </si>
  <si>
    <t>HRNO - Technical note for HANA</t>
  </si>
  <si>
    <t>RPCERIV0[ACF] - Correction of service edition code 120927</t>
  </si>
  <si>
    <t>HRNO:Update of NAV office from postal code in IT0006   [1/2]</t>
  </si>
  <si>
    <t>UNJSPF Common HR Interface</t>
  </si>
  <si>
    <t>Corrections to Cost Center(KOST) Search Help</t>
  </si>
  <si>
    <t>Making IT0958 Fields Configurable in T588M</t>
  </si>
  <si>
    <t>Directory traversal in PY-NPO</t>
  </si>
  <si>
    <t>Result set of select statement is not sorted</t>
  </si>
  <si>
    <t>Potential modif./disclosure of persisted data in PY-NPO</t>
  </si>
  <si>
    <t>Termination - Issue with conversion of days into hours</t>
  </si>
  <si>
    <t>PY-NZ: Performance issues in Update Superannuation NZ Report</t>
  </si>
  <si>
    <t>Incorrect hrly rate displayed for advanced annual leave</t>
  </si>
  <si>
    <t>PY-NZ : Selection of correct Quota type selection group</t>
  </si>
  <si>
    <t>Incorrect Infotype 310 validation and wagetype description</t>
  </si>
  <si>
    <t>NZ-Incorrect estimation Annual Salary via PC00_M43_SAUPD</t>
  </si>
  <si>
    <t>Error on termination if SL arrears stops in previous period</t>
  </si>
  <si>
    <t>PY-NZ : Result set of select statement is not sorted</t>
  </si>
  <si>
    <t>PY-NZ : Incorrect ESCT calculation</t>
  </si>
  <si>
    <t>PY-PH: LC for HDMF contribution form and Excel file</t>
  </si>
  <si>
    <t>RPCIIDP0: Individual Income Declaration Corrections 2013</t>
  </si>
  <si>
    <t>RPCAIDP0/RPCIIDP0: 2013 General Corrections</t>
  </si>
  <si>
    <t>RPCALCP0: Constant IRSNR being active in all cases</t>
  </si>
  <si>
    <t>National Budget 2013: IRS Surcharge - Corrections V</t>
  </si>
  <si>
    <t>RPCMIDPO: Technical log creation and error log improvement</t>
  </si>
  <si>
    <t>Extraordinary Solidarity Contribution - Corrections I</t>
  </si>
  <si>
    <t>SIOE: wrong results due to retroactive calculation</t>
  </si>
  <si>
    <t>Annual Staff Report: form field search help wrong descript.</t>
  </si>
  <si>
    <t>Social Balance: additional changes for version 2012</t>
  </si>
  <si>
    <t>ADSE: new field for base amount of contribution in XML file</t>
  </si>
  <si>
    <t>Family Allowance: General Corrections 2013 - I</t>
  </si>
  <si>
    <t>CGA report: Incorrect generation of situation code 00</t>
  </si>
  <si>
    <t>Annual Staff Report: Wrong results shown in output</t>
  </si>
  <si>
    <t>Qatar advance payment enhancement for partial recovery</t>
  </si>
  <si>
    <t>Qatar SI: Seperate SI technical WTs for GCC countries</t>
  </si>
  <si>
    <t>Documentation Correction for Qatar CI as of May</t>
  </si>
  <si>
    <t>Qatar P3306 Date Conversion Error</t>
  </si>
  <si>
    <t>Qatar Information about Social Insurance Correction</t>
  </si>
  <si>
    <t>Dummy Note: Qatar checkman issues correction</t>
  </si>
  <si>
    <t>HR-RU: Taxation of Severance Pay at Dismissal</t>
  </si>
  <si>
    <t>Global pay increase and linked vacations</t>
  </si>
  <si>
    <t>RSV-1: additional conditions for Sections 2.2 and 2.3</t>
  </si>
  <si>
    <t>Incorrect Result of RUPRT L in Off-Cycle with OC Reason 0104</t>
  </si>
  <si>
    <t>Runtime error CX_SY_PROVIDE_TABLE_NOT_SORTED in Payroll</t>
  </si>
  <si>
    <t>LC: 36-FZ since 08.04.2013</t>
  </si>
  <si>
    <t>HR-RU: 4-FSS Table 3 Wrong Amounts for Disabled Employees</t>
  </si>
  <si>
    <t>Payroll driver may not update infotypes in CE-enabled system</t>
  </si>
  <si>
    <t>SZV-6-4: report rejects fired employees</t>
  </si>
  <si>
    <t>SZV-6-4: cumulative updates 05.2013</t>
  </si>
  <si>
    <t>PY-RU-OC: Feature OCCAL is not used by function RUAVE</t>
  </si>
  <si>
    <t>HR-RU: operation RTE= R510J doesn't process KENN1 link</t>
  </si>
  <si>
    <t>HR-RU: Wrong Tax Bases in GRT in Retro when Gross Up is Used</t>
  </si>
  <si>
    <t>RSV-1: dump at processing of harmful work conditions</t>
  </si>
  <si>
    <t>HR-RU: Suite on HANA Sorted Queries</t>
  </si>
  <si>
    <t>HR-RU: Adaptation of call of form READ_T51AV_TABLES</t>
  </si>
  <si>
    <t>New tariffs for postal orders since 01.04.2013</t>
  </si>
  <si>
    <t>HRSE: RPLUSMS0, replace SIF with Unionen</t>
  </si>
  <si>
    <t>HRSE: VACS new calculation</t>
  </si>
  <si>
    <t>HRSE: Vacation Eligibility set by Contract Type IT16 (quota)</t>
  </si>
  <si>
    <t>HRSE: LAS reports - change header and screen size</t>
  </si>
  <si>
    <t>HR-SE:SQL-Select Statement and explicit sort</t>
  </si>
  <si>
    <t>HRSE: Extension of T5S0C table for public sector</t>
  </si>
  <si>
    <t>Validation introduced for subtype "Work Permit" in IT0185</t>
  </si>
  <si>
    <t>PY-SG: Error in generating SDF contribution for mid month</t>
  </si>
  <si>
    <t>M&amp;P 2013: Single Employees entitled to 2 days of Ext. CCL</t>
  </si>
  <si>
    <t>M&amp;P 2013: Enhancement of GPPL and SPLS for absence days</t>
  </si>
  <si>
    <t>PATline: incorrect IR8A file for EE with two or more</t>
  </si>
  <si>
    <t>PY-SG: CCL Leaves Incorrect for 2nd Non SG Child</t>
  </si>
  <si>
    <t>PY-SG: Correction for note 1856696</t>
  </si>
  <si>
    <t>PY-SG: Result set of select statement is not sorted</t>
  </si>
  <si>
    <t>CPF proration for termination and re-hire case</t>
  </si>
  <si>
    <t>PY-TH: SS Refund report &amp; SS negative contribution changes</t>
  </si>
  <si>
    <t>PY-TH: Tax Incorrect for Negative Irregular Income</t>
  </si>
  <si>
    <t>PY-TH: Name not display with Title in Insurance form</t>
  </si>
  <si>
    <t>PY-TH: Result set of select statement is not sorted</t>
  </si>
  <si>
    <t>Legal Form Enhancement: LI/NHI, SNHI, and Tax Certificates</t>
  </si>
  <si>
    <t>No Need to File Tax Report if Annual Income &lt;= 1000 TWD</t>
  </si>
  <si>
    <t>RPU03520:Suspicious Access to Unsorted DB Content-HANA_CLSTR</t>
  </si>
  <si>
    <t>HTWCTXW0 &amp; HTWCTXM0: Incorrect Tax ID for Mainland EEs in TW</t>
  </si>
  <si>
    <t>HTWLNPR0: Cannot Run Report for New Pension Quit</t>
  </si>
  <si>
    <t>HTWLAM00: Cannot Run Report if EE's LI Status is Quit</t>
  </si>
  <si>
    <t>Modify Max Amt of Bank Transfer (MAXBT) in T511P for Taiwan</t>
  </si>
  <si>
    <t>Remove /387 Retro Difference When NHI is Transfer Out</t>
  </si>
  <si>
    <t>/T11 Cummulates Incorrectly When /T09 is Negative</t>
  </si>
  <si>
    <t>Taxable Income Should be 0 for /387 when Tax Exempt in IT353</t>
  </si>
  <si>
    <t>PY-US: Usability corrections</t>
  </si>
  <si>
    <t>USCLM: Attributes for wage type /582</t>
  </si>
  <si>
    <t>USTAX: Note as preparation for future changes</t>
  </si>
  <si>
    <t>PY-US-CL</t>
  </si>
  <si>
    <t>Cloud Tax Interface</t>
  </si>
  <si>
    <t>BSI:Integration of BSI TaxFactory SaaS and BSI eFormsFactory</t>
  </si>
  <si>
    <t>IT0613: Absence donation home pool is not updated</t>
  </si>
  <si>
    <t>NC-9901 report - tax company field is required</t>
  </si>
  <si>
    <t>NC-99001: No results for missing wagetypes in V_T511.</t>
  </si>
  <si>
    <t>ADJ: RPCADJU0 displays incorrect "not accounted" records.</t>
  </si>
  <si>
    <t>Endless loop in the US Workers Compensation Report</t>
  </si>
  <si>
    <t>REC: Scheduler does not process when using Payroll Period</t>
  </si>
  <si>
    <t>NWH: Documentation changes in report RPLNHRU0</t>
  </si>
  <si>
    <t>TR: Payroll results can not be deleted in PU01</t>
  </si>
  <si>
    <t>TR: Incorrect calculation of line 16 for SUI Oregon</t>
  </si>
  <si>
    <t>TR: Wrong address displayed in SUI NH Wage listing</t>
  </si>
  <si>
    <t>TR: State ID Number missing in W-2 magnetic media for OR</t>
  </si>
  <si>
    <t>TR: Form 941 short dump for employees without withholding</t>
  </si>
  <si>
    <t>TR: Inverted sorting order in SUI Monthly for IL</t>
  </si>
  <si>
    <t>TR: Form 941 PR for 2013 has incorrect rate labels.</t>
  </si>
  <si>
    <t>TR: SUI Form for Michigan reports all records in one line.</t>
  </si>
  <si>
    <t>TR: No tax rate in SAPscript of SUI Texas</t>
  </si>
  <si>
    <t>TAX: Correction of Base Wages for BSI for CE.</t>
  </si>
  <si>
    <t>[VE] Missing severances calculation on Termination Payroll</t>
  </si>
  <si>
    <t>[VE] Seniority calc. does not consider incomplete quarter</t>
  </si>
  <si>
    <t>[VE] Output/Input parameters missing in rules processing</t>
  </si>
  <si>
    <t>[VE] The result set of an SQL-Select may not be sorted</t>
  </si>
  <si>
    <t>[VE] Wrong calculation for Seniority in termination</t>
  </si>
  <si>
    <t>IRP5: Download error to presentation layer</t>
  </si>
  <si>
    <t>COID - Multiple splits in WPBP but not in ST</t>
  </si>
  <si>
    <t>Run-time Error when Viewing all the Details on IRP5 Forms</t>
  </si>
  <si>
    <t>XX-TRANSL-NL</t>
  </si>
  <si>
    <t>Translation NL</t>
  </si>
  <si>
    <t>Correction of translation of 'Tax free LC withdrawal'</t>
  </si>
  <si>
    <t>SAPKE60463</t>
  </si>
  <si>
    <t>Laufzeitverbesserung beim Lesen von Abwesenheitsdaten</t>
  </si>
  <si>
    <t>EHS-IHS-IA</t>
  </si>
  <si>
    <t>Incident/Accident Management</t>
  </si>
  <si>
    <t>Reading of address data without consideration of language</t>
  </si>
  <si>
    <t>Incorrect Email Address in General Data when multiple</t>
  </si>
  <si>
    <t>IT0367: Richtigstellung Abmeldung Feld RDAT leer</t>
  </si>
  <si>
    <t>Commuter rate: Corrections for infotype 58</t>
  </si>
  <si>
    <t>Infotype 0442 - Several checks for subtype POOL obsolete</t>
  </si>
  <si>
    <t>Infotype 0100 - Search help H_T5BDRY extended</t>
  </si>
  <si>
    <t>Correction to IT0022&amp;IT3224 in PA30</t>
  </si>
  <si>
    <t>Enhance Report RPUPAV00 for CN</t>
  </si>
  <si>
    <t>Correction for IT3534 on default OU value</t>
  </si>
  <si>
    <t>HRFI: Minor changes in selection screens and menu</t>
  </si>
  <si>
    <t>TNM: InfoType 1686 performance</t>
  </si>
  <si>
    <t>TNM: "training history" report, fix for wrong abs.</t>
  </si>
  <si>
    <t>TNM: fix for wrong number of hours using the "reco&amp;quot</t>
  </si>
  <si>
    <t>TNM, O/S/C obj. long text not retrieved in forecast</t>
  </si>
  <si>
    <t>TNM: 2483, additional parameters in the table T5F5Q</t>
  </si>
  <si>
    <t>TNM: report RPCTNM9S_SNAP_GUI, FR translation missing</t>
  </si>
  <si>
    <t>TNM: no popup when maintaining the IT1681 on a D object</t>
  </si>
  <si>
    <t>HRGBPS: Incorrect cost centre mapping for old cost centre 54</t>
  </si>
  <si>
    <t>Default nationality value from parameter NAT for HK IT0002</t>
  </si>
  <si>
    <t>HRIE: HIEIPAYE, LPT not updated in 0359 batch</t>
  </si>
  <si>
    <t>RPUOTUJ0: Can Not Update Multiple Employees</t>
  </si>
  <si>
    <t>Revision of ESS YEA Enhancement Phase 4</t>
  </si>
  <si>
    <t>IT0110: Value help does not work in HCM Processes and Forms</t>
  </si>
  <si>
    <t>EIR: Change in Check for Reason for WAZO</t>
  </si>
  <si>
    <t>Dump for Long Details of Action Reasons in HR-RU forms</t>
  </si>
  <si>
    <t>Screen 2033 of infotype 0021: Missing Fields Are Restored</t>
  </si>
  <si>
    <t>Wrong IT0015 is updated when there are amendments to IT0183</t>
  </si>
  <si>
    <t>Unable to view IT0354/0355/0818 if EE has an invalid class</t>
  </si>
  <si>
    <t>IT0001: Org. unit from position dialog box not transferred</t>
  </si>
  <si>
    <t>BAV: Kleinere Korrekturen 1/2013</t>
  </si>
  <si>
    <t>Dump when double clicked on any column header</t>
  </si>
  <si>
    <t>Error when scrolling in course type</t>
  </si>
  <si>
    <t>Incorrect message displayed while creating Course Group/Type</t>
  </si>
  <si>
    <t>PP61: fehlerhafte i-Meldung bezüglich zu langer Arbeitszeit</t>
  </si>
  <si>
    <t>[AR] Some reports with authorization check missing</t>
  </si>
  <si>
    <t>[AR] System does not generate /315 wage type in hire/fire</t>
  </si>
  <si>
    <t>[AR] Missing exception caught in lcl_hrpayar_t5f99k2_reader</t>
  </si>
  <si>
    <t>AT: Dokumentation</t>
  </si>
  <si>
    <t>Mehr als drei Steuersplits: Abbruch in der Abrechnung</t>
  </si>
  <si>
    <t>RPCEKSA0: Simulation der Abrechnung bricht ab wegen RRVJ</t>
  </si>
  <si>
    <t>PCALZ: BAdI um Status direkt auf 011 statt auf 007 zu setzen</t>
  </si>
  <si>
    <t>PCALZ: Performance Verbesserung</t>
  </si>
  <si>
    <t>PCALZ: Statusrückmeldung mit Report</t>
  </si>
  <si>
    <t>BADI: HRPAYAT_RPCEKSA0_02 Methode get_employment_percentage</t>
  </si>
  <si>
    <t>RPCALCA0: Corrections for commuter rate 2013</t>
  </si>
  <si>
    <t>Kommunalsteuer: DG-Kontonummer bei Gemeinde falsch</t>
  </si>
  <si>
    <t>PCALZ: Fehler bei "Anzeige aller LZ-Versionen"</t>
  </si>
  <si>
    <t>Downgrade von Personalrechenregel AJBZ * /161</t>
  </si>
  <si>
    <t>RPCALCA0: Commuter rate corrections and payroll account</t>
  </si>
  <si>
    <t>rpceksa0: Tabelle T5AGR</t>
  </si>
  <si>
    <t>Year-end legal change 2013: New ELDA version for payslips</t>
  </si>
  <si>
    <t>Kurzarbeit: Neue Pauschalsätze in Tabelle T5AK2</t>
  </si>
  <si>
    <t>PCALZ: Kundeneigene Felder im L16-Formular</t>
  </si>
  <si>
    <t>HR-AT: RPCSVBA2PBS - ELDA messages with CC</t>
  </si>
  <si>
    <t>RPCSVBA2PBS: Auflösungsabgabe fehlt in der Kontrollliste</t>
  </si>
  <si>
    <t>RPLDEDQ0 - Employee count incorrect</t>
  </si>
  <si>
    <t>Legal Changes Superannuation 2013 - DDIC Changes</t>
  </si>
  <si>
    <t>Private and Public sector Termination organizer issues</t>
  </si>
  <si>
    <t>Leave Provisions are no longer calculated</t>
  </si>
  <si>
    <t>Feature 13S65 missing field Work Contract</t>
  </si>
  <si>
    <t>Payment Date incorrectly displayed on ETP PS</t>
  </si>
  <si>
    <t>De-coupling of tax on LumSum A payments for CE and NON-CE</t>
  </si>
  <si>
    <t>Start end dates on O/P of ETP PS is incorrect</t>
  </si>
  <si>
    <t>I-Corrections Superannuation Legal Change 2013</t>
  </si>
  <si>
    <t>Whole of Income Cap being picked incorrectly</t>
  </si>
  <si>
    <t>ETP summary incorrectly generated in reprint mode</t>
  </si>
  <si>
    <t>Utility report for ETP is not working</t>
  </si>
  <si>
    <t>II-Utility Report 0220 issues,changes to Module pool IT0220</t>
  </si>
  <si>
    <t>Incorrect Tax on Bonus Payemnt in some scenarios.</t>
  </si>
  <si>
    <t>Overrides ignored if no results exist for complete year</t>
  </si>
  <si>
    <t>AUTLS Payroll operation termination issues</t>
  </si>
  <si>
    <t>Term Workbench - Missing Wage Types in Term &amp; Leave tab</t>
  </si>
  <si>
    <t>Adjustment made in Term tab are lost from 11th record onward</t>
  </si>
  <si>
    <t>Other leaves not paid on termination</t>
  </si>
  <si>
    <t>Tax thresholds &amp; limits for 2013/2014 tax year</t>
  </si>
  <si>
    <t>PY-AU-PS-CE</t>
  </si>
  <si>
    <t>Concurrent Employment - Payroll Public sector Australia</t>
  </si>
  <si>
    <t>Pre Tax super rounding issues</t>
  </si>
  <si>
    <t>HCM Australia tax component</t>
  </si>
  <si>
    <t>Wagetype /111 have No. field set after applying Note 1855779</t>
  </si>
  <si>
    <t>RPTGENB0: New method in BAdI HRPAYBE_ABSENCES</t>
  </si>
  <si>
    <t>Dimona - Preparation Report - Error Msg on IT 16</t>
  </si>
  <si>
    <t>Correction for Payroll Operation BSPLT</t>
  </si>
  <si>
    <t>DmfA: Special Social Contribution leading zero</t>
  </si>
  <si>
    <t>Customizing of REMI in recalculation</t>
  </si>
  <si>
    <t>DmfA: BAdI User Hire Fire swapped dates</t>
  </si>
  <si>
    <t>Advances Taxes - Occasional Payments and Free of SI</t>
  </si>
  <si>
    <t>Company Car Legal Change 2013 : Gas and Petrol cars</t>
  </si>
  <si>
    <t>Assignment of /162 to ST06 (ER Shift Subsidy) is wrong</t>
  </si>
  <si>
    <t>Infotype 0007/0107 - Structure for feature BEUWG not filled</t>
  </si>
  <si>
    <t>Calculation of tax on arrears not correct</t>
  </si>
  <si>
    <t>DmfA - Legal Changes Q2 / 2013</t>
  </si>
  <si>
    <t>Advance taxes on exceptional payments not correct</t>
  </si>
  <si>
    <t>Advance taxes for tax calculation method 3,4 &amp; 5 wrong</t>
  </si>
  <si>
    <t>Retroactive differences after implementation of note 1868808</t>
  </si>
  <si>
    <t>RPTGENB0: Error with different "Illness Descr." (C</t>
  </si>
  <si>
    <t>DmfA Update: Capelo upper/lowercase correction</t>
  </si>
  <si>
    <t>Termination Term: field 115 duplicated</t>
  </si>
  <si>
    <t>HBRPAYR0: wrong number of dismissed employees</t>
  </si>
  <si>
    <t>MANAD: No K050 when the hire date is in the middle of month</t>
  </si>
  <si>
    <t>HBRRAIS0: Dismissed employees w/o remuneration are deleted</t>
  </si>
  <si>
    <t>RAIS: wrong information in record 2</t>
  </si>
  <si>
    <t>HBRTRSF0: AFDT file always inserting automatic breaks</t>
  </si>
  <si>
    <t>TAX: QHC wagetypes adding to deductions in paystub</t>
  </si>
  <si>
    <t>HR-CH: LSE (RPLBGAC3), determine BUR no. using payroll unit</t>
  </si>
  <si>
    <t>Missing whitelist check in PY-CH</t>
  </si>
  <si>
    <t>[CL] Determine CCAF institution with time-dependency</t>
  </si>
  <si>
    <t>[CL] New Function Module for Voluntary Severance calculation</t>
  </si>
  <si>
    <t>[CL] Incorrect validation for RUT field</t>
  </si>
  <si>
    <t>[CL] Documentation updates for SI and Income Certificate</t>
  </si>
  <si>
    <t>[CL] Documentation for AMT operators</t>
  </si>
  <si>
    <t>Enhancement to HR_CN_CHINESE_NAME when NMFAT = 4</t>
  </si>
  <si>
    <t>Tax Calculation for Casual Worker in Special Policy (CN)</t>
  </si>
  <si>
    <t>Get taxable amount in HCNCTXD0 &amp; HCNCTXE0 via Eval. Clas</t>
  </si>
  <si>
    <t>HCNCDTA0: Incorrect Display of Payee Name</t>
  </si>
  <si>
    <t>Add the Option "Deduct PHF Amount Only" for Min Sa</t>
  </si>
  <si>
    <t>Translation correction for wage types in table T512T</t>
  </si>
  <si>
    <t>SI: Composite SAP Note data exchange 7/2013</t>
  </si>
  <si>
    <t>SFP: Including new fields in the display report RPCBKLD0</t>
  </si>
  <si>
    <t>Infotype 0190 "Construction Pay: Previous ER" PBO</t>
  </si>
  <si>
    <t>Minimum leave remuneration: Adj. of remuneration statement</t>
  </si>
  <si>
    <t>Minimum leave remun.: Subapp CIMU symbol not considered</t>
  </si>
  <si>
    <t>Min. leave remuneration: Include lost hours for public hols.</t>
  </si>
  <si>
    <t>Minimum leave remuneration: Leave statement page 2</t>
  </si>
  <si>
    <t>DEUEV: Corrections XII</t>
  </si>
  <si>
    <t>DEUEV: Version 2.50 of the general circular</t>
  </si>
  <si>
    <t>DEUEV: Changed meaning of submission reason 34</t>
  </si>
  <si>
    <t>ELStAM: Corrections after year-end lgal change 22/2013</t>
  </si>
  <si>
    <t>ELStAM: Corrections after year-end legal change 23/2013</t>
  </si>
  <si>
    <t>ELStAM: Corrections after year-end legal change 24/2013</t>
  </si>
  <si>
    <t>EEL: Last payroll period for unpaid absence time IIa</t>
  </si>
  <si>
    <t>EEL: Corrections and enhancements (07/2013)</t>
  </si>
  <si>
    <t>AAG notification procedure: Changes to the error checks</t>
  </si>
  <si>
    <t>CI special rule 01 for pensioners entitld to subsidy missing</t>
  </si>
  <si>
    <t>Remuneration Statement, Payroll Account, Payroll Journal</t>
  </si>
  <si>
    <t>EBeschV: Minor corrections 2</t>
  </si>
  <si>
    <t>Maternity Protection Act</t>
  </si>
  <si>
    <t>Incorr basis for suppl. to mat. pay during prohibited activ.</t>
  </si>
  <si>
    <t>Changed proc. for limitatn of remun. to income threshold II</t>
  </si>
  <si>
    <t>Prohibited activities with part-time and factoring /57F</t>
  </si>
  <si>
    <t>Maternity Protection Act allowance/AAG notif.: Employmnt chg</t>
  </si>
  <si>
    <t>BVV: No notification creation RPCSVDD1 for AVmG contract</t>
  </si>
  <si>
    <t>Press insurance fund: Change reason and change date</t>
  </si>
  <si>
    <t>Enhancement for calculating the contribution amount</t>
  </si>
  <si>
    <t>Error in connection with bank details of health insur. funds</t>
  </si>
  <si>
    <t>Coll. Agreemt Flexible SR: SP Increase for Irregular Payment</t>
  </si>
  <si>
    <t>Personnel statistics: EF18 is filled incorrectly</t>
  </si>
  <si>
    <t>TV FlexAZ: Annual special payment in the exemption phase</t>
  </si>
  <si>
    <t>Reading database SELECT statement passes table buffer</t>
  </si>
  <si>
    <t>Authorization checks for reports without logical database</t>
  </si>
  <si>
    <t>Including earlier employments for annual special payment</t>
  </si>
  <si>
    <t>Incorrect determination of periods during retroactive calc.</t>
  </si>
  <si>
    <t>Versorgungsausgleich:Korrekturen in der Dokumentation</t>
  </si>
  <si>
    <t>Pension equalization payment: Incorr amount in the display</t>
  </si>
  <si>
    <t>Termination of pension calculation with short dump</t>
  </si>
  <si>
    <t>Documentation for the feature DOVLM</t>
  </si>
  <si>
    <t>Regular Reimbursement according to Sec.10 VersStaatsV (14)</t>
  </si>
  <si>
    <t>Regular reimbursement according to sect. 10 VersStaatsV (15)</t>
  </si>
  <si>
    <t>AKE (labor costs census) 2012: Minor corrections 3</t>
  </si>
  <si>
    <t>Corrections for statements 3/2013</t>
  </si>
  <si>
    <t>TC: Negative additional settlement with positive amounts</t>
  </si>
  <si>
    <t>CALC: Wrong unsuppressed bonification in case of VND</t>
  </si>
  <si>
    <t>CALC: New Payroll operation ESTAB</t>
  </si>
  <si>
    <t>190: Wrong tax percentage applied for No Atrasos (/4EA)</t>
  </si>
  <si>
    <t>IRPF: Wrong computation of FamMembers field</t>
  </si>
  <si>
    <t>190: Incorrect country code processing to 296 model</t>
  </si>
  <si>
    <t>CP: Contract update of PE-176 model</t>
  </si>
  <si>
    <t>CP: Contracts being launched only in the browser</t>
  </si>
  <si>
    <t>Unemployment benefit percentage for employees in ERE</t>
  </si>
  <si>
    <t>AFI: Wrong log for employees with missing country in T5E33</t>
  </si>
  <si>
    <t>Delt@: No calculating economic data after new work relation</t>
  </si>
  <si>
    <t>CALC: Partially-retired pensioner's solidarity II</t>
  </si>
  <si>
    <t>PA: Error reading EMODC feature on 0057 infotype</t>
  </si>
  <si>
    <t>CP: Inconsistent contract record in infotipe 0016</t>
  </si>
  <si>
    <t>TC: Corrections for SAP Note 1826723</t>
  </si>
  <si>
    <t>CP: General Corrections III for Contract Printing</t>
  </si>
  <si>
    <t>TC: Reducción field does not display the I indicator</t>
  </si>
  <si>
    <t>Contrat@: Changes of May, 2013</t>
  </si>
  <si>
    <t>TC: Number of days in DAT segments greater than the maximum</t>
  </si>
  <si>
    <t>OFFCYCLE: Form not found in RPCMASE9_FUSPA_OC include</t>
  </si>
  <si>
    <t>CP: Report RPUMCGE0 not working when missing contract data</t>
  </si>
  <si>
    <t>TC: Issues in Modelos de cotización para la Seguridad Social</t>
  </si>
  <si>
    <t>BONIFICACIONES: Wrong incentive group for method 0112</t>
  </si>
  <si>
    <t>TEMSE: processing without previous validation raises a dump</t>
  </si>
  <si>
    <t>MASSIVE: Missing payments in kind from previous period</t>
  </si>
  <si>
    <t>TEMSE: Short dump when processing special characters</t>
  </si>
  <si>
    <t>BONIFICACIONES: Incorrect legal reference for method 0004</t>
  </si>
  <si>
    <t>CP: Contract update of PE-183 model</t>
  </si>
  <si>
    <t>ANTIGUEDAD: Maintain text button not displayed in Infotype</t>
  </si>
  <si>
    <t>TEMSE: Dump with TemSe lines shorter than 5 characters</t>
  </si>
  <si>
    <t>RPCMSVE0 split: EBPI0</t>
  </si>
  <si>
    <t>DMMO - Error in non EDI mode when Hiring following month</t>
  </si>
  <si>
    <t>Garnishment: Totally seizable incomes</t>
  </si>
  <si>
    <t>N4DS: S45.G05.15.002.001 may be incorrect</t>
  </si>
  <si>
    <t>Incorrect rates displayed in the payslip</t>
  </si>
  <si>
    <t>IJSS Legal Changes</t>
  </si>
  <si>
    <t>New value KSAPC Garnishment increase in T511K (Feb. 2013)</t>
  </si>
  <si>
    <t>RPLRPSF1-Preselected ALV Layout is inefficient</t>
  </si>
  <si>
    <t>RPLDUEF0: hiring date is not OK after inactivity period</t>
  </si>
  <si>
    <t>Loi relative à la sécurisation de l'emploi: foundation</t>
  </si>
  <si>
    <t>Wage type /4A0 should not have derived wage types</t>
  </si>
  <si>
    <t>Time dependency for IT0218</t>
  </si>
  <si>
    <t>DUE: Feature ENTRY and V_T5F30 missing in the IMG</t>
  </si>
  <si>
    <t>Errors in contributions after implementation of note 1819527</t>
  </si>
  <si>
    <t>N4DS: error in S80.G62.00.007</t>
  </si>
  <si>
    <t>Function FSIS is always shown in payroll log</t>
  </si>
  <si>
    <t>PY-GB: PAE: Arrears Payroll</t>
  </si>
  <si>
    <t>FPS period end date</t>
  </si>
  <si>
    <t>Customising tables read with incorrect tax reference number</t>
  </si>
  <si>
    <t>NoPaymentDates and PeriodOfInactivity have wrong date format</t>
  </si>
  <si>
    <t>PY-GB: RTI Handling of RTI indicator in pre-DME program</t>
  </si>
  <si>
    <t>PY-GB: PAE: Transitional Period ending before 30.09.2017</t>
  </si>
  <si>
    <t>EYU report: Consolidated changes(ECON, NI, Period End date)</t>
  </si>
  <si>
    <t>Tax basis set incorrectly to cumulative for leavers(non RTI)</t>
  </si>
  <si>
    <t>IT0065: Prev pay, tax and tax basis lost when enter pressed</t>
  </si>
  <si>
    <t>PY-GB: Post Code in RTI EAS</t>
  </si>
  <si>
    <t>PY-GB: PAE: Error using 'View Notice' button in IT3297 IV.</t>
  </si>
  <si>
    <t>RTI : Missing starter declaration</t>
  </si>
  <si>
    <t>PY-GB: PAE: New BADi called during IT0071 update</t>
  </si>
  <si>
    <t>PY-GB: EAS reports employees who are no more an EXPAT</t>
  </si>
  <si>
    <t>PY-GB: P11D Tax benefits threshold ignoring (Low Earners)</t>
  </si>
  <si>
    <t>PY-GB: PAE: New constant to define address report class</t>
  </si>
  <si>
    <t>PY-GB:PAE: "When Paid" Qualifying Earnings/Pension</t>
  </si>
  <si>
    <t>PY-GB: Company Car sequence on "Show benefit calculatio</t>
  </si>
  <si>
    <t>RTI: Composite changes to IT0065</t>
  </si>
  <si>
    <t>RTI:SCON not populated for employees on more than one scheme</t>
  </si>
  <si>
    <t>PY-GB: PAE: Stopping "irrelevant" notices IV</t>
  </si>
  <si>
    <t>PY-GB: PAE: Warning message to re-run RPCPAEG1 in EXCEP</t>
  </si>
  <si>
    <t>PY-GB: PAE: IT0071 Delimit not working correctly</t>
  </si>
  <si>
    <t>PY-GB: 2013 P11D Script corrections</t>
  </si>
  <si>
    <t>HESA: Syntax error in INCLUDE 'RPUHESA12_FORM_ROUTINES'.</t>
  </si>
  <si>
    <t>HRGBPS: ME retrospective priority change issue</t>
  </si>
  <si>
    <t>PY-GB: RTI: Recon Report issues</t>
  </si>
  <si>
    <t>Withheld Amt Removing Decimal Unwanted for IR56G form</t>
  </si>
  <si>
    <t>Back Payment Employee could not be shown in MPF Report</t>
  </si>
  <si>
    <t>Header line of IR56G additional form</t>
  </si>
  <si>
    <t>HRIE: Local Property Tax - Delta changes between SP and SAR</t>
  </si>
  <si>
    <t>PRSI: Weekly Paid EE is issued incorrect no of PRSI stamps.</t>
  </si>
  <si>
    <t>HRIE: LPT deducted after an employee has left</t>
  </si>
  <si>
    <t>ERN change corrections</t>
  </si>
  <si>
    <t>EOY Illnes Benefit changes</t>
  </si>
  <si>
    <t>Claims: Disbursement on the last day of any payroll period</t>
  </si>
  <si>
    <t>Claim eligibility is incorrect in case of change in All. Grp</t>
  </si>
  <si>
    <t>PY-IN: ESI New Form 5 Layout Inconsistency</t>
  </si>
  <si>
    <t>HINCESI0: Output display of employee with full month LOP</t>
  </si>
  <si>
    <t>Tax Credit inconsistency in cross financial year retro</t>
  </si>
  <si>
    <t>ECR: Joining Date &amp; EPS Wages Incorrect for Some Employe</t>
  </si>
  <si>
    <t>Form 16: Selection Screen modification for User Parameters</t>
  </si>
  <si>
    <t>HINCESI0: Contribution Dates Blank On ESI Form 5</t>
  </si>
  <si>
    <t>770 2013 - Correction Package I</t>
  </si>
  <si>
    <t>ANF 2013/2014</t>
  </si>
  <si>
    <t>UniEmens: wrong fields generation is affecting rettificativa</t>
  </si>
  <si>
    <t>RPUOTUJ0: Correction for Update Status Check</t>
  </si>
  <si>
    <t>LC2013: Revision of Employment Insur. Certif. of Leaving</t>
  </si>
  <si>
    <t>RPCNRPJ0: Enhancements for PDF Form Output</t>
  </si>
  <si>
    <t>LC2013: Increase Premium Rate of EI from July 01 2013</t>
  </si>
  <si>
    <t>EI Adjusted Twice when Retro Retirement Liquidation(0007)</t>
  </si>
  <si>
    <t>2013LR: Tax-Deferring of DB Retirement Pension (Payroll)</t>
  </si>
  <si>
    <t>South Korea YEA 2013 Mid-Year Legal Changes Phase II</t>
  </si>
  <si>
    <t>Upper and Lower Limits of NP Monthly Compensation Increase</t>
  </si>
  <si>
    <t>Display Princ. and Int. Field in Separation(0538) Infotype</t>
  </si>
  <si>
    <t>2013 Mid-YEA: Single Parent,Interest Payment and YED Receipt</t>
  </si>
  <si>
    <t>Incorrect estimated balance of total EPF in semi-monthly</t>
  </si>
  <si>
    <t>PY-MY: Incorrect total number of employees with PCB payment</t>
  </si>
  <si>
    <t>'Catalogusprijs auto' for Multiple Company Cars in a Period</t>
  </si>
  <si>
    <t>ULB: RPCEDTN0 Performance Improvement III</t>
  </si>
  <si>
    <t>Closing wage return on non-productive systems</t>
  </si>
  <si>
    <t>Tax credit young disabled employees no longer applied</t>
  </si>
  <si>
    <t>Incorrect Employment Rebate for Advantage Rule Setting '2'</t>
  </si>
  <si>
    <t>RPCNETN0: Check Impact on Work Schedule Changes in Payments</t>
  </si>
  <si>
    <t>Premium Reduction Priority</t>
  </si>
  <si>
    <t>HRNO: Start of absence for Reimbursement Basis</t>
  </si>
  <si>
    <t>HRNO: RPLAAMV0 (AA-Register) wrong weekly hours</t>
  </si>
  <si>
    <t>HRNO: Reimbursement reconciliation report - error in program</t>
  </si>
  <si>
    <t>HRNO: Reimbursement issues May 2013</t>
  </si>
  <si>
    <t>HRNO: Correction of the screen MP000600 2020</t>
  </si>
  <si>
    <t>HRNO: New values for T511K constants</t>
  </si>
  <si>
    <t>RPCERIV0[ACF] - Correction of issues - June 2013</t>
  </si>
  <si>
    <t>HRNO: Error in PC00_M20_SSSB - Kvartalsstatistikk</t>
  </si>
  <si>
    <t>HRNO: RPLLONV0 - adding user-specific wage types for loan</t>
  </si>
  <si>
    <t>HRNO: ATS report -issues June 2013</t>
  </si>
  <si>
    <t>RPUTILV1* - changes in internal utilities - June 2013  [1/2]</t>
  </si>
  <si>
    <t>RPUTILV1* - changes in internal utilities - June 2013  [2/2]</t>
  </si>
  <si>
    <t>HRNO: Reimbursement report - printing AP days</t>
  </si>
  <si>
    <t>HRNO: Reimbursement reconciliation - finding NAV office</t>
  </si>
  <si>
    <t>HRNO: Infotype 1653 (Retirement age)- integration to PPOME</t>
  </si>
  <si>
    <t>Corrections to UNJSPF Common HR Interface</t>
  </si>
  <si>
    <t>Common HR Interface - Incorrect Error Message</t>
  </si>
  <si>
    <t>HNZULVR0 - average working hrs/day incorrect in some cases</t>
  </si>
  <si>
    <t>PY-NZ : Incorrect heading in HNZLABQ0 program</t>
  </si>
  <si>
    <t>RPCSSRP0: Corrections 2013 III</t>
  </si>
  <si>
    <t>RPCMIDP0: New Incomes categories cumulation wage types</t>
  </si>
  <si>
    <t>CA/VA in twelfths for Generic statistical report</t>
  </si>
  <si>
    <t>Monthly income declaration: corrections VII</t>
  </si>
  <si>
    <t>CGA: new situation code 61 (sickness absence)</t>
  </si>
  <si>
    <t>DSV-3: sums format in the XML file</t>
  </si>
  <si>
    <t>SZV-6-4, RSV-1: cumulative updates 06.2013</t>
  </si>
  <si>
    <t>RUPRT N: Import of Actual OC Data in Retro; CE Contract Mode</t>
  </si>
  <si>
    <t>HR-RU: RUSI0 SI group changing on date of absence</t>
  </si>
  <si>
    <t>HR-RU: RUCDT in case of changing WPBP splits and C0 exists</t>
  </si>
  <si>
    <t>4-FSS new form layout according to Order N107n, 19.03.2013</t>
  </si>
  <si>
    <t>Proportional Calculation of Additional PF Payments for HWC</t>
  </si>
  <si>
    <t>RSV-1, SZV-6-4: identification of the CNTR1 split</t>
  </si>
  <si>
    <t>Note 1777207: keep negative balance if reverse is impossible</t>
  </si>
  <si>
    <t>HR-RU: Wage Types for SI Exemptions for Reporting Purposes</t>
  </si>
  <si>
    <t>HRSE: RPLLASS1 - wrong length of employment if JUPER changed</t>
  </si>
  <si>
    <t>HRSE: RPREHBS0 - More absences per day wrongly displayed</t>
  </si>
  <si>
    <t>HRSE: RPIABSS0_NEW - New letter for Parrental leave in CE</t>
  </si>
  <si>
    <t>HR-SE:RPLRQTS0 parameter for information about requestor</t>
  </si>
  <si>
    <t>HRSE:Car benefit - rounding correction</t>
  </si>
  <si>
    <t>HRSE: Dump in Quota calc. when Absence is less 3 minutes</t>
  </si>
  <si>
    <t>HRSE: Wrong reduction of non-eligible days during accrual</t>
  </si>
  <si>
    <t>HRSE: Vacation Quota 45 - last day incorrectly paid</t>
  </si>
  <si>
    <t>EHP5: AW ceiling reset for legal entity transfer</t>
  </si>
  <si>
    <t>Overseas date display in IR8A and IR8E form</t>
  </si>
  <si>
    <t>Output error in IR8S report for split in an year</t>
  </si>
  <si>
    <t>Avg allowance display in NRS report for cross month absence</t>
  </si>
  <si>
    <t>PY-SG: CPF status change in retro period</t>
  </si>
  <si>
    <t>PY-SG: CCL issues</t>
  </si>
  <si>
    <t>Date of commencement in IR8S report</t>
  </si>
  <si>
    <t>PY-SG: Legal change for Labour market survey report 2013</t>
  </si>
  <si>
    <t>PY-SG: CCL issue - Wagetypes MLO, MLB, MLC not processed</t>
  </si>
  <si>
    <t>PY-SG: Correction to note 1868644</t>
  </si>
  <si>
    <t>PY-SG: M&amp;P Leave Validation issues</t>
  </si>
  <si>
    <t>MSO file for mid period fund type change</t>
  </si>
  <si>
    <t>PY-TH: Issue in Social Security reports</t>
  </si>
  <si>
    <t>TAX calculation incorrect in case of Expense Immov. Prop</t>
  </si>
  <si>
    <t>PY-TH: Incorrect SS and PF contribution</t>
  </si>
  <si>
    <t>SNHI ER Premium Calculation Enhancement</t>
  </si>
  <si>
    <t>HTWLSHI0: Wrong Total Wages when NHI Transfer Out in IT0355</t>
  </si>
  <si>
    <t>HTWLLPD0: LI retro amount is not considered in system data</t>
  </si>
  <si>
    <t>HTWLAM00: Incorrect NP ID No. for Foreigners without TW ID</t>
  </si>
  <si>
    <t>RPCLMRU0: Infotype records not created for off-cycle runs</t>
  </si>
  <si>
    <t>UGARN: Incorrect Child Support EFT format for Wisconsin</t>
  </si>
  <si>
    <t>NWH: New Hire Report output missing field for KY, MI and SC</t>
  </si>
  <si>
    <t>NWH: New Hire Reporting legal compliance for 2013.</t>
  </si>
  <si>
    <t>TR: EFW2 SUI format for New Mexico</t>
  </si>
  <si>
    <t>TR: Form 940 PR Line 12 Incorrect</t>
  </si>
  <si>
    <t>Q2/2013: Functional changes for U.S. Tax Reporter.</t>
  </si>
  <si>
    <t>TR: Additional Medicare from previous quarters not retrieved</t>
  </si>
  <si>
    <t>TAX: Reciprocity not considered for "Taxable but not ta</t>
  </si>
  <si>
    <t>TAX: Wage types for Additional Medicare tax</t>
  </si>
  <si>
    <t>PY-US: Zero vacation hours in retro with multiple WPBP</t>
  </si>
  <si>
    <t>TAX: West Point Occupational Tax rate change</t>
  </si>
  <si>
    <t>[VE] Error in seniority payment after an off-cycle</t>
  </si>
  <si>
    <t>DAQ - Enhancements of view V_T5F99FD</t>
  </si>
  <si>
    <t>Latest SARS Codes text from view V_T5W67_2009 in IRP5 form</t>
  </si>
  <si>
    <t>Tax Calculations Directors Bursaries for Relatives</t>
  </si>
  <si>
    <t>UIF Report Selection Screen has Incorrect Data Type</t>
  </si>
  <si>
    <t>SAPKE60464</t>
  </si>
  <si>
    <t>Infotyp 55: Kein Vorschlagswert für Lohnarten</t>
  </si>
  <si>
    <t>Commuter rate IT 58: Columns switched in screen 3000</t>
  </si>
  <si>
    <t>ELDA-KSB-Abgleich: Fehler in Klasse für IT3248</t>
  </si>
  <si>
    <t>CN Inconsistent between Applicaiton status and text filed</t>
  </si>
  <si>
    <t>HRDK: IT0002 - CPR Number conflicting with one another</t>
  </si>
  <si>
    <t>Infotype 0424: supporting spaces in case number</t>
  </si>
  <si>
    <t>PA-PA-GB: Performance tuning for Posted Cost report</t>
  </si>
  <si>
    <t>PA-PA-GB: IT0002 dumps with IT3346, RPUPAV00 cannot be run</t>
  </si>
  <si>
    <t>PA-PA-GB: RTI Display Report - PCL4 import failed</t>
  </si>
  <si>
    <t>IT0022: location of training field length is short in screen</t>
  </si>
  <si>
    <t>IT3140: Enhancements on Screen Fields</t>
  </si>
  <si>
    <t>SEPA conversion report</t>
  </si>
  <si>
    <t>Qatar Petty Cash Enhancement</t>
  </si>
  <si>
    <t>Search help for Order types in infotype 295</t>
  </si>
  <si>
    <t>FSSDP:HRULAPL4,HRULFNLC - some phone numbers are trimmed</t>
  </si>
  <si>
    <t>Month Number in Tag 'Month' of XML File for the Form SZV-6-4</t>
  </si>
  <si>
    <t>HR-RU: dump in HRUUFST0 - TABLE_INVALID_INDEX</t>
  </si>
  <si>
    <t>IT00298 and view T7RURS long text display</t>
  </si>
  <si>
    <t>PA-PA-SG: Child Care Leave issues</t>
  </si>
  <si>
    <t>PA-PA-SG: Correction for note 1876702</t>
  </si>
  <si>
    <t>PA-PA-SG: CCL quota generation issue</t>
  </si>
  <si>
    <t>Termination Data(IT0546) Overview Screen Translation Error</t>
  </si>
  <si>
    <t>LC-TH: Change Social Security rate from Jan 1st 2013</t>
  </si>
  <si>
    <t>Add Text for Infotype 0818(New Pension TW)</t>
  </si>
  <si>
    <t>ESS: Incorrect spelling on details screen of W-4</t>
  </si>
  <si>
    <t>IT0210: Filing Status field no longer set to mandatory</t>
  </si>
  <si>
    <t>Bundling of corrections for HCM US Master Data</t>
  </si>
  <si>
    <t>BEN:Issue with age catchup limit for HSA plans</t>
  </si>
  <si>
    <t>VA Kürzung beim Ausgleichspflichtigen: Korrekturen 1/2013</t>
  </si>
  <si>
    <t>Rentenbezugsmitteilungen per CSV-Datei</t>
  </si>
  <si>
    <t>RBM: Nachtrag CSV-Meldungen</t>
  </si>
  <si>
    <t>Versorgungsausgleich: Korrekturen / Erweiterungen 2/2013</t>
  </si>
  <si>
    <t>[AR] Missing wage type /309 in off-cycle</t>
  </si>
  <si>
    <t>[AR] Incorrect amounts in SICORE report with retro</t>
  </si>
  <si>
    <t>[AR] Incorrect Income Tax proration with SAC</t>
  </si>
  <si>
    <t>[AR] Documentation: Maternity in SICOSS and Other employer</t>
  </si>
  <si>
    <t>[AR] Special deduction not considered in 2nd semester 2013</t>
  </si>
  <si>
    <t>LC: BIC und IBAN Nummer für AK und AW Meldungen</t>
  </si>
  <si>
    <t>RPCALCA0: BMV Lohnarten mit SV-Splits falsch erzeugt</t>
  </si>
  <si>
    <t>rpcalca0: Permanenter Jahresausgleich Korrektur</t>
  </si>
  <si>
    <t>LC: Form HR_AT_GLZ_04 in PDF</t>
  </si>
  <si>
    <t>SV: Laufende HBG wird um 0,01 überschritten (2)</t>
  </si>
  <si>
    <t>PCALZ: Plant traffic and company car identical</t>
  </si>
  <si>
    <t>PCALZ: Fehler wenn Teilapplikation B596 aktiv ist</t>
  </si>
  <si>
    <t>RPIBGAA0: J3u und Y3u fehlen</t>
  </si>
  <si>
    <t>PY-AT: Abrechnungsfunktion AWPBP</t>
  </si>
  <si>
    <t>KSB: IT3248 mit Felder für Krankengeld</t>
  </si>
  <si>
    <t>Leave liability report applies incorrect provision factors</t>
  </si>
  <si>
    <t>4-Corrections for Legal change Superannuation 2013</t>
  </si>
  <si>
    <t>PS Leave loading issue across fin. year</t>
  </si>
  <si>
    <t>Decoupling AMT operation subroutine for CE and NonCE</t>
  </si>
  <si>
    <t>ABN incorrectly displayed in few cases of Date override</t>
  </si>
  <si>
    <t>5-Corrections to Superannuation legal change, Off-cycle</t>
  </si>
  <si>
    <t>Function QPWCT is dropping Workers Compensation WT /GWC</t>
  </si>
  <si>
    <t>PS:LSE amounts not adjusted when there are splits</t>
  </si>
  <si>
    <t>Incorrect Superannuation Default Contribution Percentage.</t>
  </si>
  <si>
    <t>8:Missing code changes for Super Guarantee Legal Change 2013</t>
  </si>
  <si>
    <t>Split ETP entries are doubling up on the output</t>
  </si>
  <si>
    <t>6 : Correction Superannuation Legal Change /142, /141</t>
  </si>
  <si>
    <t>9: Correction to Superannuation Legal changes 2013</t>
  </si>
  <si>
    <t>10: Correction to Superannuation Legal changes 2013</t>
  </si>
  <si>
    <t>Bonus Taxation inconsistent due to incorrect averages</t>
  </si>
  <si>
    <t>11: Correction to Superannuation Legal changes 2013</t>
  </si>
  <si>
    <t>12: Correction to Superannuation Legal changes 2013</t>
  </si>
  <si>
    <t>13: Correction to Superannuation Legal changes 2013</t>
  </si>
  <si>
    <t>Incorrect WIC calculation in termination organiser</t>
  </si>
  <si>
    <t>14: Correction to Superannuation Legal changes 2013</t>
  </si>
  <si>
    <t>Taxable Gross Reversal for Termination offcycle payroll</t>
  </si>
  <si>
    <t>ATO file incorrect for EEs with multiple company codes</t>
  </si>
  <si>
    <t>15: Correction to Superannuation Legal changes 2013</t>
  </si>
  <si>
    <t>Incorrect averages in case of an off-cycle pay roll run</t>
  </si>
  <si>
    <t>No message for ETP generation when 'Message Log Only' ticked</t>
  </si>
  <si>
    <t>Whole of Income Cap(CAPLB) incorrect for retro termination</t>
  </si>
  <si>
    <t>Lump Sum C Tax refunded back for XFY retro scenarios</t>
  </si>
  <si>
    <t>Dimona - INSS change - Update infotype 735 and T5BDI0</t>
  </si>
  <si>
    <t>BELCOTAX: Selected Update declaration and use of BETAX</t>
  </si>
  <si>
    <t>DmfA: Structural Reduction - total miu calculation</t>
  </si>
  <si>
    <t>SOCIAL BALANCE: Employee detail section - split not relevant</t>
  </si>
  <si>
    <t>DmfA Update: detection of differencies for Capelo &amp; REMI</t>
  </si>
  <si>
    <t>Advance taxes wrongly calculated for Free of SI employees</t>
  </si>
  <si>
    <t>Legal Change on Pension Capital Payments</t>
  </si>
  <si>
    <t>Dimona - Preparation Report - Student - Quarter issue</t>
  </si>
  <si>
    <t>DmfA: Occupation Start Date when dismissal</t>
  </si>
  <si>
    <t>Company Car - Amount of /162 with currency and sw_dec = ''</t>
  </si>
  <si>
    <t>BELCOTAX - XML file with XML Tags bigger than 60 chars</t>
  </si>
  <si>
    <t>Additional Holiday pay not in basis for reduction low wages</t>
  </si>
  <si>
    <t>Dump in Payroll with only end of year premium</t>
  </si>
  <si>
    <t>IT 0505 - Data of IT 0109 not included in structure PMEBW</t>
  </si>
  <si>
    <t>DmfA: Empty unrelated contribution base declared</t>
  </si>
  <si>
    <t>DmfA: Dismissed on first day of next quarter</t>
  </si>
  <si>
    <t>SEFIP: different amount reported on field 16 of record 30</t>
  </si>
  <si>
    <t>Informe de Rendimentos: wrong amount for field 'Others'</t>
  </si>
  <si>
    <t>HBRCEDT0: Wrong CNPJ information</t>
  </si>
  <si>
    <t>BRGAR: IRRF on profit share does not deduct paid amount</t>
  </si>
  <si>
    <t>GPS: Does not report payments after termination</t>
  </si>
  <si>
    <t>GON: Profit sharing periodicity changed</t>
  </si>
  <si>
    <t>TAX: Incorrect cross year carry forward for negative adjust.</t>
  </si>
  <si>
    <t>TAX:Vaca. pay calculated on YTD earnings instead of PP Earn.</t>
  </si>
  <si>
    <t>TAX : Tax update effective 1st July 2013</t>
  </si>
  <si>
    <t>TAX: Incorrect Vacation pay for offcycle run</t>
  </si>
  <si>
    <t>ROE: B17B statutory pay enhancement XML correction</t>
  </si>
  <si>
    <t>YE12: Correction to YE report</t>
  </si>
  <si>
    <t>Incorr. reentry date in case of reentry in AHV pay statement</t>
  </si>
  <si>
    <t>CE CH: Korrekturen divers der CE-Abrechnung Schweiz, I</t>
  </si>
  <si>
    <t>HR-CH: LSE (RPLBGAC3), Anpassung der Merkmale</t>
  </si>
  <si>
    <t>[CL] Incorrect Reliquidation with Gratuity on Termination</t>
  </si>
  <si>
    <t>[CL] Corrections in PREVIRED report</t>
  </si>
  <si>
    <t>Diff. of SI/PHF -Salary Not Deducted from Bonus in Tax Calc.</t>
  </si>
  <si>
    <t>Enhance Report HCNCAVG0 to Display More Than 20 Wage Types</t>
  </si>
  <si>
    <t>HCM Declustering für Abrechnungscluster Deutschland</t>
  </si>
  <si>
    <t>B2A: Composite SAP Note 01/2013</t>
  </si>
  <si>
    <t>SV: Composite SAP Note data exchange 8/2013</t>
  </si>
  <si>
    <t>SRHC/flexible working hours policy: Monthly retention limit</t>
  </si>
  <si>
    <t>Min leave compensation: Transf of wage type /BBJ at Y-e L CH</t>
  </si>
  <si>
    <t>MLR illness: Gr. wage hrly rate from prev. month(s) not used</t>
  </si>
  <si>
    <t>Breakdown of Trade Tax: Construction Indust.: Incomplete log</t>
  </si>
  <si>
    <t>SKV: Runtime error if long-term illness &amp;gt; 999.00 hours</t>
  </si>
  <si>
    <t>Leave w/ IT2006: Start date for indus. workers in final year</t>
  </si>
  <si>
    <t>ELStAM: Corrections after year-end legal change 26/2013</t>
  </si>
  <si>
    <t>ELStAM: Corrections to SAP Note 1880902 (26/2013)</t>
  </si>
  <si>
    <t>EEL: Corrections and enhancements (08/2013)</t>
  </si>
  <si>
    <t>EBeschV: Minor corrections 3</t>
  </si>
  <si>
    <t>Prohibited activities: Different amounts for RA</t>
  </si>
  <si>
    <t>Mid-month change to basic pay in maternity protection period</t>
  </si>
  <si>
    <t>IBAN missing in view V_5D2B_B</t>
  </si>
  <si>
    <t>BVV:Old notific report continues to create zero notification</t>
  </si>
  <si>
    <t>Warning due to missing wage type MU83 in fictitious run</t>
  </si>
  <si>
    <t>Payroll: Superfluous additional log for error message</t>
  </si>
  <si>
    <t>Tax auditor: Role SAP_AUDITOR_TAX_HR</t>
  </si>
  <si>
    <t>Strukturausgleich: Herabgruppierung</t>
  </si>
  <si>
    <t>BÜZ: Garantierte Auszahlung bei Tilg. Kindergeldüberzahlung</t>
  </si>
  <si>
    <t>Bewertungsgrundlage Überstunden: individ. Stundensatz falsch</t>
  </si>
  <si>
    <t>Korrekturen zur Hochschulstatistik</t>
  </si>
  <si>
    <t>Laufende Erstattungen nach § 10 VersStaatsV (13)</t>
  </si>
  <si>
    <t>Data not processed correctly by rep. RPCDEPBSVANO_MASS_PRINT</t>
  </si>
  <si>
    <t>Pension equalization: Dynamic modification inconsistent</t>
  </si>
  <si>
    <t>Labor costs census 2012: Minor corrections 4</t>
  </si>
  <si>
    <t>CALC: Missing retroactivity control for SAP note 1723753</t>
  </si>
  <si>
    <t>CALC: New procedure to avoid retrocalculation in SPA</t>
  </si>
  <si>
    <t>AFI: Gathered strike periods</t>
  </si>
  <si>
    <t>Certific@2: &amp;lt;Datos_Cotizacion&amp;gt; for ERE from previous p</t>
  </si>
  <si>
    <t>TC: File generated for employees without results in SV</t>
  </si>
  <si>
    <t>AFI: Detailed log flag</t>
  </si>
  <si>
    <t>TC: Store payroll results in T5EC1 without FAN file</t>
  </si>
  <si>
    <t>CALC: Number of days calculated from 02/2012 on M719 wage</t>
  </si>
  <si>
    <t>TAE: 2 new parameters in HRPAYES_BANK_TRANSFER BAdI</t>
  </si>
  <si>
    <t>TC: Wrong values for Test Indicator</t>
  </si>
  <si>
    <t>IRPF: Province presented in the wrong language</t>
  </si>
  <si>
    <t>UTIL: General class for tables upload</t>
  </si>
  <si>
    <t>BONIFICACIONES: Wrong contract key for 1102 and 1103 methods</t>
  </si>
  <si>
    <t>SSOCIAL: Adaptation of infotype 0061 and AFI to PSE</t>
  </si>
  <si>
    <t>RED 4/2013: new values for domains</t>
  </si>
  <si>
    <t>RPCMSVE0 split: ESV00</t>
  </si>
  <si>
    <t>CP: Contract update of PE-177 model</t>
  </si>
  <si>
    <t>Contrat@: Update of view V_T5E77</t>
  </si>
  <si>
    <t>TC: Incorrect amount in CD17 for 0041 bonification method</t>
  </si>
  <si>
    <t>190: Issue when using optional Current Results flag</t>
  </si>
  <si>
    <t>CALC: Issue with 0003 bonification method and VND</t>
  </si>
  <si>
    <t>PA: Wrong attribution of CCC field in 0061 infotype</t>
  </si>
  <si>
    <t>HRFI: Several cases not or wrong reported by HFILTYEL1</t>
  </si>
  <si>
    <t>HRFI: PC00_M44_LKEL0 - Error transmitting data (9709)</t>
  </si>
  <si>
    <t>HRFI: ABAP Runtime Errors When Executing Transaction SCU0</t>
  </si>
  <si>
    <t>HRFI: HFILSEA0 - Statement of Earnings - Company ID Needed</t>
  </si>
  <si>
    <t>HRFI: Checkman - "Accessibility" attribute</t>
  </si>
  <si>
    <t>HRFI: V_T7FIA layout: change step loop into control table</t>
  </si>
  <si>
    <t>DUCS:CICE "Crédit d'impôt pour la compétitivité et l'em</t>
  </si>
  <si>
    <t>N4DS: S45.G05.15 - amounts missing if contract cancellation</t>
  </si>
  <si>
    <t>RPLDUEF0: issue with the short-term contract end date</t>
  </si>
  <si>
    <t>RPLDATF2 : Wrong adress for employer</t>
  </si>
  <si>
    <t>CICE: /127 not accumulated correctly in CCRT</t>
  </si>
  <si>
    <t>DUCS: CICE improvements</t>
  </si>
  <si>
    <t>Error "ABAP_FALSE" unknown during note 1865770 imp</t>
  </si>
  <si>
    <t>N4DS: Absence interval - end reason code missing</t>
  </si>
  <si>
    <t>Loi relative à la sécurisation de l'emploi: Corrections (I)</t>
  </si>
  <si>
    <t>DUCS: CICE - missing contributions for employees that left</t>
  </si>
  <si>
    <t>DN-AC AED: decease not consider as a leaving action</t>
  </si>
  <si>
    <t>PY-GB: Incorrect PENS table for Late New Starter</t>
  </si>
  <si>
    <t>RTI : Incorrect YTDs on RTI/RTINI, EEs and ERs NICs TP</t>
  </si>
  <si>
    <t>PY-GB: P11D B2A Manager record creation issue</t>
  </si>
  <si>
    <t>RTI:Re-hire scenario fails when FPS runs for current period</t>
  </si>
  <si>
    <t>PY-GB: PAE: Re-print, Re-email functionality</t>
  </si>
  <si>
    <t>PY-GB: PAE: Requirement to default NI Cat C and X</t>
  </si>
  <si>
    <t>PY-GB: P11D Car sequence; Loan on eP11D; Timeframe splits</t>
  </si>
  <si>
    <t>PY-GB: PAE: Postponement within the current pay period 2</t>
  </si>
  <si>
    <t>PY-GB: IT0016: Wrong Organisation name</t>
  </si>
  <si>
    <t>RTI : Retirees with employment status as '02'</t>
  </si>
  <si>
    <t>RTI: BACS&amp;Cheque payments / DTONI - late leavers / ME -</t>
  </si>
  <si>
    <t>PY-GB: EOY - P60 Email format</t>
  </si>
  <si>
    <t>FPS: student loan YTD for leaver on the last day</t>
  </si>
  <si>
    <t>PY-GB: P45 incorrect display of foreign address</t>
  </si>
  <si>
    <t>PY-GB: IT3297 - Pension Reforms - Warning message</t>
  </si>
  <si>
    <t>PY-GB: P11D Incorrect Gateway Test Flag value in prod.sys.</t>
  </si>
  <si>
    <t>PY-GB: PAE: Auto-Enrolment refreshing PENS cumulatives</t>
  </si>
  <si>
    <t>PY-GB: PAE: BADI amended to allow changes to email recipient</t>
  </si>
  <si>
    <t>PY-GB: PAE: Membership Date cleared pre/post payroll reports</t>
  </si>
  <si>
    <t>PY-GB: P11D Private Contribution issue</t>
  </si>
  <si>
    <t>PY-GB: PAE: Mass Opt Out Report: NEST reference number field</t>
  </si>
  <si>
    <t>PY-GB: IT0002 dumps with IT3346, RPUPBV00 cannot be run</t>
  </si>
  <si>
    <t>PY-GB: PAE: EJHs ceasing membership cannot be opted back in</t>
  </si>
  <si>
    <t>PY-GB: PAE: Mass Opt Out: Lock records</t>
  </si>
  <si>
    <t>IT0065 updation by RTI P45 report and IT0065 in CE module</t>
  </si>
  <si>
    <t>HRGB: Tax code 0T for "Employee to Pensioner"</t>
  </si>
  <si>
    <t>RTI - EAS - Multiple employment</t>
  </si>
  <si>
    <t>PY-GB: HESA 2012/13 Extraction report corrections</t>
  </si>
  <si>
    <t>Rental Address Period issue of IR56 form</t>
  </si>
  <si>
    <t>Withhold amount incorrect in IR56G after 1850859 applied</t>
  </si>
  <si>
    <t>Print amended IR56F form if termination date change</t>
  </si>
  <si>
    <t>Negative amount appears in item 11 in IR56B form</t>
  </si>
  <si>
    <t>PY-HK YEA Payroll Error - Split of Address</t>
  </si>
  <si>
    <t>Reprint previous IR56F form if termination date change</t>
  </si>
  <si>
    <t>Payroll Error for No Entry in Table T549A for Key</t>
  </si>
  <si>
    <t>Incorrect P45 details for a leaver who was on WEEK1/MONTH1.</t>
  </si>
  <si>
    <t>PY:IE (TAX) Incorrect number of emergency periods applied.</t>
  </si>
  <si>
    <t>PY:IE Incorrect tax refunds generated for inactive employees</t>
  </si>
  <si>
    <t>HRIE: LPT - Week 53, AHP, Negative deductable amount, ORT</t>
  </si>
  <si>
    <t>PY-IE: ERN change - P45 report/IT0359 update</t>
  </si>
  <si>
    <t>PY-IE: ERN change - IECHG feature</t>
  </si>
  <si>
    <t>HRIE: LPT, P30 P45 P46 EOY</t>
  </si>
  <si>
    <t>HRIE: PPSN on the Pension report</t>
  </si>
  <si>
    <t>PZ80: Amount Field For Section 80 Details Appearing Blank</t>
  </si>
  <si>
    <t>HINCALC0: Inconsistency in Section 89 calculation</t>
  </si>
  <si>
    <t>North East Tax Exemption Changes</t>
  </si>
  <si>
    <t>Changes in Form 24Q with respect to FVU 3.7 for FY-2103</t>
  </si>
  <si>
    <t>IT0007: Workhours not adjusted to new employment percentage</t>
  </si>
  <si>
    <t>HINCF24Q: File Validation Utility version 3.8</t>
  </si>
  <si>
    <t>Form 16: Chapter VI deduction inconsitency in alv</t>
  </si>
  <si>
    <t>Short Dump During Deferred Loans Computations</t>
  </si>
  <si>
    <t>HINCF24Q: Period parameter error during runtime</t>
  </si>
  <si>
    <t>ICPRV: Balance calculation based on wagetype number (ANZHL)</t>
  </si>
  <si>
    <t>F24: season INAIL is not being generated correctly</t>
  </si>
  <si>
    <t>F24 credit compensation - CBI file Sort</t>
  </si>
  <si>
    <t>ITVG: Rule created wrongly</t>
  </si>
  <si>
    <t>HR-IT:Wrong month calculation of Contributo di licenziamento</t>
  </si>
  <si>
    <t>UNIEMENS: Visibility of AnnoMeseDal tag (ImportoPregresso)</t>
  </si>
  <si>
    <t>HR-IT: ITASS wrong determination of the absence on payslip</t>
  </si>
  <si>
    <t>Certificati di Malattia online (Illness certificate)</t>
  </si>
  <si>
    <t>F24: changes in the structure for F24 payments</t>
  </si>
  <si>
    <t>HR-IT: RPUPAV00 for Italy (molga 15) Corrections</t>
  </si>
  <si>
    <t>RPCPRTJ0: Otsu-Ran without Income Should Not Be Output</t>
  </si>
  <si>
    <t>RPCELVJ0&amp;RPCEWCJ0: Wage Basis Days for Hourly Wage Earne</t>
  </si>
  <si>
    <t>RPCEWGJ1: Output for Special Executive Retirement Allowance</t>
  </si>
  <si>
    <t>PY-JP-SI</t>
  </si>
  <si>
    <t>Social Insurance Grade Evaluation</t>
  </si>
  <si>
    <t>RPCSISJ0: Geppen Evaluation enhancement</t>
  </si>
  <si>
    <t>2013LR:Tax-Deferring of DB Retirement Pension (Report)</t>
  </si>
  <si>
    <t>Incorrect EI Premium in Retirement Payroll</t>
  </si>
  <si>
    <t>Exclude NP from taxable income from 2013 in HKRCYEA0</t>
  </si>
  <si>
    <t>[MX] Payroll rule MX94 is not spliting properly overtime</t>
  </si>
  <si>
    <t>[MX] Incorrect proportional INFONAVIT fixed amount payment</t>
  </si>
  <si>
    <t>[MX] Documentation for Unified Registry for Civil Servants</t>
  </si>
  <si>
    <t>PY-MY: Legal Change - EPF Retirement Age from 55 to 60</t>
  </si>
  <si>
    <t>PY-MY: Tax rounding issue in semi-monthly Payroll</t>
  </si>
  <si>
    <t>Missing postal code in EPF Form</t>
  </si>
  <si>
    <t>T511P values not cleared when Payroll is run for grp of EE's</t>
  </si>
  <si>
    <t>PY-MY: SOCSO8B report Output file is out of alignment</t>
  </si>
  <si>
    <t>YELC 2012/2013: Crisis Tax: Runtime Error CX_SY_ARITHMETIC_O</t>
  </si>
  <si>
    <t>Multiple Withdrawals Life Course Savings with 80% Regulation</t>
  </si>
  <si>
    <t>RPCLAPN0 Technical Adjustment</t>
  </si>
  <si>
    <t>Annual Employment Tax Statement for 2013 - Dutch Translation</t>
  </si>
  <si>
    <t>LA Composer Generates .Zip File</t>
  </si>
  <si>
    <t>Report WCR Overview Incomplete Display of Data</t>
  </si>
  <si>
    <t>Aangifte LH: Wrong NUMIV After Change of BSN</t>
  </si>
  <si>
    <t>HRNO: Reimbursable AP days counting</t>
  </si>
  <si>
    <t>HRNO - The Wrong customizing - TAX code/Wage types</t>
  </si>
  <si>
    <t>HRNO: SPK - correction of issues - May / June 2013</t>
  </si>
  <si>
    <t>HRNO: Error in Reimbursement Reconciliation report</t>
  </si>
  <si>
    <t>HRNO: Reimbursement and calculating of OREF</t>
  </si>
  <si>
    <t>HRNO: Reimbursement: WTs /847 and /85x - # days reduced</t>
  </si>
  <si>
    <t>HRNO: SPK - correction of issues - July 2013</t>
  </si>
  <si>
    <t>HRNO: LC Max Date improvement</t>
  </si>
  <si>
    <t>HRNO: Incorrect dates in field 2.3 in NAV form 08-30.01</t>
  </si>
  <si>
    <t>HRNO: Max dates import from K27 file removes other dates</t>
  </si>
  <si>
    <t>HRNO: PD Infotype 1653 - screen 7000 fix (MP165300)</t>
  </si>
  <si>
    <t>Feature UNWID Enhanced with New Field 'DPAGE' For Decision</t>
  </si>
  <si>
    <t>Hide Field 'P0959-SPRNR' in IT0959</t>
  </si>
  <si>
    <t>Transitional Mechanism For SOLA</t>
  </si>
  <si>
    <t>Field P0959-SPEAR is Not Editable</t>
  </si>
  <si>
    <t>Rental Subsidy Reimbursement Application Type PUN_RSREA</t>
  </si>
  <si>
    <t>V_T7UNPAD_DS1P_O - Change of Fields Layout</t>
  </si>
  <si>
    <t>System Uses Higher Duty Details Instead Nominal Details</t>
  </si>
  <si>
    <t>System Determines Value of EVE Attribute DSSTY Incorrectly</t>
  </si>
  <si>
    <t>Field EDUAT is Set to 'X' By Default in IT0021 for Child</t>
  </si>
  <si>
    <t>Duty Station DSA/MSA - Old record is deleted when delimiting</t>
  </si>
  <si>
    <t>EMS and Remittance do not exclude void or reversed results</t>
  </si>
  <si>
    <t>PY-NZ : Corrections to validations of Infotype 310</t>
  </si>
  <si>
    <t>PY-NZ : Company contr WT is lost in retro in case of splits</t>
  </si>
  <si>
    <t>PY-PH: LC - Change in field type for RDO Code in IT0411</t>
  </si>
  <si>
    <t>PY-PH: Alphalist Export to Local File</t>
  </si>
  <si>
    <t>Issue with HDMF contribution form ALV output display</t>
  </si>
  <si>
    <t>Single Report: General Corrections for 2012 V</t>
  </si>
  <si>
    <t>RPCNRRP0: General Corrections I</t>
  </si>
  <si>
    <t>CA/VA in twelfths in Generic statistical report: corrections</t>
  </si>
  <si>
    <t>RPCMIDPO: Substitution Declaration</t>
  </si>
  <si>
    <t>SIOE General Corrections 2013</t>
  </si>
  <si>
    <t>CGA: split of employee/employer basis contribution (payroll)</t>
  </si>
  <si>
    <t>ADSE compensation without CA/VA amount</t>
  </si>
  <si>
    <t>ADSE compensation without CA/VA amount in 4 days week regime</t>
  </si>
  <si>
    <t>CGA report: Corrections II - 2013</t>
  </si>
  <si>
    <t>SIOE: wrong description of juridical relation</t>
  </si>
  <si>
    <t>Law 39/2013: Change of IRS tables of pub. sector EEs cat. A</t>
  </si>
  <si>
    <t>HR-RU: HRULAPSI-Incorrect Amount in Note-Calculation (P.4)</t>
  </si>
  <si>
    <t>SZV-6-4: cumulative updates 07.2013</t>
  </si>
  <si>
    <t>4-FSS new XML layout according to Order N107n, 19.03.2013</t>
  </si>
  <si>
    <t>Multiple issues in 4-FSS and PAY2 legal forms</t>
  </si>
  <si>
    <t>FSSDP: Employee Tax and Pension Fund registration numbers</t>
  </si>
  <si>
    <t>FSSDP: Representative in Funeral Compensation Note</t>
  </si>
  <si>
    <t>FSSDP: Customizing of wage type codes for reports</t>
  </si>
  <si>
    <t>4-FSS: missing data in the Table 7 Row 12</t>
  </si>
  <si>
    <t>Global pay increase after payroll period</t>
  </si>
  <si>
    <t>HR-RU: HR_RU_AV_REL_PREV_YEAR for future vacation with SPPE2</t>
  </si>
  <si>
    <t>HR-RU: New default payroll area RU for Russia</t>
  </si>
  <si>
    <t>HR-RU: RUOC1 issues with SGMNT in wpbp and ALP splits</t>
  </si>
  <si>
    <t>HR-RU: Wrong bonus recalc in RUAVE with NEWAV if SPPE2 exist</t>
  </si>
  <si>
    <t>Tax Percentage and Juper change retroactively mid-month</t>
  </si>
  <si>
    <t>HRSE: RPSSBKS0 - Incorrect output data assignment</t>
  </si>
  <si>
    <t>HRSE: Influx/outflux correction of WT /6xx (debt)</t>
  </si>
  <si>
    <t>HRSE: RPLTCES0 - Sec.11, Part-time Abs. added to Work.hours</t>
  </si>
  <si>
    <t>HRSE: RPCKU1S0 - Creating TemSe file for KU20 form</t>
  </si>
  <si>
    <t>HRSE: RPSSBSS0 - Wrong year in generated Text file</t>
  </si>
  <si>
    <t>HRSE: RPCEDTS0 - Absence grouping via Subtype on Payslip</t>
  </si>
  <si>
    <t>HRSE: RPLLASS2 - Check of Employment for at least 365 days</t>
  </si>
  <si>
    <t>HRSE: Union dues is deducted retroactively</t>
  </si>
  <si>
    <t>HRSE: Rule SEP1 for SEIF operation</t>
  </si>
  <si>
    <t>HRSE: split RPCBURS0 into includes per operations</t>
  </si>
  <si>
    <t>IR8A download file for income &amp;lt; 1SGD</t>
  </si>
  <si>
    <t>PY-SG: IRASline Cessation provision indicator is incorrect</t>
  </si>
  <si>
    <t>Payroll Exception during SDF Calcultion</t>
  </si>
  <si>
    <t>RPUPBSR8_SM - Pension simulation report CPF refund issue</t>
  </si>
  <si>
    <t>Report HTHCINS0 Registration Insured Person Form Adjustment</t>
  </si>
  <si>
    <t>TW Report Error When EE Is Foreigner without Chinese Name</t>
  </si>
  <si>
    <t>SNHI EE Premium Is Negative when Bonus Is Negative</t>
  </si>
  <si>
    <t>Enable SNHI Wage Types (/381-/386, /388) Cumulation in CRT</t>
  </si>
  <si>
    <t>Clear NHI Amount for ER SNHI Calculation in Parental Leave</t>
  </si>
  <si>
    <t>Incorrect Authorization Check for TW Tax Certificate Report</t>
  </si>
  <si>
    <t>HTWLNPP0:Incorrect Calculation for Retirement Pension Amount</t>
  </si>
  <si>
    <t>Cloud Tax Interface BSI</t>
  </si>
  <si>
    <t>Completing delivery of BF HCM_LOC_CLD_1</t>
  </si>
  <si>
    <t>US-PS: retro NAMC adjs. are not updating NRCT as they should</t>
  </si>
  <si>
    <t>Dump when running Infoset Query containing infotype 0554</t>
  </si>
  <si>
    <t>PY-US-PS-BN</t>
  </si>
  <si>
    <t>Public Sector Benefits</t>
  </si>
  <si>
    <t>BEN: 457 unutilized amount (/PCU) not reduced by Roth deduc.</t>
  </si>
  <si>
    <t>VETS100: ZIP Code not displayed correctly in report RPSVT1U0</t>
  </si>
  <si>
    <t>Bundling of corrections for HCM US Reporting (PY-US-RP)</t>
  </si>
  <si>
    <t>TR: Layout update for Form SUI OR for 2013</t>
  </si>
  <si>
    <t>TR: Online W-2 CE inactive assignments not handled correctly</t>
  </si>
  <si>
    <t>TR: Out-of-State Indicator not checked for SUI Ohio</t>
  </si>
  <si>
    <t>TR: Blank W-2c for employees without corrections</t>
  </si>
  <si>
    <t>TR: Generation of several magmedias in one file</t>
  </si>
  <si>
    <t>TR: New format for SUI Magmedia for Michigan</t>
  </si>
  <si>
    <t>TAX:Short dump in RPCALCU0 caused by numeric field overflow.</t>
  </si>
  <si>
    <t>[VE] Error in seniority payment when hiring before new LOT</t>
  </si>
  <si>
    <t>[VE] Wrong years of seniority in termination</t>
  </si>
  <si>
    <t>[VE] Update Unit Test for class CL_HRPAYVE_SENIORITY</t>
  </si>
  <si>
    <t>/401 and /402 negative in SCRT due to MA credit</t>
  </si>
  <si>
    <t>SV and ST tables header values are cleared incorrectly</t>
  </si>
  <si>
    <t>XX-CSC-ES-PS</t>
  </si>
  <si>
    <t>XX-CSC-ES-PS-HR</t>
  </si>
  <si>
    <t>S&amp;P: New customer option for "adjudicación" pr</t>
  </si>
  <si>
    <t>SAPKE60465</t>
  </si>
  <si>
    <t>0HR_PA_OS_1: field Staffing percentage incorrect</t>
  </si>
  <si>
    <t>CATS Extraktion in mehrere BW Zielsysteme</t>
  </si>
  <si>
    <t>IT 3238: Beschäftigungsstatus Zahlungen nach Austritt</t>
  </si>
  <si>
    <t>Domäne PB03_AGRD0: Abmeldegrund, Code (Text angepasst)</t>
  </si>
  <si>
    <t>HBRRTER3: Field 50 with negative amount</t>
  </si>
  <si>
    <t>Description of agent visa reset when status type 'E' is set</t>
  </si>
  <si>
    <t>Missing F4 help for the subtype field of infotype 0098</t>
  </si>
  <si>
    <t>Display of SWIFT code in infotype 0009 and 0070 for GB.</t>
  </si>
  <si>
    <t>IT0888/0889/0903: Incorrect check of IT0001 upon saving</t>
  </si>
  <si>
    <t>Revision of LINC&amp;VAN Enhancement</t>
  </si>
  <si>
    <t>HJPULV_LINJ0/HJPULV_VANJ0 Enhancement</t>
  </si>
  <si>
    <t>RPLLIDJ2 &amp; RPLLIDJ3: Output for Insured Period 99</t>
  </si>
  <si>
    <t>Mid-YEA2013: Extend Length of Fields in IT0542/IT0881</t>
  </si>
  <si>
    <t>Statutory and Operation Reports for Kuwait HCM Solution</t>
  </si>
  <si>
    <t>PA-PA-PH</t>
  </si>
  <si>
    <t>Social Security Membership Number Duplicates Allowed</t>
  </si>
  <si>
    <t>Incorrect Gender Can Be Maintained in Infotype 0021</t>
  </si>
  <si>
    <t>Infotype 2001: pop-up texts translation</t>
  </si>
  <si>
    <t>2-NDFL shows too short accountant position</t>
  </si>
  <si>
    <t>Input Help for Infotype 0184 Subtype</t>
  </si>
  <si>
    <t>M&amp;P 2013 CCL Legal Clarifications</t>
  </si>
  <si>
    <t>TAX: Cannot create new entry in WKSIT field of V_T5UTV</t>
  </si>
  <si>
    <t>FMLA: Missing Search Help Button at FMLA Request Creation</t>
  </si>
  <si>
    <t>BEN: Error in FSA contribution refund during retro calc.</t>
  </si>
  <si>
    <t>Bundling of corrections for HCM US Benefits</t>
  </si>
  <si>
    <t>Result set of SQL SELECT statement not sorted</t>
  </si>
  <si>
    <t>RBM: Korrekturen / Erweiterungen MZ01 (3/2013)</t>
  </si>
  <si>
    <t>PP61: Kurzdump CONVT_NO_NUMBER im Funktionsbaustein RH_GET_F</t>
  </si>
  <si>
    <t>[AR] Firing measure is not processed correctly on AJUS</t>
  </si>
  <si>
    <t>[AR] LC AR Decree 1006/2013 Income Tax 2013</t>
  </si>
  <si>
    <t>RPUELDA0: variabler logischer Filename</t>
  </si>
  <si>
    <t>SV ÖD: Abwesenheit untermonatig mit DG-Übernahme falsch</t>
  </si>
  <si>
    <t>Dokumentation PCALZ</t>
  </si>
  <si>
    <t>Kurzarbeit: Erweiterungen für Abwesenheitsbewertung</t>
  </si>
  <si>
    <t>PCALZ: Verbesserung Prüfvorschriften für Lohnzettel Finanz</t>
  </si>
  <si>
    <t>PCALZ: Fehlermeldung beim Erstellen der ELDA-Pakete</t>
  </si>
  <si>
    <t>IT0751 - Steuerung Beitragsbeginn BV und ELDA-An/Abmeldung</t>
  </si>
  <si>
    <t>UEKV: Abbruch bei der Simulation der Abrechnung</t>
  </si>
  <si>
    <t>RPUELDA0: Problem wegen Unicode Zeichen  (2)</t>
  </si>
  <si>
    <t>UEKV: Lohnsteuer BMG bei Vergleichszahlung fehlerhaft II</t>
  </si>
  <si>
    <t>Dokumetation: Kurzarbeit</t>
  </si>
  <si>
    <t>RPCSVBA2PBS: Beitragsart DAG wird nicht generiert</t>
  </si>
  <si>
    <t>Missing changes in different releases for SAP-HR and EA-HR</t>
  </si>
  <si>
    <t>III-Utility Report 0220 issues with drop down</t>
  </si>
  <si>
    <t>Negative wage type /130 generated in retro run</t>
  </si>
  <si>
    <t>16: Correction to Superannuation Legal changes 2013</t>
  </si>
  <si>
    <t>Pre-dme process the BT when the bank is set for deletion</t>
  </si>
  <si>
    <t>Term Org generates Wage Type from T5QLL instead of T5QTR</t>
  </si>
  <si>
    <t>Marginal taxation incorrect during offcycle payroll run</t>
  </si>
  <si>
    <t>XFY negtive leave loading not considered in /106 and /116</t>
  </si>
  <si>
    <t>Payroll shortdump due to excess entries in SHRS.</t>
  </si>
  <si>
    <t>Incorrect processing of invalidity payments in term org</t>
  </si>
  <si>
    <t>17: Off-cycle correction solution: Superannuation 2013</t>
  </si>
  <si>
    <t>No Import of /109 If employee does not have last pay result.</t>
  </si>
  <si>
    <t>18: Correction to Superannuation Legal changes 2013</t>
  </si>
  <si>
    <t>Average double up in retro for inactive employee</t>
  </si>
  <si>
    <t>19: Correction to Superannuation Legal changes 2013</t>
  </si>
  <si>
    <t>20: Correction to Superannuation Legal changes 2013</t>
  </si>
  <si>
    <t>21: Correction to Superannuation Legal changes 2013</t>
  </si>
  <si>
    <t>WIC cap incorrect if /106 is zero or negative</t>
  </si>
  <si>
    <t>ABAP dump in Leave Loading Provision calculation</t>
  </si>
  <si>
    <t>PY-AU-PS :Incorrect WIC calculation in termination workbench</t>
  </si>
  <si>
    <t>Holiday Pay - Initial Delivery - Extension Payroll Cluster</t>
  </si>
  <si>
    <t>RPTGENB0: Unit Tests</t>
  </si>
  <si>
    <t>Missing BTZNR for garnishment wage types in table RT</t>
  </si>
  <si>
    <t>Advance tax reductions - Assignment to first active period</t>
  </si>
  <si>
    <t>DMFA: dismissal after career interruption &amp; split in SV</t>
  </si>
  <si>
    <t>Garnishment: split allowance when fire date 31.12.9999</t>
  </si>
  <si>
    <t>SOCIAL BALANCE: Employee detail section incorrect split</t>
  </si>
  <si>
    <t>BELCOTAX: Fiche 281.10 - Zone 2.102 correction</t>
  </si>
  <si>
    <t>Transaction missing for report RPCTXGB0</t>
  </si>
  <si>
    <t>Dimona - Preparation Report - Student - IN instead of UPDATE</t>
  </si>
  <si>
    <t>Dimona - Preparation Report - Error messages in background</t>
  </si>
  <si>
    <t>DmfA: Additional Contribution Fund - Distribution Sector</t>
  </si>
  <si>
    <t>BELCOTAX: XML donwload - Zone 2.102 with not allowed charac.</t>
  </si>
  <si>
    <t>BELCOTAX: Filtering by fiche during generation of fiches</t>
  </si>
  <si>
    <t>Transaction PC00_M12_CDPE missing in payroll menu</t>
  </si>
  <si>
    <t>Advance Taxes - Employee Tax Reduction Statutory</t>
  </si>
  <si>
    <t>HBRRAIS0 - Christmas Advanced Payment duplicated</t>
  </si>
  <si>
    <t>HBRMANAD: CBO code for dismissed employees</t>
  </si>
  <si>
    <t>HBRCFER0 execution not successful</t>
  </si>
  <si>
    <t>HBRCVTR0: error for some periods in selection screen</t>
  </si>
  <si>
    <t>HBRGPS00: Retroactive acounting is not correctly reported</t>
  </si>
  <si>
    <t>HBRTMSH0 - Missing reason data</t>
  </si>
  <si>
    <t>HBRSEF00:Field "Ind.Rec. FGTS" wrong for Underage</t>
  </si>
  <si>
    <t>HBRCAGED: Employee's CPF incorrect when transfered</t>
  </si>
  <si>
    <t>HBRSEGDE: Unchanged field for notice period w/ severance pay</t>
  </si>
  <si>
    <t>HBRTMSH0: Time events during unexcused absence</t>
  </si>
  <si>
    <t>ROE: Box 06 incorrect when Non Standard pay periods</t>
  </si>
  <si>
    <t>HR CH (CE): Reports, Korrekturen divers, Teil 1</t>
  </si>
  <si>
    <t>LAW 2005: Falsche Brutto-Beträge bei unterm. Austritt</t>
  </si>
  <si>
    <t>HR CH (CE): Lohnarten Dokumentation</t>
  </si>
  <si>
    <t>HR CH (CE): Distribution of limits - negative bases</t>
  </si>
  <si>
    <t>HR CH (CE): SV Tage in RT_PERSON</t>
  </si>
  <si>
    <t>HR CH (CE): SV Tage in RT_PERSON II</t>
  </si>
  <si>
    <t>[CL] Income Certificate - Form 1887 Rectification</t>
  </si>
  <si>
    <t>[CL] Wrong number of vacation days in termination</t>
  </si>
  <si>
    <t>[CL] Duplicated amounts in PREVIRED report with Off-cycle</t>
  </si>
  <si>
    <t>[CL] Circular N° 34 IRS - Gratification Zone new values</t>
  </si>
  <si>
    <t>[CL] Official Letter No. 273 - New moviment code "9&amp;quo</t>
  </si>
  <si>
    <t>LC: China Monthly Tax Reports (HCNCTAX0/HCNCTXM0)</t>
  </si>
  <si>
    <t>HCNCTXD0: PDF Printing Crashes if Amount Exceeds 10 Million</t>
  </si>
  <si>
    <t>Correction HCNCTAX0/HCNCTXM0 for 1st PY Result in Database</t>
  </si>
  <si>
    <t>Adjusting wage type texts</t>
  </si>
  <si>
    <t>Auslieferung der Funktionalität 'Restcent'</t>
  </si>
  <si>
    <t>Error in the documentation</t>
  </si>
  <si>
    <t>LStB: Change in log request on August 1, 2013</t>
  </si>
  <si>
    <t>SV: Composite SAP Note data exchange 9/2013</t>
  </si>
  <si>
    <t>Social fund procedure: Notification record ANMEL enhancement</t>
  </si>
  <si>
    <t>Vacation allowance enhancement: Message 353 for BU60</t>
  </si>
  <si>
    <t>Minimum leave remuneration: Log DBAU URLA</t>
  </si>
  <si>
    <t>DEUEV: Maternity protection after unpaid leave</t>
  </si>
  <si>
    <t>DEUEV(UVMG): Corrections XXII</t>
  </si>
  <si>
    <t>DEUEV: Corrections XIII</t>
  </si>
  <si>
    <t>ELStAM: Corrections after year-end legal change 25/2013</t>
  </si>
  <si>
    <t>ELStAM: Corrections after year-end legal change 28/2013</t>
  </si>
  <si>
    <t>EEL: Notific w/ fixed-term/terminated employment relationshp</t>
  </si>
  <si>
    <t>AAG notification procedure: Partial prohibited activities</t>
  </si>
  <si>
    <t>EBeschV: Minor corrections 4</t>
  </si>
  <si>
    <t>Payroll termination in DAAG BV BEW</t>
  </si>
  <si>
    <t>BVV: Master data - display personnel area in log</t>
  </si>
  <si>
    <t>SEPA: Termination in payroll after conversion with RFIBANMD</t>
  </si>
  <si>
    <t>Statement of contributions paid: Delivery of tech. basis</t>
  </si>
  <si>
    <t>SI reporting: Corrections to administrator lists (5)</t>
  </si>
  <si>
    <t>Termination in subapplication SVUM for March clause cases</t>
  </si>
  <si>
    <t>Error in slide zone &amp; AVmG with negative regular gross a</t>
  </si>
  <si>
    <t>BVV contribution survey: Unpaid leave and reg. remuneration</t>
  </si>
  <si>
    <t>Check Manager (CheckMan)</t>
  </si>
  <si>
    <t>Paralleler Start spezieller Zahlungsprogramme</t>
  </si>
  <si>
    <t>Abrechnung bricht in Rechenregel DOMK ab</t>
  </si>
  <si>
    <t>Personalstandstatistik für FuE: erstellen CSV-Datei</t>
  </si>
  <si>
    <t>Stufensteigerung mit DEPBS_NEU: BI-Fehler bei Dynpro 2003</t>
  </si>
  <si>
    <t>Strukturausgleich und höherwertige Tätigkeit</t>
  </si>
  <si>
    <t>Einmalige Pauschalzahlung 2013</t>
  </si>
  <si>
    <t>Keine Stufensteigerung für Versorgungsempfänger</t>
  </si>
  <si>
    <t>Dienstrecht Land Hessen: 2. DRModG I</t>
  </si>
  <si>
    <t>Versorgungsausgleich: Anpassung mit zwei Nachkommastellen</t>
  </si>
  <si>
    <t>Versorgungsausgleich: Erweiterung der Gründe für Anpassung</t>
  </si>
  <si>
    <t>Stufenermittlung für Auskunft Festsetzung Ruhegehalt</t>
  </si>
  <si>
    <t>Fehlermeldung 'Keine ruhegehaltfähige Dienstzeit vorhanden'</t>
  </si>
  <si>
    <t>Stufensteigerung mit DEPBS_NEU: Dynproermittlung IT 0008</t>
  </si>
  <si>
    <t>Rückmeldungen der Versicherungsnummer maschinell bearbeiten</t>
  </si>
  <si>
    <t>Nutzerspezifische Druckparameter für Lieferschein / Etikett</t>
  </si>
  <si>
    <t>Stornierung nicht neu erstellt (nach Statusumsetzung)</t>
  </si>
  <si>
    <t>Vermisste Abmeldung nach Versicherungsende</t>
  </si>
  <si>
    <t>RPLEHAD3: PDF, integration department</t>
  </si>
  <si>
    <t>Labor costs census 2012: Minor corrections 5</t>
  </si>
  <si>
    <t>RPCEHCD1: Technischer Fehler beim Schaltjahr</t>
  </si>
  <si>
    <t>Corrections for statements 4/2013</t>
  </si>
  <si>
    <t>TC: Issue printing with Form Table Framework</t>
  </si>
  <si>
    <t>MASSIVE: Error when evaluating return of AEAT</t>
  </si>
  <si>
    <t>TC: Incorrect distribution of training bonification (CD11)</t>
  </si>
  <si>
    <t>MASSIVE: Wrong generation of &amp;lt;PagoPrestamosVivienda&amp;gt; X</t>
  </si>
  <si>
    <t>AFI: Incorrect error message of employee blocked for edition</t>
  </si>
  <si>
    <t>TC: No EDTCA01 and EDTTT10 in A76 settlement</t>
  </si>
  <si>
    <t>FDI: Wrong CCC in FDI generation 2</t>
  </si>
  <si>
    <t>CRT2: New XML file "Procedimientos de ERE"</t>
  </si>
  <si>
    <t>TC: RPCTC0E0 does not generate negative settlement FAN file</t>
  </si>
  <si>
    <t>IRPF: Reason for adjustment 2 when disability grade changes</t>
  </si>
  <si>
    <t>CALC: Incorrect contribution base for part-time EE with VND</t>
  </si>
  <si>
    <t>CALC: New contract keys for reduction method 0064</t>
  </si>
  <si>
    <t>GARNT: Wrong deduction group when creating new garnishment</t>
  </si>
  <si>
    <t>IGA: Splitting infotype 0062 when it is not necessary</t>
  </si>
  <si>
    <t>PA: Correction of screen fields on 0021 and 0057 infotypes</t>
  </si>
  <si>
    <t>AFI: Duplicated condition in CASE statement</t>
  </si>
  <si>
    <t>TC: Non-Numeric Index Access to an Internal Table</t>
  </si>
  <si>
    <t>INEMCP: Client field specified in WHERE condition</t>
  </si>
  <si>
    <t>DUCS: Loi relative à la sécurisation de l'emploi (LSE)</t>
  </si>
  <si>
    <t>RPLASMF3/RPLASAF3: day to return to work if vacation</t>
  </si>
  <si>
    <t>DN-AC AED: S40.G15.00.020.001 missing</t>
  </si>
  <si>
    <t>SYST 2 - FRANCE - LSE: Corrections (II)</t>
  </si>
  <si>
    <t>LSE: Considering Employee Age &amp;gt;= 65 in conditions</t>
  </si>
  <si>
    <t>DUCS: LSE, follow-up note</t>
  </si>
  <si>
    <t>RUP: wrong validity for data of infotype 0048</t>
  </si>
  <si>
    <t>N4DS: wrong validity for V01X06 fields in V_T5F99FD</t>
  </si>
  <si>
    <t>N4DS: Correction of documentation FTDCE</t>
  </si>
  <si>
    <t>Information on prorata are missing for last activity period</t>
  </si>
  <si>
    <t>N4DS: missing code 90 for field S48.G10.00.016</t>
  </si>
  <si>
    <t>V_T5F5P: text corrections for constants</t>
  </si>
  <si>
    <t>LSE: Exoneration period issue if this completly in next year</t>
  </si>
  <si>
    <t>DUCS: LSE, consider perty's as well with only 3 digits</t>
  </si>
  <si>
    <t>DUCS: CICE - COPLAT, Field Declaration Reference Period</t>
  </si>
  <si>
    <t>RPLDUEF0: BAdI generation update</t>
  </si>
  <si>
    <t>RTI: FPS - Derive passport numbers from IT0048 &amp; EXPATs</t>
  </si>
  <si>
    <t>RTI : Claims processing / IT0009 / DTONI / change of NI Cat</t>
  </si>
  <si>
    <t>RTI : Data Take On from Academies</t>
  </si>
  <si>
    <t>RTI:Enhanced validations for Tax source and NI No Validation</t>
  </si>
  <si>
    <t>PY-GB: RTI: ABAP dump during CE Framework</t>
  </si>
  <si>
    <t>PY-GB: ABS: Absence spells report - Incorrect spells</t>
  </si>
  <si>
    <t>HRGB: RPUHESG2, Fields to be cleared based on validation</t>
  </si>
  <si>
    <t>RTI : NIC arrears &amp; refunds / retro over retro net dedns</t>
  </si>
  <si>
    <t>RTI : Irr. earnings ind / Late payment Ind / SPP in T596I</t>
  </si>
  <si>
    <t>RTI: 2nd payment and RTI Netpay/YTDs on RTI and RTINI for ME</t>
  </si>
  <si>
    <t>PY-GB-PS: LGPS: ER's Pensionable Pay reported incorrectly</t>
  </si>
  <si>
    <t>PY-GB: RTI Display Report - Missing Structure for PCL4</t>
  </si>
  <si>
    <t>PY-GB-PS: HESA Return 2013 (Multiple fixes)</t>
  </si>
  <si>
    <t>F/G form rental date before hire date/after termination date</t>
  </si>
  <si>
    <t>Only IR56F needed when hiring and firing in the same period</t>
  </si>
  <si>
    <t>IR56G form reprint issued form error</t>
  </si>
  <si>
    <t>IR56F/G: Incorrect Check if Begda of 1st Period is not Apr.1</t>
  </si>
  <si>
    <t>PRD Leaver Report SAP Script display issue</t>
  </si>
  <si>
    <t>VHI:Warning message for outstanding balance at year end</t>
  </si>
  <si>
    <t>HRIE: HIECP450, Element "Disability" in XML</t>
  </si>
  <si>
    <t>PY-IE: IECHG feature activation checking in P45</t>
  </si>
  <si>
    <t>HRIE: CSO - Enterprise number and XML field order</t>
  </si>
  <si>
    <t>HRIE: P30, Length of amount attributes in v2 of the XML file</t>
  </si>
  <si>
    <t>HINCALC0: Professional Tax issue with bonus payment</t>
  </si>
  <si>
    <t>Claims Status report - Valid from date issue</t>
  </si>
  <si>
    <t>HINCREMT: Incorrect Disbursement For Multiple Reim Types</t>
  </si>
  <si>
    <t>Form 24Q: File Validation Utility version 3.8 for 4th Qtr</t>
  </si>
  <si>
    <t>INTAX: Previous Employement PF Contribution</t>
  </si>
  <si>
    <t>HINIDAB0: Variable DA amounts incorrectly updated</t>
  </si>
  <si>
    <t>NPS: Inconsistent NPS Calculation For Nominal Projection</t>
  </si>
  <si>
    <t>IT0584 - Field Length and Short term capital gains</t>
  </si>
  <si>
    <t>HINCEPF0: Negative Arrears on ECR</t>
  </si>
  <si>
    <t>RPCALCIO: XNAB dump and linked absences corrections</t>
  </si>
  <si>
    <t>Infotype 548 Search Help Corrections</t>
  </si>
  <si>
    <t>UNIEMENS: Adding Company and INPS codes to log</t>
  </si>
  <si>
    <t>UniEmens: Missing fields in element &amp;lt;InquadramentoLavVari</t>
  </si>
  <si>
    <t>HR-IT: Certificato Malattia New XML format</t>
  </si>
  <si>
    <t>770 2013 - Correction Package II</t>
  </si>
  <si>
    <t>UNIEMENS 2.0 - problem with negative amounts</t>
  </si>
  <si>
    <t>Customizing entries in T5F99FW table</t>
  </si>
  <si>
    <t>Invalid Municipality Description</t>
  </si>
  <si>
    <t>Interest calculation in case of 730-4 tardivo</t>
  </si>
  <si>
    <t>Contributo di Licenziamento (Circolare 44/2013)</t>
  </si>
  <si>
    <t>RPCEADJ0:Incorrect Form and Data file output</t>
  </si>
  <si>
    <t>YEA correction results lost due to retirement allowance</t>
  </si>
  <si>
    <t>HKRCYEA0:Education Expense is not displayed for 2012 YEA</t>
  </si>
  <si>
    <t>Correct SAPScript Form HR_KR_YEAG and HR_KR_SEPR13</t>
  </si>
  <si>
    <t>Incorrect Calculation Process for EI Exempted Premium</t>
  </si>
  <si>
    <t>[MX] Performance enhancement for HMXCDAN0 - RFC Filter</t>
  </si>
  <si>
    <t>[MX] Termination severance processed in incorrect periods</t>
  </si>
  <si>
    <t>[MX] Incorrect INFONAVIT discount for weekly employees</t>
  </si>
  <si>
    <t>[MX] FONACOT subtypes not shown in payroll log</t>
  </si>
  <si>
    <t>[MX] Missing Econominc Zone on Annual Declaration report</t>
  </si>
  <si>
    <t>Form adjustment for CP39 and PCB 2</t>
  </si>
  <si>
    <t>EPF report download file total hash number correction</t>
  </si>
  <si>
    <t>Correction for SOCSO 8B M2N download file detail records</t>
  </si>
  <si>
    <t>Correction for EPF BBCD form alignment</t>
  </si>
  <si>
    <t>HRNO: LC Reimbursmnt: working days eval. for hourly paid</t>
  </si>
  <si>
    <t>HRNO: ATS report - Svalbard issues</t>
  </si>
  <si>
    <t>HRNO: ATS report-problems after change of payroll area</t>
  </si>
  <si>
    <t>HRNO: Annual tax statement-rounding issue</t>
  </si>
  <si>
    <t>eTaxCard - IT0173 changes - DDIC changes               [1/5]</t>
  </si>
  <si>
    <t>eTaxCard - IT0173 changes - changes in reports         [2/5]</t>
  </si>
  <si>
    <t>eTaxCard - IT0173 changes - MP017300 (PA30) changes    [3/5]</t>
  </si>
  <si>
    <t>eTaxCard - IT0173 changes - RPCETCV0_RES changes       [4/5]</t>
  </si>
  <si>
    <t>ACF - Support for additional information for reportee  [1/2]</t>
  </si>
  <si>
    <t>ACF - Support for additional information for reportee  [2/2]</t>
  </si>
  <si>
    <t>eTaxCard - IT0173 changes - final adjustments          [5/5]</t>
  </si>
  <si>
    <t>HRNO: Correction of report RPUMXDV0</t>
  </si>
  <si>
    <t>HRNO: VFP03 Incorrect senior age calculation in retro</t>
  </si>
  <si>
    <t>HRNO Negativ amounts in ATS</t>
  </si>
  <si>
    <t>Repatriation Grant:Corrections to Staff Assesment Computaion</t>
  </si>
  <si>
    <t>Entry on Duty Station Date(DSEOD) for Mobility Infotype</t>
  </si>
  <si>
    <t>Correction to UNJSPF Common HR Interface</t>
  </si>
  <si>
    <t>System Incorrectly Determines No. of A-E Assignments</t>
  </si>
  <si>
    <t>In IT0008 Next Increase Date Displayed Incorrectly</t>
  </si>
  <si>
    <t>Re-Phrase an Error Message in Infotype Rental Subsidy</t>
  </si>
  <si>
    <t>Configuring IT0959 fields through V_T588M</t>
  </si>
  <si>
    <t>Incorrect APR rates displayed for mid month joinees</t>
  </si>
  <si>
    <t>EG:System Incorrectly Displays Designated DS Ind. in IT0965</t>
  </si>
  <si>
    <t>Termination Indemnity LOS Computation</t>
  </si>
  <si>
    <t>Marital Status is Ignored While Reading Feature UNWID</t>
  </si>
  <si>
    <t>No indication of SL Arrs not calculated on negative earnings</t>
  </si>
  <si>
    <t>Annual Leave Accrual on Termination</t>
  </si>
  <si>
    <t>RPCIIDP0 uses only the first company of the employee on ESS</t>
  </si>
  <si>
    <t>National Budget 2013: IRS Surcharge - Corrections VI</t>
  </si>
  <si>
    <t>RPCUNRP0 - Attachment B: wrong overtime calculation</t>
  </si>
  <si>
    <t>RPCSSRP0: Corrections 2013 IV</t>
  </si>
  <si>
    <t>Monthly income declaration: corrections VIII</t>
  </si>
  <si>
    <t>RPCSSRP0: Wrong employee reject when reading feature PSSCN</t>
  </si>
  <si>
    <t>Social Balance: additional changes for version 2012 - II</t>
  </si>
  <si>
    <t>SIOE: meal allowance amount also included in regular amount</t>
  </si>
  <si>
    <t>LC: Social Insurance for Private and Public in Qatar</t>
  </si>
  <si>
    <t>Confirmation of Earnings, Order N182n at 30.04.2013</t>
  </si>
  <si>
    <t>Cancellation of corrections of Note 1850213</t>
  </si>
  <si>
    <t>SZV-6-4, RSV-1: cumulative updates 08.2013</t>
  </si>
  <si>
    <t>HR-RU: Resplit of Cluster Table RUSTA in Case of WPBP Split</t>
  </si>
  <si>
    <t>Global pay increase before linked vacations</t>
  </si>
  <si>
    <t>PAY2: missing names of absence periods</t>
  </si>
  <si>
    <t>HR-RU: Calculation of Average Salary in Inactive Periods</t>
  </si>
  <si>
    <t>Incorrect OW proration for Exempt to PR retro conversion</t>
  </si>
  <si>
    <t>Retro voluntary CPF reporting in monthly report</t>
  </si>
  <si>
    <t>Correction to note 1847043</t>
  </si>
  <si>
    <t>PY-SG: Error in XML file when NRS period falls on OFFD</t>
  </si>
  <si>
    <t>Various Allowances Divisor for New Joined Employees of NRS</t>
  </si>
  <si>
    <t>Incorrect CPF Calculation When Payroll Retro to Year 2012</t>
  </si>
  <si>
    <t>Employer Reference Number Missing for Public Sector Employee</t>
  </si>
  <si>
    <t>Employee Group Category Incorrect in CPF report</t>
  </si>
  <si>
    <t>Incorrect Allowance Display in the NRS for MINDEF Reporting</t>
  </si>
  <si>
    <t>Enable IR8S report for unemployment status pernr.</t>
  </si>
  <si>
    <t>PY-TH: Enhancement to note 1875283</t>
  </si>
  <si>
    <t>Change in Form Layout (Report HTHCTX91)</t>
  </si>
  <si>
    <t>HTHCTX1A (Income Tax Form 1A - Yearly report Thailand)</t>
  </si>
  <si>
    <t>Social Security Detailed Form Layout Adjustment</t>
  </si>
  <si>
    <t>Thailand Tax Infotype 0364 Screen Two Fields Cannot Hidden</t>
  </si>
  <si>
    <t>Enhancements for Report HTWLAM00 (Transaction PC00_M42_LAM0)</t>
  </si>
  <si>
    <t>List Error when Regular&amp;Off-cycle Payrolls have Same Pay</t>
  </si>
  <si>
    <t>HTWLNPP0:Incorrect Average Salary if Leaving in mid of Month</t>
  </si>
  <si>
    <t>HTWLHID0: Dump when file from NHI has a line length issue</t>
  </si>
  <si>
    <t>Add a Checkbox for ER SNHI Exemption to IT0355 Screen</t>
  </si>
  <si>
    <t>ER SNHI Prem. Should be Calculated for Directly Retro Period</t>
  </si>
  <si>
    <t>NHI/LI Reports Use Report Date as the Status Change Date</t>
  </si>
  <si>
    <t>No Need to Declare if indiv. Tax Cat. Annual Income &amp;lt;= 10</t>
  </si>
  <si>
    <t>GRN: Limited line size when printing multiple letters</t>
  </si>
  <si>
    <t>USCLM: unavailable RPCLMRU0 results when IT0909 not created</t>
  </si>
  <si>
    <t>WCR: SSN added on report output screen.</t>
  </si>
  <si>
    <t>PY-US: Updates to Payroll Area texts</t>
  </si>
  <si>
    <t>BSI TaxFactory 10.0 - Phase I</t>
  </si>
  <si>
    <t>PY-US: Enable Mass Processing for BSI SaaS Notifications</t>
  </si>
  <si>
    <t>BSI SaaS: Correction in Generate Logical Port Utility Report</t>
  </si>
  <si>
    <t>BSI: Correction for storing BSI TaxF SaaS User Credentials</t>
  </si>
  <si>
    <t>NWH: New Hire Reporting for NH 2013</t>
  </si>
  <si>
    <t>NWH: Incorrect work state for Illinois (IL)</t>
  </si>
  <si>
    <t>NWH: New Hire Reporting corrections</t>
  </si>
  <si>
    <t>TR: Incorrect total Locality Wages and Taxes in monthly form</t>
  </si>
  <si>
    <t>TR: W-2 created if EE earns only box 12 DD for mult. periods</t>
  </si>
  <si>
    <t>TR: Issue when uploading magmedia for SUI Form for Texas</t>
  </si>
  <si>
    <t>TR: Additional Medicare wrong value when using CE in 941</t>
  </si>
  <si>
    <t>TR: Texas SUI Correction Form without rate for tax type 89</t>
  </si>
  <si>
    <t>TR: SUI Form for VT rejected during upload.</t>
  </si>
  <si>
    <t>TR: Tax type 49 not reported on Form W-2</t>
  </si>
  <si>
    <t>TAX: Issues with self-adjusting taxes after note 1868193</t>
  </si>
  <si>
    <t>TAX: Addtional Medicare wage types not cumulating into TCRT</t>
  </si>
  <si>
    <t>Checkman Fehler</t>
  </si>
  <si>
    <t>Variable payments: Error in calculation during retro runs</t>
  </si>
  <si>
    <t>COID Report issues with ALV output</t>
  </si>
  <si>
    <t>SARS code 4116 (multiple IRP5) and PDF code incorrect</t>
  </si>
  <si>
    <t>LC Bursary - Higher Education Exemption For Relative</t>
  </si>
  <si>
    <t>ESS IRP5: Multiple IRP5 displayed with incorrect details</t>
  </si>
  <si>
    <t>IRP5 PDF - Leading Zeros in postal code getting dropped</t>
  </si>
  <si>
    <t>Negative tax generated after termination</t>
  </si>
  <si>
    <t>IRP5 PDF - Leading Zeros in postal code of Postal Address</t>
  </si>
  <si>
    <t>PY-ZA-RP</t>
  </si>
  <si>
    <t>PY-ZA-RP-I5</t>
  </si>
  <si>
    <t>IRP5 Tax Return</t>
  </si>
  <si>
    <t>IRP5 re-printing error - PC00_M16_CTCA framework</t>
  </si>
  <si>
    <t>XX-TRANSL-FR</t>
  </si>
  <si>
    <t>Translation into French</t>
  </si>
  <si>
    <t>Correction of translation of 'PPIP'</t>
  </si>
  <si>
    <t>SAPK-60701INEAHR</t>
  </si>
  <si>
    <t>CA-GTF-WFA</t>
  </si>
  <si>
    <t>Workforce Management Application</t>
  </si>
  <si>
    <t>WFM payrate update fails when you change basic pay in HCM</t>
  </si>
  <si>
    <t>Warning message on new hire of employee in non WFM store</t>
  </si>
  <si>
    <t>RUWFM3.10 Pay rate not updated in WFM for new hire</t>
  </si>
  <si>
    <t>Reporting in MSS Add-on displaying irrelavent error message</t>
  </si>
  <si>
    <t>Attribute MR_FPM is removed in the interface.</t>
  </si>
  <si>
    <t>HCM Renewal (MSS) : Multiple entries in Org working time</t>
  </si>
  <si>
    <t>HCM Renewal 1.0: Corrections for Miscellaneous issues</t>
  </si>
  <si>
    <t>Employee Profile:Org history displays incorrect information</t>
  </si>
  <si>
    <t>Substitution Overview-Org and position information incorrect</t>
  </si>
  <si>
    <t>BADI is not working for Email in default page of ‘birthday</t>
  </si>
  <si>
    <t>Refactoring of the cl_hrmss_central_services</t>
  </si>
  <si>
    <t>Send E-mail to Update Calendar is not considering BADI</t>
  </si>
  <si>
    <t>MSS: Error in CATS Approval Application</t>
  </si>
  <si>
    <t>Application parameters are ignored.</t>
  </si>
  <si>
    <t>Delegation for Time Recording:Parallel approvals</t>
  </si>
  <si>
    <t>Timesheet: Absences display in Daily view</t>
  </si>
  <si>
    <t>GE generates error message for infotype 17 in portal</t>
  </si>
  <si>
    <t>PR05: Error 56 630 reading feature TRVPA on copying a trip</t>
  </si>
  <si>
    <t>New BAdI-Method for POWL_APPROVER email notification</t>
  </si>
  <si>
    <t>CE/GE problem with POWL loading object with Infotype 0017</t>
  </si>
  <si>
    <t>Business area not defaulted in prmd in travel privileges</t>
  </si>
  <si>
    <t>PDF: Print parameter in background for RPRTEF00_PDF</t>
  </si>
  <si>
    <t>Web: Dump on saving report: ASSERT condition was violated</t>
  </si>
  <si>
    <t>Tax jurisdiction code Canada for second receipt defaults</t>
  </si>
  <si>
    <t>Web Travel : Hotel receipts meals field filled with 0</t>
  </si>
  <si>
    <t>PR05: Adobe form not archived in spool</t>
  </si>
  <si>
    <t>Settlement of credit card receipts</t>
  </si>
  <si>
    <t>Web: Maintenance requirement for indirect exchange rates</t>
  </si>
  <si>
    <t>PTRVP: Evaluation of authorization</t>
  </si>
  <si>
    <t>EES: Dump on itemizing</t>
  </si>
  <si>
    <t>Web: Inconsistencies for credit card documents</t>
  </si>
  <si>
    <t>FB03: blank document is shown when opening the attachment</t>
  </si>
  <si>
    <t>PR05: Participant disapear after approval</t>
  </si>
  <si>
    <t>Deletion of tables fitv_hinz_werb_s and fitv_hinz_werb_b</t>
  </si>
  <si>
    <t>Default of tax code for trip break is incorrect</t>
  </si>
  <si>
    <t>Wrong receipt details for VAT details shown</t>
  </si>
  <si>
    <t>Posting run assignment goes missing during print process</t>
  </si>
  <si>
    <t>Participants disapear after saving</t>
  </si>
  <si>
    <t>WD ABAP: Border crossing arrival is not updated</t>
  </si>
  <si>
    <t>PR05: Wrong reimbursement when settling multiple trips</t>
  </si>
  <si>
    <t>Business document not visible in Web DynPro UI (BUS2089)</t>
  </si>
  <si>
    <t>Web: Dump in FITE_UI_RECEIPT_DETAILS.ENTERTAINMENT_VIEW</t>
  </si>
  <si>
    <t>PR05: Credit card receipts can be lost</t>
  </si>
  <si>
    <t>Trip set for accounting despite broken RFC connection</t>
  </si>
  <si>
    <t>No required entry field check if max. rate per diem exceeded</t>
  </si>
  <si>
    <t>PR05 : additionnal information deleted after copy trip</t>
  </si>
  <si>
    <t>IT: Max. rate per diem chck for 'S' rcpts for domestic trips</t>
  </si>
  <si>
    <t>WD ABAP: Exchange rates not automatically updated</t>
  </si>
  <si>
    <t>PS DE: falsches Umsatsteuerkennzeichen bei Zuschussbeleg</t>
  </si>
  <si>
    <t>TG: Übernachtungsgeld der fiktiven Dienstantrittsreise</t>
  </si>
  <si>
    <t>P.S.: Auslandsreisen mit Reiseunterbrechungen</t>
  </si>
  <si>
    <t>PS DE: Trennungsreisegeld: Heimfahrt und Abzug F/M/A</t>
  </si>
  <si>
    <t>Höchstbetrag inkl. Frühstück bei Hotelliste des Bundes</t>
  </si>
  <si>
    <t>PS-DE: Reisebelege mit Editor-Musseingabe werden verdoppelt</t>
  </si>
  <si>
    <t>PS-AT: Ausblenden des Belegtabs</t>
  </si>
  <si>
    <t>TG: Falsche Lohnart bei steuerpf. Übernachtungspauschale</t>
  </si>
  <si>
    <t>Österreich-Ortssuche: Cursor nicht sofort in Ortsfeld</t>
  </si>
  <si>
    <t>Dienstzuteilung: Defaultwert für 180 Tage Checkbox (Teil 2)</t>
  </si>
  <si>
    <t>PS DE: Berücksichtigung paralleler DR für Ende TR-Reisegeld</t>
  </si>
  <si>
    <t>Dienstzuteilung: Defaultwert für 180 Tage Checkbox (TGMOD)</t>
  </si>
  <si>
    <t>Landes-TGV: Sonderbestimmungen nicht korrekt (Teil 2)</t>
  </si>
  <si>
    <t>TG Tägl. Rückkehr: erster Tag verschwindet nach gr. Verglr.</t>
  </si>
  <si>
    <t>BRKG: Generierung von Sachbezugsbelegen bei Auslandsreisen</t>
  </si>
  <si>
    <t>DE: TG m. Kappungsbeleg falsche Erstattung TGPER angezeigt</t>
  </si>
  <si>
    <t>AT: German texts when logged on in English</t>
  </si>
  <si>
    <t>PS-DE: Infomeldungen FITVPS 728/729 erscheint zweimal</t>
  </si>
  <si>
    <t>PR05 Fehler in Belegerfassung mit Von-/Bisdatum Kanneingabe</t>
  </si>
  <si>
    <t>PS-DE: TRG Übernachtung mit falscher Anzahl Nächte</t>
  </si>
  <si>
    <t>Statistcs updte does nt take separtn alwnces/DA into account</t>
  </si>
  <si>
    <t>PS-AT: Anzahl Nächte und Abzüge in Dienstzuteilung</t>
  </si>
  <si>
    <t>TG: keine Kappung der Unterkunftsbelege im Trennungsgeld</t>
  </si>
  <si>
    <t>LRKG Sachsen: Tage-Übernachtungsgelder ab dem 01.01.2012</t>
  </si>
  <si>
    <t>PS: Menüpunkt zum Kopieren von DZ/TRG aus DZ/TRG heraus</t>
  </si>
  <si>
    <t>PS AT: Anrechnung paralleler Dienstreise auf DZ-Periode</t>
  </si>
  <si>
    <t>Trennungsgeld Abwesenheiten: Löschen im PopUp</t>
  </si>
  <si>
    <t>PS-DE: Keine Prüfung des Rückreiselandes</t>
  </si>
  <si>
    <t>PS-DE: Receipts are deleted after SAP Note 1709752</t>
  </si>
  <si>
    <t>TG Formular: keine Steuerbeträge bei Vergleichsrechnung</t>
  </si>
  <si>
    <t>Bayern: Mehrere Reisen an einem Tag: falsche Erstattung</t>
  </si>
  <si>
    <t>PS DE: FITVFELD Ankreuzfeld pauschale Unterkunft wirkt nicht</t>
  </si>
  <si>
    <t>TGANL: Doppelklick auf den Wurzelknoten des Baumes</t>
  </si>
  <si>
    <t>PS-DE: Kein Scrollen bei Abzügen vom Unterkunftsbeleg</t>
  </si>
  <si>
    <t>DZ: Falsche Periodenbildung bei Änderung Beginn in Vorjahre</t>
  </si>
  <si>
    <t>DZ: Fehlerhafte Erstattung bei vorhandenen Abwesenheiten</t>
  </si>
  <si>
    <t>PS AT: negative Erstattung nach 180-Tagen bei parallel. DR</t>
  </si>
  <si>
    <t>PS-DE: gesetzliche Reiseart in BAPI_TRIP_CREATE_DATA</t>
  </si>
  <si>
    <t>PS-AT: Fehler beim Anlegen von Hin- und Rückreisen</t>
  </si>
  <si>
    <t>FI-TV-IPY</t>
  </si>
  <si>
    <t>Integration With Payroll Accounting</t>
  </si>
  <si>
    <t>RPRPAY00: Dump CX_BADI_INITIAL_REFERENCE</t>
  </si>
  <si>
    <t>S&amp; 043 when saving a travel plan</t>
  </si>
  <si>
    <t>Version table for travel requests (schema PL)</t>
  </si>
  <si>
    <t>FI-TV-PL-AMA</t>
  </si>
  <si>
    <t>API Interface AMADEUS</t>
  </si>
  <si>
    <t>TP14 - Enhancement for limiting size of server trace files</t>
  </si>
  <si>
    <t>NVS rail - Enable booking the new rates of the SNCF trains</t>
  </si>
  <si>
    <t>FI-TV-PL-HRS</t>
  </si>
  <si>
    <t>API Interface HRS</t>
  </si>
  <si>
    <t>Hotel XI: name prefix is not sent to Hotel reservation</t>
  </si>
  <si>
    <t>PA-AS</t>
  </si>
  <si>
    <t>HR Processes&amp;Forms</t>
  </si>
  <si>
    <t>Confirmation text being displayed on Save Draft</t>
  </si>
  <si>
    <t>Continue button being displayed in case of no errors</t>
  </si>
  <si>
    <t>Error - ISR scenario not found for WD ABAP FPM workitems</t>
  </si>
  <si>
    <t>Dump if more than 3 FPM Configurations present in process</t>
  </si>
  <si>
    <t>Issues related to HCM PF - Design Time Tool</t>
  </si>
  <si>
    <t>Step status not getting updated in T5ASRSTEPS on Save Draft</t>
  </si>
  <si>
    <t>IT0219: Issue with Object ID generation.</t>
  </si>
  <si>
    <t>PA-CP</t>
  </si>
  <si>
    <t>Personnel Cost Planning and Simulation</t>
  </si>
  <si>
    <t>Conversion to Acc View, Error TSV_TNEW_PAGE_ALLOC_FAILED</t>
  </si>
  <si>
    <t>Create Plan: Wrong Cumulating of Cost Items with DIFFCA</t>
  </si>
  <si>
    <t>Plan in Account Assignment View: Wrong Assignment Info Table</t>
  </si>
  <si>
    <t>WD Detail Planning: Wrong selection of plan</t>
  </si>
  <si>
    <t>Capacity Util. Level: Negative Values before Leaving Date</t>
  </si>
  <si>
    <t>WD Detail Planning: Org. Reassignment not possible</t>
  </si>
  <si>
    <t>WD Detail Planning: Edit of Reason for Action not possible</t>
  </si>
  <si>
    <t>WD Detail Planning: Message Handling, Add to Log</t>
  </si>
  <si>
    <t>PA-EC</t>
  </si>
  <si>
    <t>Enterprise Compensation Management</t>
  </si>
  <si>
    <t>Approval of an Org unit in the Planning Overview</t>
  </si>
  <si>
    <t>Planning status updated incorrectly</t>
  </si>
  <si>
    <t>ECM: No recalculation of budgets without employees</t>
  </si>
  <si>
    <t>No authorization group assigned to T71ADM_EE_HIST</t>
  </si>
  <si>
    <t>Compensation Profile incorrect amounts displayed</t>
  </si>
  <si>
    <t>PECM_STATUS_CHANGE does not update status correctly</t>
  </si>
  <si>
    <t>PA-EC-BD</t>
  </si>
  <si>
    <t>Compensation Budgeting</t>
  </si>
  <si>
    <t>Error message when deleting budgets</t>
  </si>
  <si>
    <t>Zuviele Org.Einheiten für die Vergütungsplanung gesperrt</t>
  </si>
  <si>
    <t>PA-EIC</t>
  </si>
  <si>
    <t>Employee Interaction Center</t>
  </si>
  <si>
    <t>EIC: E-Mail attachments names are displayed as $TVCVALUE$</t>
  </si>
  <si>
    <t>PA-ESS</t>
  </si>
  <si>
    <t>Personal Information ESS scenarios</t>
  </si>
  <si>
    <t>PA-ESS-XX</t>
  </si>
  <si>
    <t>Common Parts</t>
  </si>
  <si>
    <t>IMG Node documentation changes</t>
  </si>
  <si>
    <t>Reset UI guideline property to "Default Setting"</t>
  </si>
  <si>
    <t>Search help H_BANKL: banks marked for deletion</t>
  </si>
  <si>
    <t>PA-ESS-XX-WDA</t>
  </si>
  <si>
    <t>ESS based on Webdynpro ABAP</t>
  </si>
  <si>
    <t>Edit and Delete buttons are not visible in FSA Claims</t>
  </si>
  <si>
    <t>CATS Calendar UI: Weekday not visible</t>
  </si>
  <si>
    <t>Business Function Documentation for HCM_ESS_WDA_3</t>
  </si>
  <si>
    <t>HRESS_C_PERSINFO_CONFIG  and Customer-Specific Key</t>
  </si>
  <si>
    <t>CheckMan correction</t>
  </si>
  <si>
    <t>CATS Calendar UI: Recorded Hours not updated</t>
  </si>
  <si>
    <t>CATS Calendar UI: Incorrect dates displayed</t>
  </si>
  <si>
    <t>CATS Calendar UI: Error when no target hours are available</t>
  </si>
  <si>
    <t>CATS Calendar UI: Issues with Favourite and "New"</t>
  </si>
  <si>
    <t>CATS Calendar UI: Issue with hours cal &amp; holiday text</t>
  </si>
  <si>
    <t>PA-GE</t>
  </si>
  <si>
    <t>Management of Global Employees</t>
  </si>
  <si>
    <t>Inconsistent data in infotype 0000 and 0706</t>
  </si>
  <si>
    <t>Administrator group in infotype 0710</t>
  </si>
  <si>
    <t>Personnel Information Systems</t>
  </si>
  <si>
    <t>Position Overview query keeps on loading</t>
  </si>
  <si>
    <t>Position Overview query - Duplicate records</t>
  </si>
  <si>
    <t>Leave Request BR - Proportional Pecuniary Bonus</t>
  </si>
  <si>
    <t>Performance Management Localization for China</t>
  </si>
  <si>
    <t>Missing fields in HCMT_BSP_PA_FR_R0006</t>
  </si>
  <si>
    <t>PA-PA-NO</t>
  </si>
  <si>
    <t>ESS WD ABAP - Field Trygdekontor Number doesnot display &amp;quo</t>
  </si>
  <si>
    <t>PA-PA-NZ</t>
  </si>
  <si>
    <t>Deleting Processing Class Zero in V_T52D1 for New Zealand</t>
  </si>
  <si>
    <t>SZV-6-*: deactivating the Adobe form printing</t>
  </si>
  <si>
    <t>HR-RU, IT0293 Decoupling</t>
  </si>
  <si>
    <t>SZV-6-*, ADV-6-*: Legal change, decree 66p at 28.03.2012</t>
  </si>
  <si>
    <t>HR-RU: Changes in report HRUADSV3</t>
  </si>
  <si>
    <t>RSV-1: wrong Part.2 tariff code processing by INVA condition</t>
  </si>
  <si>
    <t>HR-RU: RSV-1 Form XML 2012 transformation</t>
  </si>
  <si>
    <t>HRUCEDT0_CE No some contracts with semi-periods in payslip</t>
  </si>
  <si>
    <t>PA-PA-SG: Enhancement of HCMT structure for address</t>
  </si>
  <si>
    <t>PA-PA-US-EFR</t>
  </si>
  <si>
    <t>Effort Reporting</t>
  </si>
  <si>
    <t>US Effort Reporting- BADI to Configure Custom Workflows</t>
  </si>
  <si>
    <t>Report RP_US_EFFR_STRESET picks only one record per PERNR</t>
  </si>
  <si>
    <t>Loan-nITF: Deletion does not check existing payments</t>
  </si>
  <si>
    <t>Changes of software components, package interface</t>
  </si>
  <si>
    <t>HR_PAD_HIRE_EMPLOYEE: screen structure fields are initial</t>
  </si>
  <si>
    <t>IT0001: Previous record assigned to default position [2]</t>
  </si>
  <si>
    <t>IT0009: Fields BANKS/WAERS without text fields</t>
  </si>
  <si>
    <t>IT0003: Field attributes not set correctly</t>
  </si>
  <si>
    <t>IT0009:Warning message PBAS_SERVICE067 for field P0009-SWIFT</t>
  </si>
  <si>
    <t>HR_PAD_HIRE_EMPLOYEE: Error message for countries with view</t>
  </si>
  <si>
    <t>IT0016: Error correction in new infotype framework</t>
  </si>
  <si>
    <t>IT0002: Field attributes not set correctly (SPRSL, NATIO)</t>
  </si>
  <si>
    <t>PA-PD-PM</t>
  </si>
  <si>
    <t>Objective Setting and Appraisals</t>
  </si>
  <si>
    <t>PMP: Various error corrections in the PDF print version</t>
  </si>
  <si>
    <t>PM: Long response time for "multiple creation" (PO</t>
  </si>
  <si>
    <t>PM: Cascading goals for an organizational unit</t>
  </si>
  <si>
    <t>DataSource 0HR_PA_HAP_3: Enhancement of extract structure</t>
  </si>
  <si>
    <t>PM: Core values in appraisal document</t>
  </si>
  <si>
    <t>PMP: Notiz-Kopfdaten werden überschrieben</t>
  </si>
  <si>
    <t>PMP: Completed subappraisal can be changed</t>
  </si>
  <si>
    <t>PMP: Goal alignment dialog box cannot be closed</t>
  </si>
  <si>
    <t>Personnel Budget Plan Management</t>
  </si>
  <si>
    <t>CustConn PublicSector: Runtime IT 1509; error corrections</t>
  </si>
  <si>
    <t>HRPBCM: Start date overwritten during financing</t>
  </si>
  <si>
    <t>Problems when processing lock notes with amount 0</t>
  </si>
  <si>
    <t>HRPBCM: Financing status displayed incorrectly</t>
  </si>
  <si>
    <t>Various error corrections for mass financing</t>
  </si>
  <si>
    <t>Automatic Commitment/Budget Creation</t>
  </si>
  <si>
    <t>RHRFPM_SET_CLOSEDKZ: Message log insufficient</t>
  </si>
  <si>
    <t>PA-PM-OM</t>
  </si>
  <si>
    <t>PPOME: Calculation of non-allocated full-time equivalent</t>
  </si>
  <si>
    <t>Incorrect calculation when activating lock notes</t>
  </si>
  <si>
    <t>PA-TM</t>
  </si>
  <si>
    <t>Talent Management</t>
  </si>
  <si>
    <t>Talent groups object text truncated after 12 characters</t>
  </si>
  <si>
    <t>Succession Planning (HRTMC_PPOM):Missing authorization check</t>
  </si>
  <si>
    <t>TMC: Function module HRTMC_GET_TALENT_F4_HELPS</t>
  </si>
  <si>
    <t>Performance problems with authorization change pointers</t>
  </si>
  <si>
    <t>Development plan: Incorrect status for inserted action</t>
  </si>
  <si>
    <t>Error when creating print preview for calibration grid</t>
  </si>
  <si>
    <t>MSS talent assessment: Status values in calibration grid</t>
  </si>
  <si>
    <t>Talent review mtg ovrvw: Quick info text for employee photo</t>
  </si>
  <si>
    <t>MSS talent assessment: Updating data</t>
  </si>
  <si>
    <t>Messages are issued incorrectly</t>
  </si>
  <si>
    <t>LSO - Renovated Learner Portal - Collective Note</t>
  </si>
  <si>
    <t>Training History not displaying the refreshed results</t>
  </si>
  <si>
    <t>Update IMG and BAdI documentation</t>
  </si>
  <si>
    <t>To set default value of Book and start</t>
  </si>
  <si>
    <t>Course Program Fixes</t>
  </si>
  <si>
    <t>Performance improvement of the Renovated Learner Portal</t>
  </si>
  <si>
    <t>LSO: Dump while maintaining attendee fee list</t>
  </si>
  <si>
    <t>Organization not displayed for a participant in curriculum</t>
  </si>
  <si>
    <t>No error message is shown even after note 1341287</t>
  </si>
  <si>
    <t>HCM Data Privacy: LSO Archiving object Corrections</t>
  </si>
  <si>
    <t>Groupings of work schedule rule not extracted</t>
  </si>
  <si>
    <t>IT0007: Field ZTERF without text field</t>
  </si>
  <si>
    <t>IT0007: Field WWEEK without text field</t>
  </si>
  <si>
    <t>IT 0007: Field attribute is incorrect (SCHKZ)</t>
  </si>
  <si>
    <t>ESS LEA: Leave records not posted to Infotype 2001/2002</t>
  </si>
  <si>
    <t>ESS LEA: Team calender application dumps future period</t>
  </si>
  <si>
    <t>ESS LEA Time Accounts: Quota projections not considered</t>
  </si>
  <si>
    <t>Time out encountered in leave overview</t>
  </si>
  <si>
    <t>Sub-system Time events are editable in the ESS Application</t>
  </si>
  <si>
    <t>Navigation based on the employee Molga in Leave Approval</t>
  </si>
  <si>
    <t>ESS LEA &amp; COR Adjustments of the PTARQ and the PTCOR for</t>
  </si>
  <si>
    <t>RPTARQEMAIL: Emails not sent for substitutes</t>
  </si>
  <si>
    <t>Performance issue when viewing team calendar</t>
  </si>
  <si>
    <t>ESS LEA additional ' ' in deduction description</t>
  </si>
  <si>
    <t>ESS LEA, COR:RPTARQEMAIL &amp; RPTCOREMAIL for several langu</t>
  </si>
  <si>
    <t>Sorting and retaining Selections made in Team Calendar</t>
  </si>
  <si>
    <t>ESS LEA: Team calendar: Days off work are not displayed</t>
  </si>
  <si>
    <t>ESS LEA: Incorrect subtype in collision message</t>
  </si>
  <si>
    <t>ESS LEA several e-mails to one receiver</t>
  </si>
  <si>
    <t>Transitional Payments Legal change 2012</t>
  </si>
  <si>
    <t>Termination Organiser dumps when ETP payments are negative</t>
  </si>
  <si>
    <t>/109 incorrect when payments reduced across Fin. Yr.</t>
  </si>
  <si>
    <t>Refunds incorrectly generated in retro runs within Fin. Yr.</t>
  </si>
  <si>
    <t>/130 incorrect when payments made across financial year</t>
  </si>
  <si>
    <t>Tax incorrect when Leave Loading paid retro across Fin. Yr.</t>
  </si>
  <si>
    <t>Middle Name Error in Canadian IT0002 (CE)</t>
  </si>
  <si>
    <t>IT0461: Prov. of Health field missing in HCMT structure</t>
  </si>
  <si>
    <t>ESS: Union Budget 2012 Changes for IT Declaration Scenarios</t>
  </si>
  <si>
    <t>ESS: E-seperation text changes</t>
  </si>
  <si>
    <t>ESS ABAP : Income Tax declaration changes for EhP 6</t>
  </si>
  <si>
    <t>Leave Encashment: Updation of Infotype 0267</t>
  </si>
  <si>
    <t>E-Separation: Department task owners mail not triggering</t>
  </si>
  <si>
    <t>HR-RU: Tax set-off if tax status of employee is changed</t>
  </si>
  <si>
    <t>HR-RU: Payee name truncated or incorrect in payment runs</t>
  </si>
  <si>
    <t>CE: SZB-6-1/2: dump in FM HR_RU_SEN_SEL_DOGOVOR</t>
  </si>
  <si>
    <t>PY-RU: Negative SI bases in retro if P68=8 for wages /12*</t>
  </si>
  <si>
    <t>HR-RU: pdf-based HR Form of payslip for CE</t>
  </si>
  <si>
    <t>CE: Missing authorization infotype 0001 in grouping reader</t>
  </si>
  <si>
    <t>CE: SZV-6-1/2: dump in offline mode at Adobe form printing</t>
  </si>
  <si>
    <t>Average for absence in case of global salary increase</t>
  </si>
  <si>
    <t>CE: Wrong /301 after changing employee status during year</t>
  </si>
  <si>
    <t>PY-SE-PS</t>
  </si>
  <si>
    <t>Public sector (Sweden)</t>
  </si>
  <si>
    <t>SPV - Multiple issues</t>
  </si>
  <si>
    <t>Employer's Certificate report enhancements</t>
  </si>
  <si>
    <t>USCLM: Alternative rule to determine work hours</t>
  </si>
  <si>
    <t>USCLM: Cost Assignment Override Handling</t>
  </si>
  <si>
    <t>USCLM: Correction for user exit calls</t>
  </si>
  <si>
    <t>USCLM: Off-Cycle Recovery during Retro Calculation</t>
  </si>
  <si>
    <t>USCLM: Incorrect entries in C1 table</t>
  </si>
  <si>
    <t>USCLM: CE employee RT cleared by USCLM recovery process</t>
  </si>
  <si>
    <t>USCLM: Incorrect cost assignment if IT0027 splits exist</t>
  </si>
  <si>
    <t>USCLM: Incorrect overpayment for reversed payroll</t>
  </si>
  <si>
    <t>USCLM: Overpayment transferred from one EE to another</t>
  </si>
  <si>
    <t>USCLM: CLM_PERSON not correctly updated in case of splits</t>
  </si>
  <si>
    <t>USCLM: Salary overpayments crossing years</t>
  </si>
  <si>
    <t>MSC: Payroll function UTXCE fails to distribute WT /5UH.</t>
  </si>
  <si>
    <t>USCLM: Different recovery wage types merged in RT</t>
  </si>
  <si>
    <t>USCLM: Consolidated corrections for Concurrent Employment.</t>
  </si>
  <si>
    <t>Concurrent Employment - International Payroll</t>
  </si>
  <si>
    <t>Dump in CE payroll driver</t>
  </si>
  <si>
    <t>Dump during payroll run</t>
  </si>
  <si>
    <t>Parallel start of RPCDTAx0 and RPCDTAx0_CE</t>
  </si>
  <si>
    <t>Pfändung: Angabe von Überweisungsdaten (IT 0116)</t>
  </si>
  <si>
    <t>PY-XX-FO-ESS</t>
  </si>
  <si>
    <t>ESS Payslip</t>
  </si>
  <si>
    <t>ESS pay slip:Dump 'No form exist' when we view Payslip</t>
  </si>
  <si>
    <t>HRFORMS: Empty Lines in the end of Notifications(IT0128)</t>
  </si>
  <si>
    <t>Error 'Cannot find an employee' during replacement in OCWB</t>
  </si>
  <si>
    <t>Loan nITF: Enhancement for archiving</t>
  </si>
  <si>
    <t>XX-CSC-CZ</t>
  </si>
  <si>
    <t>Czech Republic</t>
  </si>
  <si>
    <t>XX-CSC-CZ-TV</t>
  </si>
  <si>
    <t>Travel Management</t>
  </si>
  <si>
    <t>Travel expense form - missing total amount detail lines</t>
  </si>
  <si>
    <t>Error in fulfilling of RND document</t>
  </si>
  <si>
    <t>XX-CSC-PL</t>
  </si>
  <si>
    <t>Poland</t>
  </si>
  <si>
    <t>XX-CSC-PL-TV</t>
  </si>
  <si>
    <t>Travel expense form - PL missing total amount detail lines</t>
  </si>
  <si>
    <t>Poland - Travel expense form issue</t>
  </si>
  <si>
    <t>XX-CSC-SK</t>
  </si>
  <si>
    <t>Slovakia</t>
  </si>
  <si>
    <t>XX-CSC-SK-TV</t>
  </si>
  <si>
    <t>ASREI convert to local currency</t>
  </si>
  <si>
    <t>Doubled deduction, foreign trip II</t>
  </si>
  <si>
    <t>XX-TRANSL-FI</t>
  </si>
  <si>
    <t>Translation into Finnish</t>
  </si>
  <si>
    <t>Correction of FI translations in Travel Management portal</t>
  </si>
  <si>
    <t>Correction of translation of 'Expense Report(s)'</t>
  </si>
  <si>
    <t>SAPK-60702INEAHR</t>
  </si>
  <si>
    <t>Create Search Connector Indexes Exception</t>
  </si>
  <si>
    <t>Email formatting in the calender application.</t>
  </si>
  <si>
    <t>Enhancing BADI- HRMSS_B_CALENDER_ENTRY</t>
  </si>
  <si>
    <t>Adopting the assistance class to handle the BADI</t>
  </si>
  <si>
    <t>HCM Renewal 1.0(MSS):Minor Changes to PFCG role for Travel</t>
  </si>
  <si>
    <t>CATS: Short text display in BAPI_CATIMESHEETRECORD_GETLIST</t>
  </si>
  <si>
    <t>CATS: Work center is overwritten with default</t>
  </si>
  <si>
    <t>Web: Reason field required but not clickable to focus on</t>
  </si>
  <si>
    <t>Web: Minor Enhancement Travel Substitution / Travel Approval</t>
  </si>
  <si>
    <t>WEB: Mileage Address From and To Location hidden but filled</t>
  </si>
  <si>
    <t>Reason for trip as required entry field in transction TRIP</t>
  </si>
  <si>
    <t>NO: Wrong Calculation for expense type SAL in TRIP</t>
  </si>
  <si>
    <t>VATamount not updated in the first attempt forReceipts</t>
  </si>
  <si>
    <t>P.S.: France: Alternative meals per diem part 2</t>
  </si>
  <si>
    <t>WEB ABAP: Pop-up doesn't disappear</t>
  </si>
  <si>
    <t>Rounding differences for credit card receipts</t>
  </si>
  <si>
    <t>DE: Verpflegungseinzelbeleg - bezahlt durch Firma</t>
  </si>
  <si>
    <t>PR05: Employee group on overview screen not always ok</t>
  </si>
  <si>
    <t>Master cost center is saved in trip</t>
  </si>
  <si>
    <t>AT/IT-Banken: kein Erstattungsbetrag bei Uhrzeiten</t>
  </si>
  <si>
    <t>Web: Absolute cost distribution of receipts deleted</t>
  </si>
  <si>
    <t>Implementation missing in class CL_IM_TEST_TRIP_APPROVAL</t>
  </si>
  <si>
    <t>Web: Dump CONVT_NO_NUMBER with unedited WBS elements</t>
  </si>
  <si>
    <t>Web: KURS_IN_MENGENNOTATION &amp; KURS_IN_PREISNOTATION</t>
  </si>
  <si>
    <t>WD ABAP EES: passengers in mileage table is reset to zero</t>
  </si>
  <si>
    <t>BAdI BADI_TRIP_RECEIPT_ENHANCEMENT: Text for button</t>
  </si>
  <si>
    <t>AT: RPRTEF10 and additional amounts</t>
  </si>
  <si>
    <t>Web: Additional trip text lost when form is called</t>
  </si>
  <si>
    <t>Documentatn for BAdI method SET_POWL_EMAIL_ATTRIB is missing</t>
  </si>
  <si>
    <t>Web: Ortssuchhilfe und Gültigkeitsdatum für AT</t>
  </si>
  <si>
    <t>RPRVAT00_ALV: Parameter in subroutine baue_rot_verpf_paush</t>
  </si>
  <si>
    <t>WEB/PR05: Mileage Address set as 'off' but taken as active.</t>
  </si>
  <si>
    <t>Dump CONVT_NO_NUMBER for negative credit card receipts</t>
  </si>
  <si>
    <t>Deletion of Business Document during the Trip delete</t>
  </si>
  <si>
    <t>No history when approving request using PRAP</t>
  </si>
  <si>
    <t>PRRW: Zero pstng not recognized for change of profit center</t>
  </si>
  <si>
    <t>PR05: Error during account assignment check</t>
  </si>
  <si>
    <t>RPR_TRIP_PAYMENT_HISTORY_FI: Text Abrechnungsstatus</t>
  </si>
  <si>
    <t>PRRW: Kein Eintrag in T706K für Argument &amp;</t>
  </si>
  <si>
    <t>Fehlerhafter Aufruf bei Formularen im Reisekostenmanager</t>
  </si>
  <si>
    <t>Wrong commitment calculation for multiple cost distribution</t>
  </si>
  <si>
    <t>'Beibehaltung entgl. Unterkunft' nur für PS DE eingabebereit</t>
  </si>
  <si>
    <t>PDF Formular: Reisen Öffentlicher Dienst</t>
  </si>
  <si>
    <t>LRKG Sachsen: §5 Wegstrecken- und Mitnahmeentschädigung 2012</t>
  </si>
  <si>
    <t>PR05: Dienstreise ÖD Feldsteuerung Kilometer Inland</t>
  </si>
  <si>
    <t>PS-AT/DE: Problem beim Wechsel der Personalnummer in PR05</t>
  </si>
  <si>
    <t>TG: Anrechnung parallele Dienstreise in fiktiver Periode</t>
  </si>
  <si>
    <t>PS AT: Buttons für Abzüge Mahlzeiten und 'Nacht zum'</t>
  </si>
  <si>
    <t>Programmabbruch bei Dienstrückreise und aktivem Obligo</t>
  </si>
  <si>
    <t>TG: Vergleichsrechnung TR/AV: Abgleich parallele Dienstr.</t>
  </si>
  <si>
    <t>Begrenzung DZ-Gebühr auf 180-Tage und Abwh. Zwölftel falsch</t>
  </si>
  <si>
    <t>PS-DE: Abzüge bei reduziertem Tagegeld/Auslandsreisen</t>
  </si>
  <si>
    <t>Änderungen von HW 1618537 ab EH6 nicht vorhanden</t>
  </si>
  <si>
    <t>TG: Abruch beim Simulieren mit großer Vergleichsrechnung</t>
  </si>
  <si>
    <t>Aufteilung stpfl./st.fr. in Folge-DZ mit 180 Tagen, paral.DR</t>
  </si>
  <si>
    <t>Fehlender Tabelleneintrag bei Reisen mit Reiseunterbrechung</t>
  </si>
  <si>
    <t>PS-DE: Popup mit Abzügen vom Hotelbeleg</t>
  </si>
  <si>
    <t>DZ: Änderung der Versteuerung (manuell bzw. automatisch)</t>
  </si>
  <si>
    <t>Validation date of master account assignment</t>
  </si>
  <si>
    <t>Trennungsgeld dauerhaft ohne Hausstand: Versteuerung Verpfl.</t>
  </si>
  <si>
    <t>PS-AT/DE: Auswahl von DZ/TG für Hin- und Rückreisen</t>
  </si>
  <si>
    <t>LRKG BW: Verpflegungspauschalen ab 01.04. 2012</t>
  </si>
  <si>
    <t>TG: Gr.Vergl.rechnung:Kein Tr.reisegeld bei Abw. in fikt.Per</t>
  </si>
  <si>
    <t>Übernahme der FITVFELD Defaultwerte beim Kopieren von DZ/TRG</t>
  </si>
  <si>
    <t>AT: Falsche Rückrollung bei Änderung späterer DR oder DZ</t>
  </si>
  <si>
    <t>WD ABAP: Dump when selecting hotel reason code on review</t>
  </si>
  <si>
    <t>Third Party Travel Planning in NWBC</t>
  </si>
  <si>
    <t>FI-TV-PL-AET</t>
  </si>
  <si>
    <t>Interface Amadeus e-Travel Management</t>
  </si>
  <si>
    <t>Profile Synchronization - E-Travel</t>
  </si>
  <si>
    <t>FI-TV-PL-SAB</t>
  </si>
  <si>
    <t>API Interface SABRE GetThere</t>
  </si>
  <si>
    <t>Getthere: error when  PNR in status 'Suspended'</t>
  </si>
  <si>
    <t>GetThere: profile synchronisation for concurrent employment</t>
  </si>
  <si>
    <t>Getthere : Trips created in portal not editable with PR05</t>
  </si>
  <si>
    <t>WD value help for field in Form Scenario is not transported</t>
  </si>
  <si>
    <t>Viewing DPF Record information throws authorization error</t>
  </si>
  <si>
    <t>Save pop up is displayed when Form Scenario is already saved</t>
  </si>
  <si>
    <t>Inclusion of List UIBB in composite UIBB</t>
  </si>
  <si>
    <t>Dump while saving the form scenario description in HRASR_DT</t>
  </si>
  <si>
    <t>WD Detail Planning: Changes done, Close PopUp with OK-Button</t>
  </si>
  <si>
    <t>Display Plan: Quarter View, Cost Items with Annual Limits</t>
  </si>
  <si>
    <t>Plan List Results: Change Time Interval View, No Results</t>
  </si>
  <si>
    <t>WD Detail Planning: Order or WBS-Element as a Cost Unit</t>
  </si>
  <si>
    <t>Planning Data: Distributed Dependent Cost Items</t>
  </si>
  <si>
    <t>Dump in compensation planning if special characters in note</t>
  </si>
  <si>
    <t>EIC: SLA alert message for approaching due date is wrong.</t>
  </si>
  <si>
    <t>COD application dumps if time constraint of IT 32,105 change</t>
  </si>
  <si>
    <t>Button for "Maintain Text" icon of MGE infotypes i</t>
  </si>
  <si>
    <t>ODP 0HCM_COMP_CODE is not language-dependent</t>
  </si>
  <si>
    <t>Reporting in MSS-Addon: Date picker for selection criteria</t>
  </si>
  <si>
    <t>Employee HeadCount Direct Access TREX Indexing fails</t>
  </si>
  <si>
    <t>[AR] Social Insurance Another Employer</t>
  </si>
  <si>
    <t>Minor improvement for ESS scenario Addresses</t>
  </si>
  <si>
    <t>ANS Normative Resolution No. 250 - Additional changes</t>
  </si>
  <si>
    <t>ANS resolution no. 250 - enhancements for IT0021, subtype 15</t>
  </si>
  <si>
    <t>TNM, Trainer Costs: LSO adaptation for the 2483 statement</t>
  </si>
  <si>
    <t>Short Dump When Maintain IT0021 with Subtype Not Number</t>
  </si>
  <si>
    <t>IT0002: Change Label of English Name</t>
  </si>
  <si>
    <t>Correct Input Help for Dependent for Infotype 0858 in ESS</t>
  </si>
  <si>
    <t>Electronic Notifications of Illness and Recovery</t>
  </si>
  <si>
    <t>ESS(WD ABAP) - Validation during FPM_BACK_TO_MAIN event</t>
  </si>
  <si>
    <t>SZV-6-*: Appendix 3 of Decree 66p at 28.03.2012</t>
  </si>
  <si>
    <t>Dump SAPSQL_ARRAY_INSERT_DUPREC in program HRULNDFL_CE</t>
  </si>
  <si>
    <t>CE: SZV-6-*: organization short name in the Adobe form</t>
  </si>
  <si>
    <t>HR-RU: RSV-1 leading minus for sums in XML-file</t>
  </si>
  <si>
    <t>Undefined tax schema if TAX table doesn't exist in payroll</t>
  </si>
  <si>
    <t>PA-PA-SG: Gender mis-match error in ESS infotype 0002 screen</t>
  </si>
  <si>
    <t>PA-PA-TH: Paymant method is not available in webdynpro ABAP</t>
  </si>
  <si>
    <t>Infotype 0048 - U.S. Subtype Descriptions and Visa Subtypes</t>
  </si>
  <si>
    <t>Report RP_US_EFFR_STRESET - reset Status for Multiple record</t>
  </si>
  <si>
    <t>IT0014: Incorr search help value for fields ZEINH and ZEINZ</t>
  </si>
  <si>
    <t>HR_PAD_HIRE_EMPLOYEE: Exception CX_HRPA_MISSING_INFTY_DATA</t>
  </si>
  <si>
    <t>IT0027: Exception CX_HRPA_VIOLATED_ASSERTION</t>
  </si>
  <si>
    <t>IT0014/IT0057: Field list filled with incorrect field name</t>
  </si>
  <si>
    <t>IT0019: Reminder date is not calculated</t>
  </si>
  <si>
    <t>Infotype 0001: Segment field does not exist in UI structure</t>
  </si>
  <si>
    <t>IT 0027: Exception CX_HRPA_INVALID_PARAMETER (ITXEX)</t>
  </si>
  <si>
    <t>IT0008: Perform indirect valuation on certain key date</t>
  </si>
  <si>
    <t>Infotype 0006: Fields COMxx are not checked</t>
  </si>
  <si>
    <t>General Bases for Payroll Data</t>
  </si>
  <si>
    <t>IT0008: Incorrect data in country versions</t>
  </si>
  <si>
    <t>PMP: Competencies use incorrect scale</t>
  </si>
  <si>
    <t>PMP: Displaying part appraisals on UI and in PDF</t>
  </si>
  <si>
    <t>PM: Improvement to extractor 'HRHAP_PA_BW_IS_3'</t>
  </si>
  <si>
    <t>PMP: Various appraisal document UI corrections</t>
  </si>
  <si>
    <t>PMP: Error when generating appraisal template</t>
  </si>
  <si>
    <t>HRPBC_FINLIST: Runtime error RAISE_EXCEPTION</t>
  </si>
  <si>
    <t>HRPBC_FINLIST delivers incorrect results</t>
  </si>
  <si>
    <t>MESSAGE_TYPE_UNKNOWN when executing various programs</t>
  </si>
  <si>
    <t>HRFPM_VACANCY_DISP: Personnel cost savings too high</t>
  </si>
  <si>
    <t>Commitment creation: Err when determining cost distribution</t>
  </si>
  <si>
    <t>'Business area' &amp; 'Segment' filled despite not being act</t>
  </si>
  <si>
    <t>Extractor 0PA_TMC_7: Runtime problem (2)</t>
  </si>
  <si>
    <t>Talent groups: Various corrections</t>
  </si>
  <si>
    <t>Restriction to AOR when searching talents for review meeting</t>
  </si>
  <si>
    <t>Inconsistent display of talent groups and their status</t>
  </si>
  <si>
    <t>TMC: RPTMC_CREATE_CHANGEPOINT_AUTH - Authorization check</t>
  </si>
  <si>
    <t>Talent review meeting: Search for support team member</t>
  </si>
  <si>
    <t>Talent review mtg: Talent search only in responsibility area</t>
  </si>
  <si>
    <t>PE-LSO-CP</t>
  </si>
  <si>
    <t>Content Player</t>
  </si>
  <si>
    <t>SCORM2004 4th Edition changes</t>
  </si>
  <si>
    <t>System language is not consider for the Training name</t>
  </si>
  <si>
    <t>Enhancements - Course Program alternative course description</t>
  </si>
  <si>
    <t>LSO Instructor Portal:Courses for followup are not displayed</t>
  </si>
  <si>
    <t>LSO- SU22 update for admin portal application</t>
  </si>
  <si>
    <t>HRFORMS Time Statement not printing recalculation data</t>
  </si>
  <si>
    <t>Decoupled IT7: Missing error messages for wrong customizing</t>
  </si>
  <si>
    <t>ESS LEA: Leave request sent to the inactive substitute</t>
  </si>
  <si>
    <t>WDA LEA: TeamCalendar and EmployeeCalendar Performance issue</t>
  </si>
  <si>
    <t>Default Country grouping 99 for feature HRFOR</t>
  </si>
  <si>
    <t>ESS LEA: Report for creating PTREQ_ACTOR data records</t>
  </si>
  <si>
    <t>Duplicate PTREQ_ACTOR entries</t>
  </si>
  <si>
    <t>Wrong time format displayed in tool-tip in Team Calendar</t>
  </si>
  <si>
    <t>ESS MSS LEA: Messages from Customer BAdI not displayed</t>
  </si>
  <si>
    <t>ESS CICO: Entries edited in ESS can be changed completely</t>
  </si>
  <si>
    <t>ESS LEA: Work items are not sorted (supplemented) correctly</t>
  </si>
  <si>
    <t>ESS LEA: RPTARQDBVIEW user specific Variant</t>
  </si>
  <si>
    <t>ESS LEA: Team calendar uses begin date to check for absences</t>
  </si>
  <si>
    <t>ESS REQ: RPTREQACTOR TMW memory overflow</t>
  </si>
  <si>
    <t>ESS LEA: RPTARQPOST note 1685969 incomplete</t>
  </si>
  <si>
    <t>ESS LEA: Performance improvement in team calendar</t>
  </si>
  <si>
    <t>Termination Organiser:Error message in Update mode</t>
  </si>
  <si>
    <t>Legal Change 2012:Corrections for Leave Loading Lump Sum Pay</t>
  </si>
  <si>
    <t>2012 TAx: /BTT being created for bonus inflows across FY</t>
  </si>
  <si>
    <t>PS/ETP PS selection screen appears in Termination Organiser</t>
  </si>
  <si>
    <t>Override payments not processed for inactive employees</t>
  </si>
  <si>
    <t>Method C:Tax refund incorrect in case of decrease of payment</t>
  </si>
  <si>
    <t>/ARF is incorrectly calculated in retro across Fy yr</t>
  </si>
  <si>
    <t>Private Health Insurance Extra tax not calculated on backpay</t>
  </si>
  <si>
    <t>Wage type /LGT is not generated</t>
  </si>
  <si>
    <t>Back pay added twice to /106 and /116</t>
  </si>
  <si>
    <t>2012 Tax:Incorrect tax for negative backpay inflow across FY</t>
  </si>
  <si>
    <t>Recalculated tax on back pay in retro run not adjusted</t>
  </si>
  <si>
    <t>Missing /420 in retro termination across FY.</t>
  </si>
  <si>
    <t>/LTB not generated in a specific retro scenario</t>
  </si>
  <si>
    <t>Wage type /LTT incorrect in a retroactive run</t>
  </si>
  <si>
    <t>Text of Error message is missing in Payroll log for CE</t>
  </si>
  <si>
    <t>Tax on Leave Loading lump sum pay incorrect in 2012</t>
  </si>
  <si>
    <t>RPLEHAD3 Handling of dual programs of study</t>
  </si>
  <si>
    <t>MASSIVE: Massive Gener. of IRPF downport for EHP5 and EHP4</t>
  </si>
  <si>
    <t>E-Separation : HINUEADI report changes</t>
  </si>
  <si>
    <t>ESS: Section 80 &amp; 80C deduction date issue for new hires</t>
  </si>
  <si>
    <t>ESS: First name &amp; last name displayed incorrectly in cla</t>
  </si>
  <si>
    <t>HR-RU CE: wrong average in RUAVC if off-cycle exists</t>
  </si>
  <si>
    <t>HR-RU: new payroll operation RUPER</t>
  </si>
  <si>
    <t>HR-RU CE: incorrect average if sick-list calculated before</t>
  </si>
  <si>
    <t>HR-RU: HRULPAY2_CE - Incorrect firing date</t>
  </si>
  <si>
    <t>Averages calculation of vacations of future periods in OC</t>
  </si>
  <si>
    <t>HR-RU CE: Operation RUAWPL doesn't set grouping reason</t>
  </si>
  <si>
    <t>RUPOC during advance OC imports OC results other contracts</t>
  </si>
  <si>
    <t>RPCEDTS0 the Rate field of some wagetypes are not correct.</t>
  </si>
  <si>
    <t>IT0909: Original Overpaid and Remaining Balance incorr. val.</t>
  </si>
  <si>
    <t>NWH: Magnetic media changes for 2012 (CE)</t>
  </si>
  <si>
    <t>TR: Online W-2 BAdI to exclude EE from TP Magmedia</t>
  </si>
  <si>
    <t>Checkman corrections for HCM U.S. Tax Reporter in EA-HR</t>
  </si>
  <si>
    <t>Corrections to Online W-2: Wave 4</t>
  </si>
  <si>
    <t>HRForms: ESS Check doesn't work correctly</t>
  </si>
  <si>
    <t>SEL_PERIODS missing in SAP_DEFAULT MetaNet</t>
  </si>
  <si>
    <t>Default value for reference date</t>
  </si>
  <si>
    <t>The start and end location is compulsory for PL</t>
  </si>
  <si>
    <t>SAPK-60703INEAHR</t>
  </si>
  <si>
    <t>Hierarchy View dropdown icon appearing even without Menulist</t>
  </si>
  <si>
    <t>Flex file upload for the drop down issue.</t>
  </si>
  <si>
    <t>HRMSS_REMINDER_OF_DATES cannot add multiple task types</t>
  </si>
  <si>
    <t>HCM_ECM_PLANNING_UI_GAF is not considering custom parameters</t>
  </si>
  <si>
    <t>HCM_ECM_TEAMVIEWER_OIF is not considering custom parameters</t>
  </si>
  <si>
    <t>event handler OBJ_SELECTED_NAKISA_HIER</t>
  </si>
  <si>
    <t>CATS WDA: Description is truncated in F4 selection screen</t>
  </si>
  <si>
    <t>CATS WD: Code error in CL_MSS_CAT_APPR_TR_BUFFER</t>
  </si>
  <si>
    <t>CATS WD: Performance issue in search help for RPROJ</t>
  </si>
  <si>
    <t>CATS WD: ESS record working time worklist</t>
  </si>
  <si>
    <t>CATS Webdypro: MSS Approve Working Time Performance issue</t>
  </si>
  <si>
    <t>CATS: Exception CONVERSION_ERROR for field Valuation basis</t>
  </si>
  <si>
    <t>CATS: Longtext is not updated during Release of timesheet</t>
  </si>
  <si>
    <t>Timesheet: Valuation basis(BWGRL)</t>
  </si>
  <si>
    <t>Various issue in Webdynpro ABAP time sheet application</t>
  </si>
  <si>
    <t>CATS WDA: Error messages disappears after any action</t>
  </si>
  <si>
    <t>Switching between the data entry profiles does not work</t>
  </si>
  <si>
    <t>CATSWD: Absence sum missing in weekly view</t>
  </si>
  <si>
    <t>Lines with same A/A Type are not merged for leave records</t>
  </si>
  <si>
    <t>Icon url length not sufficient for webicons</t>
  </si>
  <si>
    <t>Data refresh link is not aligned in the OADP table</t>
  </si>
  <si>
    <t>PR05: Cost distribution only as button and required fields</t>
  </si>
  <si>
    <t>BAPI_TRIP_CREATE_FROM_DATA: Feld RECEIPT_VALIDATED</t>
  </si>
  <si>
    <t>PR01: Validation of trip activity type</t>
  </si>
  <si>
    <t>Übernachtungsabzüge nach Druck mit RPRTEF00</t>
  </si>
  <si>
    <t>Attachments in PRAP</t>
  </si>
  <si>
    <t>PDF: Steuerkennzeichen für Mahlzeiten im Hotelbeleg</t>
  </si>
  <si>
    <t>Reiseversionierung: es erfolgt keine Archivierung mehr</t>
  </si>
  <si>
    <t>FI: Verpflegungspauschale Ausland &amp;gt; 10 Stunden</t>
  </si>
  <si>
    <t>Testtransaktion reaktivieren</t>
  </si>
  <si>
    <t>Sort ALV dumps for report RPRCCC_READ_KR1025</t>
  </si>
  <si>
    <t>Parallele Dienstreise führt zur falschen Tagesgebühr</t>
  </si>
  <si>
    <t>TG: Kappungsbeleg Gr. Vergl.rechnung ohne Detaildaten</t>
  </si>
  <si>
    <t>PR05: Buchungsdatum wird beim Schemenwechsel gelöscht</t>
  </si>
  <si>
    <t>Bayern: TG Tägl.Rückkehr Vergleichsrechnung: Verpfl.zuschuss</t>
  </si>
  <si>
    <t>DZ:Genehmigung führt zu falschem RAU-Eintrag (Verkett.-Tab)</t>
  </si>
  <si>
    <t>Formular: Werbungskosten für Verpflegungspauschale</t>
  </si>
  <si>
    <t>PS Bayern: Unterkunftsbeleg und Werbungskosten</t>
  </si>
  <si>
    <t>Auslandsreise: Kappung Kilometer bei Inlandskilometer</t>
  </si>
  <si>
    <t>Error in rule evaluation</t>
  </si>
  <si>
    <t>Issues related to form scenario version and WD help</t>
  </si>
  <si>
    <t>Form data not getting updated correctly on change of object</t>
  </si>
  <si>
    <t>Input helps for fields across different UIBBs</t>
  </si>
  <si>
    <t>Delete row button not working properly in LIST Complex</t>
  </si>
  <si>
    <t>Design Time Tool - Issue related to input value help</t>
  </si>
  <si>
    <t>PA Adapter change to read_structure_info method</t>
  </si>
  <si>
    <t>Buttons not getting disabled on display mode</t>
  </si>
  <si>
    <t>Extractor 0HR_PACP_1: No Amount due to a Gap in CO_INFO</t>
  </si>
  <si>
    <t>Unnecessary Warning Message HRHCP00_PLAN 147</t>
  </si>
  <si>
    <t>WD Detail Planning: Reclassification, Employee Subgroup</t>
  </si>
  <si>
    <t>ECM individual employee planning: Currency fields</t>
  </si>
  <si>
    <t>EIC: Blank window when opening email attachments</t>
  </si>
  <si>
    <t>ESS- Dump when creating foreign address</t>
  </si>
  <si>
    <t>Correction in CL_HRPA_PERNR_INFTY_XSS</t>
  </si>
  <si>
    <t>EHP5 - Validation during FPM_BACK_TO_MAIN event</t>
  </si>
  <si>
    <t>WD CATS: ATC Checkman Error</t>
  </si>
  <si>
    <t>Public Holiday Calendar:ATC Checkman</t>
  </si>
  <si>
    <t>SAPLHRPAD_EXTRACTION - Extended Check Warnings and Fixes</t>
  </si>
  <si>
    <t>Extended Check Warnings</t>
  </si>
  <si>
    <t>IT0107 - feature BFIVA is reused when pushing ENTER</t>
  </si>
  <si>
    <t>Correct Error in Personal Data Service in ESS</t>
  </si>
  <si>
    <t>Field 'STATE' is not set up with input help</t>
  </si>
  <si>
    <t>TNM: enh. to the report RPCTNM9S_SNAP_GUI, LSO adaptation</t>
  </si>
  <si>
    <t>HCM Renewal: India localisation Release Information Note</t>
  </si>
  <si>
    <t>ESS Commuting Allowance Form: Enhancement for help text</t>
  </si>
  <si>
    <t>ESS: Name order and output selection parameter</t>
  </si>
  <si>
    <t>Mid-YEA 2012: YED Receipt and Traditional Market Expense</t>
  </si>
  <si>
    <t>Name Fields not highlighted as mandatory in Web Dynpro ABAP</t>
  </si>
  <si>
    <t>MY: IT0198 issues in the decoupling framework</t>
  </si>
  <si>
    <t>Activation in Class CL_HRPA_UI_CONVERT_3250_NL</t>
  </si>
  <si>
    <t>RSV-1: Accrued amounts in retro calculated periods</t>
  </si>
  <si>
    <t>Tool for checking Legal Structure Consistency</t>
  </si>
  <si>
    <t>SZV-6-*: unexpected SZV-6-2 Form for a fired employee</t>
  </si>
  <si>
    <t>CE: SZV-6-*: personal number missing in list of employees</t>
  </si>
  <si>
    <t>SPV-1: wrong end date of the seniority period</t>
  </si>
  <si>
    <t>PA-PA-SOA</t>
  </si>
  <si>
    <t>Enterprise Services - Personnel Administration</t>
  </si>
  <si>
    <t>Business function HCM_SRV_CI_2 is missing in EHP5</t>
  </si>
  <si>
    <t>IT0040: Text flag ITXEX is set even is there is no text</t>
  </si>
  <si>
    <t>IT0001: Fields are ready for input during creation</t>
  </si>
  <si>
    <t>HR_PAD_HIRE_EMPLOYEE: Runtime error ASSERTION_FAILED</t>
  </si>
  <si>
    <t>IT 0002: Warning message PG 035 not issued when creating</t>
  </si>
  <si>
    <t>IT0016: Field "Special Rule for Continued Pay" (LF</t>
  </si>
  <si>
    <t>IT0021: Error message RP 019 despite valid date of birth</t>
  </si>
  <si>
    <t>IT0002, IT0021: Text for name format is not filled</t>
  </si>
  <si>
    <t>IT0022: Fld attributes cannot be changed by country versions</t>
  </si>
  <si>
    <t>Correction in HRPAD</t>
  </si>
  <si>
    <t>PA-PAO</t>
  </si>
  <si>
    <t>HR Renewal (Personnel &amp; Organization)</t>
  </si>
  <si>
    <t>Changes to HCM Landing Page</t>
  </si>
  <si>
    <t>Changes to HCM BOL@FPM for OM</t>
  </si>
  <si>
    <t>Changes to OM Single Roles for new Master Data Maintenance</t>
  </si>
  <si>
    <t>Corrections of Search in HCM renewal</t>
  </si>
  <si>
    <t>PAO Documentation Corrections (EA-HRRXX)</t>
  </si>
  <si>
    <t>PAO Documentation Corrections (EA-HRGXX)</t>
  </si>
  <si>
    <t>Changes to PA/OM Masterdata Application</t>
  </si>
  <si>
    <t>Field LFZSO does not exist in configuration</t>
  </si>
  <si>
    <t>System alias of role HRPAO instance REPORTING is incorrect</t>
  </si>
  <si>
    <t>Corrections of the HCM Landing Page</t>
  </si>
  <si>
    <t>Problems with flex control in PMP configuration Wizard</t>
  </si>
  <si>
    <t>PMP: Competencies and scale for part appraisal</t>
  </si>
  <si>
    <t>PMP: Direct Reports determined incorrectly</t>
  </si>
  <si>
    <t>PMP: Document overview displays descriptions incorrectly</t>
  </si>
  <si>
    <t>PMP: Adjusting competencies in qualifications profile</t>
  </si>
  <si>
    <t>PMP: Note filter options for additional appraiser</t>
  </si>
  <si>
    <t>PMP: Termination when adding notes</t>
  </si>
  <si>
    <t>PMP: Negative values in percentage goal distribution</t>
  </si>
  <si>
    <t>Multiple selection in reports drops IDs</t>
  </si>
  <si>
    <t>HRPBCM: Budget updates do not correspond to settings</t>
  </si>
  <si>
    <t>Enhancement for determining financing relevance</t>
  </si>
  <si>
    <t>HRFPM_CUST_DIAGNOSE: Incorrect diagnosis messages</t>
  </si>
  <si>
    <t>Error during financing after implementing SAP Note 1595522</t>
  </si>
  <si>
    <t>HRFPM_PBCDOC_DISP: No display of funds commitments</t>
  </si>
  <si>
    <t>Various errors when using approval workflow</t>
  </si>
  <si>
    <t>Missing BAdI documentation</t>
  </si>
  <si>
    <t>Missing authorization check in PA-TM</t>
  </si>
  <si>
    <t>Display large number of items in the TM/PM Accordion Control</t>
  </si>
  <si>
    <t>MSS talent information: Display of talent group assignment</t>
  </si>
  <si>
    <t>PA-TM: Processor for talent group assignment not found</t>
  </si>
  <si>
    <t>Calibration grid: Labeling of axes is not displayed</t>
  </si>
  <si>
    <t>TMC: HRTMC_VIEW_AUTH - CheckMan</t>
  </si>
  <si>
    <t>TMC: Succession Planning and error message DB 861</t>
  </si>
  <si>
    <t>0PA_TMC_3: Extractor performance is poor</t>
  </si>
  <si>
    <t>HRTMC_TEAMVIEWER: CheckMan</t>
  </si>
  <si>
    <t>Correspondence: The title is not displayed in some cases</t>
  </si>
  <si>
    <t>PE-LSO-IPO</t>
  </si>
  <si>
    <t>Instructor and Tutor</t>
  </si>
  <si>
    <t>LSO Course Administrator Work Monitor poor performance</t>
  </si>
  <si>
    <t>The text for Learning Progress is getting truncated</t>
  </si>
  <si>
    <t>Error when clicking confirm participation in learning portal</t>
  </si>
  <si>
    <t>Performance issue when launching the learning portal</t>
  </si>
  <si>
    <t>Course Program Confirm Participation addition</t>
  </si>
  <si>
    <t>LSO- Search does not return courses without matching dates</t>
  </si>
  <si>
    <t>UI enhancements in LSO PDF LSO_PWB_TRAINING_INFORMATION</t>
  </si>
  <si>
    <t>Booking is not getting cancelled for the curriculum</t>
  </si>
  <si>
    <t>Deletion of waiting list booking when capacity is changed</t>
  </si>
  <si>
    <t>LSO_PSV1 - In Prebookings, Note selected does not match</t>
  </si>
  <si>
    <t>The Organizational unit of person is incorrect</t>
  </si>
  <si>
    <t>Display of instructors for a course in portal is incorrect</t>
  </si>
  <si>
    <t>Issues with fee assignment for a course</t>
  </si>
  <si>
    <t>Correspondence history read incorrectly</t>
  </si>
  <si>
    <t>Incorrect relations created with course program</t>
  </si>
  <si>
    <t>Incomplete message displayed to the end user</t>
  </si>
  <si>
    <t>LSO Admin portal: Only Firmly booked courses are visible</t>
  </si>
  <si>
    <t>Performance issue in course worklist while reading HRVPAD25</t>
  </si>
  <si>
    <t>Learner Portal Notifications Performance improvement</t>
  </si>
  <si>
    <t>PE-LSO-TM-DW</t>
  </si>
  <si>
    <t>'Posting date is initial' error when booking a participant</t>
  </si>
  <si>
    <t>PE-LSO-TM-PR</t>
  </si>
  <si>
    <t>Course Preparation</t>
  </si>
  <si>
    <t>Incorrect tutors are displayed when creating a course</t>
  </si>
  <si>
    <t>Selecting a value in F4 help for S.ID display incorrect data</t>
  </si>
  <si>
    <t>Tutor Field appears although relationship is not maintained</t>
  </si>
  <si>
    <t>LSO Admin Portal: Course language is displayed incorrectly.</t>
  </si>
  <si>
    <t>IT0007:Empty search help for field SCHKZ(Work schedule rule)</t>
  </si>
  <si>
    <t>CL_HRPT_INFOTYPE_0007: Error in default val. determination</t>
  </si>
  <si>
    <t>Time Manager's Workplace</t>
  </si>
  <si>
    <t>TMW team view: Short dump for call with invalid TMW profile</t>
  </si>
  <si>
    <t>UI attributes set in BADI PT_ABS_REQ are not read in EHP5</t>
  </si>
  <si>
    <t>Runtime error when creating a leave request</t>
  </si>
  <si>
    <t>Incorrect sorting of row labels in the team calendar</t>
  </si>
  <si>
    <t>Problems in WD ABAP Clock/out application.</t>
  </si>
  <si>
    <t>ESS Leave Request: Error message HRTIM00REC 006</t>
  </si>
  <si>
    <t>Unwanted text in team calendar when no employees are shown</t>
  </si>
  <si>
    <t>Launch of Leave Request application based on molga</t>
  </si>
  <si>
    <t>Infotype 0105 checked in on behalf scenario</t>
  </si>
  <si>
    <t>ESS LEA: Hyperlink truncated in RPTARQEMAIL &amp; RPTCOREMAI</t>
  </si>
  <si>
    <t>ESS LEA : Dump on reading molga when no requests in Approval</t>
  </si>
  <si>
    <t>Team calendar: Incorrect display for past leave requests</t>
  </si>
  <si>
    <t>ESS LEA: Customizing table V_HRWEB_TRS_MESS is incomplete</t>
  </si>
  <si>
    <t>ESS LEA Leave request: RPTREQACTOR supplement for 1742266</t>
  </si>
  <si>
    <t>/420 and /424 missed in retro termination across FY</t>
  </si>
  <si>
    <t>Averages, /109 incorrect when there is a mid-period rehire</t>
  </si>
  <si>
    <t>'Employee Inactive' (INCT) check to include Inactive/Retiree</t>
  </si>
  <si>
    <t>Termination Organiser updating Infotypes in Test Mode</t>
  </si>
  <si>
    <t>Retroactive change in backpay tax adding twice to /401,/416</t>
  </si>
  <si>
    <t>Leave Loading LumpSum Payments not added to Wage type /116</t>
  </si>
  <si>
    <t>Incorrct /LTR in case of retro over period with -Ve backpay</t>
  </si>
  <si>
    <t>Retrospective payroll execution giving run time error</t>
  </si>
  <si>
    <t>Wage type /LTT is updated in retro</t>
  </si>
  <si>
    <t>Incorrect tax for inactive employees in case of XFY backpay</t>
  </si>
  <si>
    <t>Check for negative value of Wage type /BON missing in QCN1</t>
  </si>
  <si>
    <t>HR Renovation: Korrekturen im Rahmen der Weiterentwicklung</t>
  </si>
  <si>
    <t>SAP New Payslip - HR Forms Changes</t>
  </si>
  <si>
    <t>ESS: Incorrect drop down value for title in personal info</t>
  </si>
  <si>
    <t>Correspondance Letter (IT0906) subtype text inconsistent</t>
  </si>
  <si>
    <t>Claims: Defaulting the values maintained in customizing</t>
  </si>
  <si>
    <t>SZV-6-3: Both contract types are marked in Adobe form</t>
  </si>
  <si>
    <t>Corrections to Online W-2: Wave 5</t>
  </si>
  <si>
    <t>/559 is overwritten during payroll repetition run</t>
  </si>
  <si>
    <t>CE PRE-DME programs: selection field "Wage type"</t>
  </si>
  <si>
    <t>Pre-DME program RPCDTCU0_CE updates table REGUH incorrectly</t>
  </si>
  <si>
    <t>Associate name is not being displayed in the ESS Payslip</t>
  </si>
  <si>
    <t>IT0045 Text field for condition, sequence for object key</t>
  </si>
  <si>
    <t>Loan: Incorrect check for gap in ITF</t>
  </si>
  <si>
    <t>Loan nITF: Error handling not correct</t>
  </si>
  <si>
    <t>Sequence number &amp; Payment Type of IT0045 in MMA</t>
  </si>
  <si>
    <t>Loan nITF: Sequence number incorrect when copying</t>
  </si>
  <si>
    <t>SAPK-60704INEAHR</t>
  </si>
  <si>
    <t>Flex file upload for the drop down issue.( side effect )</t>
  </si>
  <si>
    <t>Issue with MSS Generic list feeder</t>
  </si>
  <si>
    <t>Abap Debugger Script to simulate legends in Team Calender</t>
  </si>
  <si>
    <t>Team Calendar heading shrink</t>
  </si>
  <si>
    <t>HRMSS_BDAY_ANNIVERSARIES dumps when employee status is set</t>
  </si>
  <si>
    <t>HRMSS_BDAY_ANNIVERSARIES dumps</t>
  </si>
  <si>
    <t>CATS WDA: Approved days are not shown in calendar</t>
  </si>
  <si>
    <t>CATSWD: PDF Print form for CATS WDA is showing wrong values</t>
  </si>
  <si>
    <t>CATSWD: CATS screen dumps when copying record from Worklist</t>
  </si>
  <si>
    <t>CATSWD: Exception CONVT_NO_NUMBER for Valuation basis(BWGRL)</t>
  </si>
  <si>
    <t>CATS ESS application dumps if 'Save as template' is pressed</t>
  </si>
  <si>
    <t>CATSWD: Status of Conf. Operation is not shown as dropdown</t>
  </si>
  <si>
    <t>Nakisa Embedded Org Chart generates File missing error</t>
  </si>
  <si>
    <t>NO: recording of passenger name works inconsistently</t>
  </si>
  <si>
    <t>WEB: Itemization Calculation of number of receipt is wrong</t>
  </si>
  <si>
    <t>POWL application parameters link "Change Query"</t>
  </si>
  <si>
    <t>WD ABAP : The Enter VAT details button is disabled.</t>
  </si>
  <si>
    <t>BAPI_TRIP_CANCEL: Reversing trip also reverses application</t>
  </si>
  <si>
    <t>IBAN missing in report RPRDTAD0 (Release 6.05 and higher)</t>
  </si>
  <si>
    <t>NO: Wrong SAL Exp. Type Calculation - Hours are omitted</t>
  </si>
  <si>
    <t>change in vehicle data are not displayed in HTML trip form</t>
  </si>
  <si>
    <t>Dump ITAB_DUPLICATE_KEY beim Simulieren / Abrechnen</t>
  </si>
  <si>
    <t>Receipt Wizard for negative receipt amounts</t>
  </si>
  <si>
    <t>PR05: Dump for opening of additional info from Exp. Type.</t>
  </si>
  <si>
    <t>Web Travel Expense : cost assignement incorrectly  defaulted</t>
  </si>
  <si>
    <t>WD ABAP: default value for split receipt amount</t>
  </si>
  <si>
    <t>[WEB] Border crossing region lost after saving</t>
  </si>
  <si>
    <t>PR04: Read date for infotype 17</t>
  </si>
  <si>
    <t>Business Reason disappears when receipt amount exceeds max</t>
  </si>
  <si>
    <t>Dump COMPUTE_BCD_OVERFLOW in Receipt Wizard</t>
  </si>
  <si>
    <t>EES: Comment goes missing</t>
  </si>
  <si>
    <t>Web Travel Java : delete additionnal destination impossible</t>
  </si>
  <si>
    <t>WEB: Incorrect Itemized Receipt Dates</t>
  </si>
  <si>
    <t>WD EES information not saved after entered Mileage Detail</t>
  </si>
  <si>
    <t>Check of additional trip information in FITR0003</t>
  </si>
  <si>
    <t>Web: Incorrect balance for negative amounts in Wizard</t>
  </si>
  <si>
    <t>Web Travel request: date are not updated when service change</t>
  </si>
  <si>
    <t>FI: Meals per diem in last 24 hour-interval (&amp;lt; 10 hours)</t>
  </si>
  <si>
    <t>WEB ABAP: VAT Calculation on screen do not match</t>
  </si>
  <si>
    <t>DZ: Anrechnung par. Dienstreise auf Tariftöpfe nicht korrekt</t>
  </si>
  <si>
    <t>NRW: Berechnung der Höchstgrenze Unterkunft u.U. falsch</t>
  </si>
  <si>
    <t>RGV:Ergänzungshinweis zu HW 1739990 - parallele Dienstreisen</t>
  </si>
  <si>
    <t>Fehler bei Simulation DZ tägl.Kehre mit 180-Tage-Grenze</t>
  </si>
  <si>
    <t>Sichern einer Reise mit autom. Tarifwechsel nicht möglich</t>
  </si>
  <si>
    <t>PS DE: Vorschlagswert für Fahrzeugart und Fahrzeugklasse</t>
  </si>
  <si>
    <t>Kopieren von DZ: Vorschlagswert für Beginndatum geändert</t>
  </si>
  <si>
    <t>Ausnahme NO_PARALLES_TRIPS</t>
  </si>
  <si>
    <t>Maximale Anzahl von Perioden in einem Trennungsgeld</t>
  </si>
  <si>
    <t>TG: kein Übernachtungsgeld in der gr. Vergleichsrechnung</t>
  </si>
  <si>
    <t>TG: Vorschlag Versteuerungsbeginn einen Tag zu früh</t>
  </si>
  <si>
    <t>DZ: Erstattungsfehler bei steuerpflichtigem KH-Aufenthalt</t>
  </si>
  <si>
    <t>Fehlender Eintrag in Tabelle T706V</t>
  </si>
  <si>
    <t>Übernachtungspauschale bei TG-Massnahme nur mit TR-Reisegeld</t>
  </si>
  <si>
    <t>Abzug Übernachtung im Trennungstagegeld</t>
  </si>
  <si>
    <t>DZ tägl. Kehre: Fehler in Erstattung bei stpfl. parallele DR</t>
  </si>
  <si>
    <t>PS Bayern: Unterkunftsbeleg und Werbungskosten - Korrektur</t>
  </si>
  <si>
    <t>PS-DE: Abzüge markiert nach Erfassen von Belegzusatzinfo</t>
  </si>
  <si>
    <t>TG-Formular: Vergleichsrechnung wird nach Userexit gedruckt</t>
  </si>
  <si>
    <t>Trennungsgeld Bayern Tagegeld bei eintägigem ausw. Verbleib</t>
  </si>
  <si>
    <t>TRIP: 56 001 (Kein Eintrag in T702N für Argument)</t>
  </si>
  <si>
    <t>Low Cost Flight not handled by Etravel</t>
  </si>
  <si>
    <t>Gethere Profile synchro : possibility to change data</t>
  </si>
  <si>
    <t>GETTHERE_INIT_PROFILE_UPLOAD: problem with multiple profile</t>
  </si>
  <si>
    <t>Issue related to dynamic F4 help for Adobe form type</t>
  </si>
  <si>
    <t>Ignore errors processing during user events</t>
  </si>
  <si>
    <t>Performance improvements for HCM Processes and Forms</t>
  </si>
  <si>
    <t>Draft workitem - data not updated a second time</t>
  </si>
  <si>
    <t>Correction to release note</t>
  </si>
  <si>
    <t>HCM renewal 1.0 - Problem when reconciling form scenario</t>
  </si>
  <si>
    <t>Post-tax values are not displayed for Insurance Plans</t>
  </si>
  <si>
    <t>Co-requisite error even if plan is enrolled</t>
  </si>
  <si>
    <t>Create Plan with changed Relation of Organizational Unit</t>
  </si>
  <si>
    <t>Detail Planning: Reclassification, Incorrect Value</t>
  </si>
  <si>
    <t>WD Detail Planning: Level Edit, Close PopUp with OK-Button</t>
  </si>
  <si>
    <t>DataSource 0HR_PA_EC_15: Fields removed from selection</t>
  </si>
  <si>
    <t>Workflow WS04000022 does not submit message for approver</t>
  </si>
  <si>
    <t>EIC: error message "Extract CKMINIAPP does not exist&amp;qu</t>
  </si>
  <si>
    <t>EIC: SLA activity table is not being updated for activities.</t>
  </si>
  <si>
    <t>The MasterData application dumps when calling F4</t>
  </si>
  <si>
    <t>Issue with Pre-Tax and Post-Tax Deduction display</t>
  </si>
  <si>
    <t>WD CATS: ATC Checkman Errors</t>
  </si>
  <si>
    <t>Additional Post-Tax not displayed in Health Plan edit screen</t>
  </si>
  <si>
    <t>Annual contribution for FSA plans not displayed correctly</t>
  </si>
  <si>
    <t>Length of Service calculation does not consider INFTY 0041</t>
  </si>
  <si>
    <t>No InfoProvider exists with name "@O0HCM_PA_T01"</t>
  </si>
  <si>
    <t>Incorrect Indirect Valuation for the infotype 0008</t>
  </si>
  <si>
    <t>ESS: Personal data - Required fields FAMST + NATIO</t>
  </si>
  <si>
    <t>TNM: Training objective text missing in the snapshots</t>
  </si>
  <si>
    <t>TNM: Organizational key long text not displayed</t>
  </si>
  <si>
    <t>TNM: select one TN for every courses of a curriculum (LSO)</t>
  </si>
  <si>
    <t>TNM: additional fix for method CHECK_EVENT_ATTENDANCE (LSO)</t>
  </si>
  <si>
    <t>ESS IT Declaration - Checking active status of subtypes</t>
  </si>
  <si>
    <t>ESS: Report correction</t>
  </si>
  <si>
    <t>Downport for LINC &amp; VAN to EHP5 and EHP4</t>
  </si>
  <si>
    <t>Corrections in Enhancement Framework for Frontends</t>
  </si>
  <si>
    <t>ESS - "Trygdekontor/NAV-kontor" mandatory field no</t>
  </si>
  <si>
    <t>PA-PA-PH: Issue with Nationality in ESS application</t>
  </si>
  <si>
    <t>SZV-6-*, SPV-1: cumulative updates 09.2012</t>
  </si>
  <si>
    <t>HR-RU: CIA - Rate of Insurance Part of SI Contr. to PF</t>
  </si>
  <si>
    <t>PA-PA-SG: Issue with field Nationality in Web Dynpro ABAP</t>
  </si>
  <si>
    <t>UI: Initial line in repetition structure not deleted</t>
  </si>
  <si>
    <t>Generic F4 help displays initial values as text</t>
  </si>
  <si>
    <t>Application dumps when creating multiple line records</t>
  </si>
  <si>
    <t>View Button visibility in Org Tree</t>
  </si>
  <si>
    <t>Copy Position</t>
  </si>
  <si>
    <t>Incorrect tooltips in the table cells</t>
  </si>
  <si>
    <t>Extending the package interface PAOC_IF_PAO_REUSE</t>
  </si>
  <si>
    <t>Ability to add OpenSearch Provider HRPAO to NWBC</t>
  </si>
  <si>
    <t>Fix to Generation Report RPPAD_GENERATE_HRPAD_MODEL</t>
  </si>
  <si>
    <t>Create Position: Value help for Pay Scale Group not updated</t>
  </si>
  <si>
    <t>HCM Reno: Infty/Subty retrieval number from ConfigID</t>
  </si>
  <si>
    <t>Copy Organizational Unit Process</t>
  </si>
  <si>
    <t>HCM Reno: IT1008 Data Set View</t>
  </si>
  <si>
    <t>Corrections for the tasks by time and actions lane</t>
  </si>
  <si>
    <t>Correction for double click on lane header in landing page</t>
  </si>
  <si>
    <t>Object texts not in logon language in search result list</t>
  </si>
  <si>
    <t>HCM Reno: IT1008 Creation of IT records</t>
  </si>
  <si>
    <t>Streamwork: Filter only the Discussion Items</t>
  </si>
  <si>
    <t>BPM Inbox - Open tasks execution content in new window</t>
  </si>
  <si>
    <t>Horizontal scrolling in search pane</t>
  </si>
  <si>
    <t>Advanced Search Criteria UI Handling</t>
  </si>
  <si>
    <t>Name of the object in the title and details area not updated</t>
  </si>
  <si>
    <t>Search: Exclude Flag in Category Group View Cluster</t>
  </si>
  <si>
    <t>HCM Reno: IT1008 Overwrite Default Controlling Area</t>
  </si>
  <si>
    <t>HCM Reno: IT1008 - Field Business Area not highlighted</t>
  </si>
  <si>
    <t>Tab 'Open Tasks' is opened as default on the overview page</t>
  </si>
  <si>
    <t>Paging bar in WD search component</t>
  </si>
  <si>
    <t>Data Privacy: PM/PT Data Destruction Report Documentation</t>
  </si>
  <si>
    <t>PMP: Problems when deleting criteria group in form</t>
  </si>
  <si>
    <t>Warning message when exiting appraisal document</t>
  </si>
  <si>
    <t>PMP: Timeout when displaying competencies</t>
  </si>
  <si>
    <t>Deletion icon in navigation area</t>
  </si>
  <si>
    <t>PM: Dump after trying to delete the title of a goal</t>
  </si>
  <si>
    <t>Talent Management: Configuring appraisal forms</t>
  </si>
  <si>
    <t>Various errors when creating budgeting rules</t>
  </si>
  <si>
    <t>Alternative financing requirement: Various error corrections</t>
  </si>
  <si>
    <t>MESSAGE_TYPE_UNKNOWN when calling budget control</t>
  </si>
  <si>
    <t>HRPBCM: Fehler beim Anlegen von Sperrvermerken</t>
  </si>
  <si>
    <t>HRPBCM: Error message HRFPM_FTE 721 during transfer</t>
  </si>
  <si>
    <t>No data collection for personnel nos in commitment creation</t>
  </si>
  <si>
    <t>Improvements in Talent Matrix Flash component</t>
  </si>
  <si>
    <t>Enable Grid for Short Profile in Talent Review Meetings</t>
  </si>
  <si>
    <t>Talent review meeting: Scheduling multiple days</t>
  </si>
  <si>
    <t>Provide Configuration Error to Assessment Search Popup</t>
  </si>
  <si>
    <t>Deleting talent group: Termination during search for decider</t>
  </si>
  <si>
    <t>Initiate Auto-Refreshing of the Talent Review Meeting List</t>
  </si>
  <si>
    <t>Talent review meeting: Scheduling multiple days (2)</t>
  </si>
  <si>
    <t>Talent assessment: Competencies displayed twice</t>
  </si>
  <si>
    <t>Program termination when displaying talent assessments</t>
  </si>
  <si>
    <t>Talent review meeting (presentation): Adding talents</t>
  </si>
  <si>
    <t>Talent profile: Overall appraisal in talent assessment I</t>
  </si>
  <si>
    <t>Learning portal: Incorrect error message displayed</t>
  </si>
  <si>
    <t>LSO performance improvement while reading resources</t>
  </si>
  <si>
    <t>Status of time independent courses is wrong</t>
  </si>
  <si>
    <t>Admin portal : code refinement of LSO_MC_COURSE</t>
  </si>
  <si>
    <t>Admin portal:General Description text wraps improperly.</t>
  </si>
  <si>
    <t>In curriculum coursetype text is not displayed correctly.</t>
  </si>
  <si>
    <t>LSO Admin portal: temp gets defaulted for short text</t>
  </si>
  <si>
    <t>Manage Course Administrator: incorrect error message</t>
  </si>
  <si>
    <t>LSO Admin portal: Change Fees For All not updating the fees</t>
  </si>
  <si>
    <t>In batch input session does not update person data(IT2002)</t>
  </si>
  <si>
    <t>Admin portal: On Course change correspondence is not sent</t>
  </si>
  <si>
    <t>LSO Admin portal: search text does not get cleared</t>
  </si>
  <si>
    <t>After course followed up, the qualifications are not shown</t>
  </si>
  <si>
    <t>Course program elements display incorrect courses</t>
  </si>
  <si>
    <t>LSO - Auditing - Consistency check to confirm LSO Activation</t>
  </si>
  <si>
    <t>Incorrect header text in program RH_MMA_LSO</t>
  </si>
  <si>
    <t>Peformance issue while subscribing to Course program</t>
  </si>
  <si>
    <t>Performance improvement in LSO_GET_BOOK_PARTICIPANT</t>
  </si>
  <si>
    <t>BAPI_PREBOOK_ATTENDANCE: wrong message for invalid attendee</t>
  </si>
  <si>
    <t>WD ABAP Learner Portal Notifications Performance improvement</t>
  </si>
  <si>
    <t>LSO: In course catalog invalid dates are considered</t>
  </si>
  <si>
    <t>LSO - SU22 profile updated for admin portal WD application</t>
  </si>
  <si>
    <t>LSO_CHECK_BOOKING : Unable to identify booking for cancel</t>
  </si>
  <si>
    <t>Automatic move up of waitlisted booking does not work</t>
  </si>
  <si>
    <t>PE-LSO-TM-TC</t>
  </si>
  <si>
    <t>Course Catalogue</t>
  </si>
  <si>
    <t>In LSO via batch input Curriculum Type Elements not saved</t>
  </si>
  <si>
    <t>PT-CE</t>
  </si>
  <si>
    <t>Concurrent Employment - Personnel Time Management</t>
  </si>
  <si>
    <t>RPTIME01: Error when using operation ADDVS</t>
  </si>
  <si>
    <t>Missing field Key Date or Future date in Time Accounts</t>
  </si>
  <si>
    <t>Team calendar gives dump when EE is hired in middle of month</t>
  </si>
  <si>
    <t>Quotas not listed in the correct sequence in the drop down</t>
  </si>
  <si>
    <t>ESS LEA: Usage of multiple test procedures (IT130)</t>
  </si>
  <si>
    <t>Override wagetypes for tax on Additional Pay</t>
  </si>
  <si>
    <t>Incorrect creation of Termination payment with 0 amount</t>
  </si>
  <si>
    <t>Tax refunds incorrect in case of retro on multiple periods</t>
  </si>
  <si>
    <t>Refund on Leave Loading is generated without any change.</t>
  </si>
  <si>
    <t>Payroll Function QTXCE Errors for a retro run</t>
  </si>
  <si>
    <t>/E11 and /ELS incorrect in case of retroactive payments</t>
  </si>
  <si>
    <t>Concurrent Employment:Processsing of Averages at ABN level</t>
  </si>
  <si>
    <t>Concurrent Employment: Termination tax principle change</t>
  </si>
  <si>
    <t>Incorrect Tax in case of net -ve backpay across Fin Year</t>
  </si>
  <si>
    <t>Corrections to SAP note 1751086</t>
  </si>
  <si>
    <t>Correction to the Note 1750956</t>
  </si>
  <si>
    <t>Refund generated incorrectly in some cases</t>
  </si>
  <si>
    <t>CE: Extending corrections delivered via SAP note 1755505</t>
  </si>
  <si>
    <t>Correction to the Note 1753133</t>
  </si>
  <si>
    <t>Incorrect tax when salary increased or decreased within FY</t>
  </si>
  <si>
    <t>YE12: PIER report incorrectly calculating amounts</t>
  </si>
  <si>
    <t>E-Separation : Generic Changes</t>
  </si>
  <si>
    <t>ESS: Tax Simplifier Statement Fiscal Year On Payroll Area</t>
  </si>
  <si>
    <t>Advanced Claims-Negative value acceptance at multiple line</t>
  </si>
  <si>
    <t>Alignment Issue in Mail Text - Advanced Claims</t>
  </si>
  <si>
    <t>E-Separation: Stage start time not as per configuration</t>
  </si>
  <si>
    <t>LC2012: Life Insurance Exemption Revision Phase 3</t>
  </si>
  <si>
    <t>HR-RU: CIA-Field 'Nationality' for Foreigners in output form</t>
  </si>
  <si>
    <t>HR-RU: Standard tax privilege in off-cycle</t>
  </si>
  <si>
    <t>2-NDFL: non-required empty pages are generated</t>
  </si>
  <si>
    <t>HR-RU: CE: Incorrect import of off-cycle run in regular run</t>
  </si>
  <si>
    <t>HR-RU: exception CX_SY_CONVERSION_OVERFLOW in function RUPRI</t>
  </si>
  <si>
    <t>CE: Wrong retro-calc during simulation of previous period</t>
  </si>
  <si>
    <t>Help service not displayed in Salary statement application</t>
  </si>
  <si>
    <t>ESS Payslip error : "ADS_P7(2Invalid HTTP connection: A</t>
  </si>
  <si>
    <t>PS0017 - hiding fields</t>
  </si>
  <si>
    <t>ESS - 'Review &amp; Send', sum amount is not display</t>
  </si>
  <si>
    <t>XX-CSC-RU</t>
  </si>
  <si>
    <t>Russia</t>
  </si>
  <si>
    <t>XX-CSC-RU-TV</t>
  </si>
  <si>
    <t>Error in creating Expense Report based on Travel Request</t>
  </si>
  <si>
    <t>Rate in Expense form for foreign payment</t>
  </si>
  <si>
    <t>SAPK-60705INEAHR</t>
  </si>
  <si>
    <t>Unmaintained default statuses,authorization object P_HAP_DOC</t>
  </si>
  <si>
    <t>MSS Team Viewer (Flash): List does not display any data</t>
  </si>
  <si>
    <t>WEB: UWL Notepad attachment issue / txt file not read</t>
  </si>
  <si>
    <t>Concurrent employement makes error for Request/Planning</t>
  </si>
  <si>
    <t>NO: enhance note 1756901, recording of passenger names</t>
  </si>
  <si>
    <t>Incorrect Portuguese translation CL_FITV_TEXT</t>
  </si>
  <si>
    <t>WD ABAP: Dump in FITV_POWL_TRIPS w/o Infotype 105/0001</t>
  </si>
  <si>
    <t>Processing Status incorrect for trip with versions</t>
  </si>
  <si>
    <t>Credit card receipts and rounding differences</t>
  </si>
  <si>
    <t>Wrong english translation of text "GUEST_TC_TITEL"</t>
  </si>
  <si>
    <t>Point in time for determining form variant in TRVFO</t>
  </si>
  <si>
    <t>Trip versioning: Displaying versions before activation</t>
  </si>
  <si>
    <t>Web: Search for predefined addresses is case-sensitive</t>
  </si>
  <si>
    <t>WD ABAP : Currency selection not sorted in advances screen</t>
  </si>
  <si>
    <t>WEB ABAP: VAT amount is not updated in Travel Expenses Appli</t>
  </si>
  <si>
    <t>PR05 Dump in deduction tab if the last day is selected.</t>
  </si>
  <si>
    <t>PDF: Travel Expenses Form IBAN/SWIFT missing in interface</t>
  </si>
  <si>
    <t>FITV_POWL_TRIPS: Navigation issues in SAP NWBC environment</t>
  </si>
  <si>
    <t>WD ABAP: Trip destination address incomplete (Denmark DK)</t>
  </si>
  <si>
    <t>Incorrect calculation of tax-free additional amount totals</t>
  </si>
  <si>
    <t>FI: Meals per diem abroad &amp;gt; 10 hours/extension</t>
  </si>
  <si>
    <t>The start location of the trip is not essential for UK.</t>
  </si>
  <si>
    <t>FITR0003: Guest table and VAT details</t>
  </si>
  <si>
    <t>WD ABAP: Travel request and expenses calendar wrong update</t>
  </si>
  <si>
    <t>Web: Display of travel versions incomplete</t>
  </si>
  <si>
    <t>PS-AT: Keine Vorschlagswerte für Uhrzeiten- Abzug Mahlzeiten</t>
  </si>
  <si>
    <t>TG: Behandlung von Belegen: steuerfrei / steuerpflichtig</t>
  </si>
  <si>
    <t>Trennungsgeld Auswärtiger Verbleib: Abzug Nacht zum</t>
  </si>
  <si>
    <t>TG-Formular: Fehlende Unterteilung Heim-/ o. Besuchsfahrten</t>
  </si>
  <si>
    <t>Konstanten GENSA und MAHUB im Web</t>
  </si>
  <si>
    <t>PS-DE: keine Sachbezug bei Abzug Mittag oder Abend</t>
  </si>
  <si>
    <t>ESS Reiseantrag: Fehler bei zu genehm. privatem PKW und GWE</t>
  </si>
  <si>
    <t>LRKG Bayern: Auslandstage-Auslandsübernachtungsgelder 2012</t>
  </si>
  <si>
    <t>TG: Kein Versteuerungstermin bei AV ohne eigenen Hausstand</t>
  </si>
  <si>
    <t>Kommentar zur Vergleichsrechnung wird abgeschnitten</t>
  </si>
  <si>
    <t>DZ: Erstattungsfehler bei Abwesenheit am 1.Tag einer Periode</t>
  </si>
  <si>
    <t>P.S. Österreich: Auslandsreisen mit Inlandsanteil</t>
  </si>
  <si>
    <t>TG: Tagegeld der fiktiven Dienstantritts- bzw. Rückreise</t>
  </si>
  <si>
    <t>TG: Versteuerungsdatum falsch bei Anlegen AV mit vorüb. Ausw</t>
  </si>
  <si>
    <t>TG: Kein St.fr.-Betrag für ÜG bei vorüb. AV ohne Hausstand</t>
  </si>
  <si>
    <t>Bayern: Erstattung mehrere Dienstreisen an einem Tag</t>
  </si>
  <si>
    <t>Große Vergleichsrechnung: fiktiver AV - Fehler in Dynpro</t>
  </si>
  <si>
    <t>Fiktiver ausw. Verbleib: Ende Trennungsreise- &amp; -tagegel</t>
  </si>
  <si>
    <t>PS DE: Konstante TAXRC fehlt: Ablehnung der Personalnummer</t>
  </si>
  <si>
    <t>PS DE: unentgeltliche Unterkunft für die gesamte DR bzw. TG</t>
  </si>
  <si>
    <t>TG:Icon auf Tabreiter Abwesenheit bei paralleler Dienstreise</t>
  </si>
  <si>
    <t>PS DE: Andruck von USEREXIT nur bei Simulation</t>
  </si>
  <si>
    <t>Bayern: Werbungskosten Tagegeld bei unentgelt. Übernachtung</t>
  </si>
  <si>
    <t>Erweiterung HW 1766319: Trennungsgeld AV: Abzug Nacht zum</t>
  </si>
  <si>
    <t>DZ/TG: Kopieren von DZ/TG aus TGANZ möglich</t>
  </si>
  <si>
    <t>PS DE: Formularüberschrift: Vergleichsrechnung Heimfahrten</t>
  </si>
  <si>
    <t>FI-TV-COS-PTM</t>
  </si>
  <si>
    <t>Off-line Travel Management</t>
  </si>
  <si>
    <t>Trip cannot be changed using offline solution</t>
  </si>
  <si>
    <t>WD ABAP - My Travel Profile - errors with customer programs</t>
  </si>
  <si>
    <t>Adobe Form FITP_REQUEST_FORM - USER not supplied</t>
  </si>
  <si>
    <t>S&amp; 043: Default conversion executed</t>
  </si>
  <si>
    <t>ETRAVEL_INIT_PROFILE_UPLOAD with several personnal numbers</t>
  </si>
  <si>
    <t>FI-TV-PL-BIB</t>
  </si>
  <si>
    <t>API Interface Deutsche Bahn BIBE</t>
  </si>
  <si>
    <t>Web Travel : BIBE error when time = 24:00</t>
  </si>
  <si>
    <t>Getthere : status 'For approval' not correct</t>
  </si>
  <si>
    <t>Step dependent attributes do not work after popup event</t>
  </si>
  <si>
    <t>Dump occurs when effective date field is not filled.</t>
  </si>
  <si>
    <t>Dummy note: Corrections</t>
  </si>
  <si>
    <t>No process found for process group when pernr mem id passed</t>
  </si>
  <si>
    <t>List is not getting updated correctly on the form</t>
  </si>
  <si>
    <t>Dummy Note: Node text</t>
  </si>
  <si>
    <t>Dump occurs in SAP_PD service during initialization</t>
  </si>
  <si>
    <t>Benefit Enrollment Application dumps on Save after Upgrade</t>
  </si>
  <si>
    <t>Create Plan: Duplication of Costs for Vacant Position</t>
  </si>
  <si>
    <t>T71ADM_SPENT_AMT not updated if IT0759 deleted</t>
  </si>
  <si>
    <t>Wrong check for Review Item Attribute budget check</t>
  </si>
  <si>
    <t>Wrong value XAPRV in HR_ECM_CHECK_CONSISTENCY</t>
  </si>
  <si>
    <t>Release note</t>
  </si>
  <si>
    <t>Error message "No valid content area not found"</t>
  </si>
  <si>
    <t>Benefit Confirmation form doesn't show future enrolled plans</t>
  </si>
  <si>
    <t>Performance improvement fixes in PAOC_ANA_CROSS Datasources</t>
  </si>
  <si>
    <t>HR renewal: Implementations of Brazil infotypes 0262, 0598</t>
  </si>
  <si>
    <t>HR renewal - User interface changes on Brazil infotype 0008</t>
  </si>
  <si>
    <t>TNM: no 2483 cat. assign. to the trainer salary cost (LSO)</t>
  </si>
  <si>
    <t>[MX] Decoupling Classes corrections</t>
  </si>
  <si>
    <t>PA-PA-SE-CE</t>
  </si>
  <si>
    <t>Concurrent employment (Sweden)</t>
  </si>
  <si>
    <t>HRSE_CE: Title (field ANRDE) is missing on IT0002</t>
  </si>
  <si>
    <t>Monitoring of tasks: "Valid On" field displayed on</t>
  </si>
  <si>
    <t>IT0008: Wage type not indirectly val. when records generated</t>
  </si>
  <si>
    <t>HCM Reno: Exception CX_CRM_GENIL_DUPLICATE_KEY</t>
  </si>
  <si>
    <t>Dump when editing IT1018</t>
  </si>
  <si>
    <t>Action and Analytics lane with black background, no favorite</t>
  </si>
  <si>
    <t>Validity fields editable for records of time constraint A&amp;am</t>
  </si>
  <si>
    <t>Infotype detail page is not opened from the Discussions Lane</t>
  </si>
  <si>
    <t>Multiple lines are lead selected in Org. Tree</t>
  </si>
  <si>
    <t>Org tree is not refreshed when time period changes</t>
  </si>
  <si>
    <t>Splitter item is lost</t>
  </si>
  <si>
    <t>F4 input help displays initial values as text</t>
  </si>
  <si>
    <t>Application dumps when creating infotype records</t>
  </si>
  <si>
    <t>Org. chart dumps when no structure is marked as Is_Selected</t>
  </si>
  <si>
    <t>Inbound and Outbound Icons are not correct</t>
  </si>
  <si>
    <t>OPP is not refreshed when time period is changed</t>
  </si>
  <si>
    <t>PAOM: Technical settings of tables</t>
  </si>
  <si>
    <t>PMP: Not all notes are displayed in the PDF document</t>
  </si>
  <si>
    <t>PMP: PDF document displays incorrect values/proficiencies</t>
  </si>
  <si>
    <t>PMP: Add attachments in the part appraisal phase</t>
  </si>
  <si>
    <t>PMP: Displaying part appraisals</t>
  </si>
  <si>
    <t>PMP: Error when canceling the action for adding training</t>
  </si>
  <si>
    <t>PMP: "Employee Documents" tab page</t>
  </si>
  <si>
    <t>PMP: Deletion of a locked employee document</t>
  </si>
  <si>
    <t>PMP: Document overview causes ABAP runtime error</t>
  </si>
  <si>
    <t>PMP: Loss of data warning message when exiting team goals</t>
  </si>
  <si>
    <t>PMP: Overlapping Performance Management Processes</t>
  </si>
  <si>
    <t>Talent Management configuration</t>
  </si>
  <si>
    <t>RHRFPMICLS: keine Berücksichtigung des Austrittsdatums</t>
  </si>
  <si>
    <t>CustConn: Wiederbesetzungssperre, Fehlerkorrekturen</t>
  </si>
  <si>
    <t>0PSM_PBC_01 returns incorrect results in DELTA extraction</t>
  </si>
  <si>
    <t>Inconsistencies betw funds commitments/funds precommitments</t>
  </si>
  <si>
    <t>Error message HRFPM 100 during live payroll</t>
  </si>
  <si>
    <t>Dump CX_SY_PROVIDE_INTERVAL_OVERLAP in FILL_FUND_PER_ACC_ASS</t>
  </si>
  <si>
    <t>Talent Search finds TMS himself</t>
  </si>
  <si>
    <t>TMC: Nakisa's status display of the risk assessment is &amp;quot</t>
  </si>
  <si>
    <t>Talent assessment: Completed development plan document</t>
  </si>
  <si>
    <t>Batch-Input supported change pointer update in Talent Manag.</t>
  </si>
  <si>
    <t>Talent profiles: Qualifications are missing</t>
  </si>
  <si>
    <t>Consider batch-input flag for change pointer processing</t>
  </si>
  <si>
    <t>Filter row function in talent review meeting follow-up</t>
  </si>
  <si>
    <t>Talent profile: Performance document is not found</t>
  </si>
  <si>
    <t>Talen assessment: Colors incorrect in archived documents</t>
  </si>
  <si>
    <t>Provide key value search for perf/pot scale descriptions</t>
  </si>
  <si>
    <t>Background colors in calibration grid (PDF version)</t>
  </si>
  <si>
    <t>Type truncated when agenda subtype added</t>
  </si>
  <si>
    <t>Expand multiple search attribute in Talent Management</t>
  </si>
  <si>
    <t>Defining templates for talent assessment</t>
  </si>
  <si>
    <t>LSO - Renovated Learner Portal - Curriculum Workflow issues</t>
  </si>
  <si>
    <t>Message display in WD ABAP Learner Portal</t>
  </si>
  <si>
    <t>LSO LPO Renovation: Course Program Location display fix</t>
  </si>
  <si>
    <t>Locked courses are displayed in search results in portal</t>
  </si>
  <si>
    <t>Invalid web links are displayed in admin portal</t>
  </si>
  <si>
    <t>LEA WDA: Holiday display in Team/Employee calendar</t>
  </si>
  <si>
    <t>ESS LEA: Multiple records generated by RPTARQPOST</t>
  </si>
  <si>
    <t>Tax on /TLA incorrect for Lump Sum A termination leave pay</t>
  </si>
  <si>
    <t>Dump while running payroll driver in CE environment</t>
  </si>
  <si>
    <t>Incorrect Superannuation calculation in some cases</t>
  </si>
  <si>
    <t>Reversal of Note 1382060 missing in specific releases</t>
  </si>
  <si>
    <t>Wage type /130 incorrect in CRT for terminated employee</t>
  </si>
  <si>
    <t>CE:INCT based on Sub Application parameter 'QVRA'</t>
  </si>
  <si>
    <t>Averages incorrect for employees with inactive assignments</t>
  </si>
  <si>
    <t>Amendement to Note: 1724619</t>
  </si>
  <si>
    <t>ROE CE- Export file format change from BLK to XML enablement</t>
  </si>
  <si>
    <t>Country-spec. package assgmt: User interface IT0006, IT0011</t>
  </si>
  <si>
    <t>HRFORMS (SAP_PAYSLIP_CH) remun. stmnt, incorrect EE address</t>
  </si>
  <si>
    <t>Changes in NACHN and VORNA in IT0002 not reflected in IT0001</t>
  </si>
  <si>
    <t>View V_T7INFORM_SUBTY : Issue with Recording Routines</t>
  </si>
  <si>
    <t>[MX] MXCRT table not being stored in the employee cluster</t>
  </si>
  <si>
    <t>HR-RU_CE: initialization of global data in HRUCALC0_CE</t>
  </si>
  <si>
    <t>HR-RU_CE: SI contributions at changing of disability status</t>
  </si>
  <si>
    <t>HRFORM ESS Payslip shows retros irrespective of parameter</t>
  </si>
  <si>
    <t>Summary page of ESS</t>
  </si>
  <si>
    <t>Incorrect amounts in transactions PRF1 and PRF2</t>
  </si>
  <si>
    <t>SAPK-60706INEAHR</t>
  </si>
  <si>
    <t>External infotypes are not delimited</t>
  </si>
  <si>
    <t>Short dump while hiring employees</t>
  </si>
  <si>
    <t>New Absence Integration in Retail Workforce Management</t>
  </si>
  <si>
    <t>HRMSS_REMINDER_OF_DATES dumps</t>
  </si>
  <si>
    <t>MSS: E-mail column in team viewer is empty</t>
  </si>
  <si>
    <t>CATSWD: Dump when user clicks on 'Edit details' button</t>
  </si>
  <si>
    <t>CATSWD: Issues with WBS element search help</t>
  </si>
  <si>
    <t>CRM</t>
  </si>
  <si>
    <t>Customer Relationship Management</t>
  </si>
  <si>
    <t>CRM-IC</t>
  </si>
  <si>
    <t>Interaction Center WebClient</t>
  </si>
  <si>
    <t>CRM-IC-HCM</t>
  </si>
  <si>
    <t>CRM-IC-HCM-BF</t>
  </si>
  <si>
    <t>Basic Functions</t>
  </si>
  <si>
    <t>Documentation missing for BF HCM_SSC_EIC_2</t>
  </si>
  <si>
    <t>The miles are doubled in payroll calculation.</t>
  </si>
  <si>
    <t>PRRW: Canceling posting runs revised</t>
  </si>
  <si>
    <t>Web: Document class in TOADV maintained with *</t>
  </si>
  <si>
    <t>RPRTEF10: Beurteilung kritischer Reisen</t>
  </si>
  <si>
    <t>Exit EXB706K during generation of statistics data</t>
  </si>
  <si>
    <t>Trip statistics: Reimbursement amount is incorrect</t>
  </si>
  <si>
    <t>[NO] Mileage: Name of passenger control enhancement</t>
  </si>
  <si>
    <t>WD ABAP: Navigation issue after clicking on CANCEL of LOD</t>
  </si>
  <si>
    <t>PR05/TRIP: Incorrect Itemized Receipt Dates</t>
  </si>
  <si>
    <t>RPRTEF00: Income-related expenses for meals receipts</t>
  </si>
  <si>
    <t>Navigation issues with WD ABAP FITV_POWL_TRIPS standalone</t>
  </si>
  <si>
    <t>RPRTEF00: Dump BDC_ZERIO_DEVIDE for amount cumulation in AT</t>
  </si>
  <si>
    <t>RPRTEF10 und kritische Reisen</t>
  </si>
  <si>
    <t>Web: Dump instead of error message</t>
  </si>
  <si>
    <t>Incorrect summation of tax free amount</t>
  </si>
  <si>
    <t>Web: Editor in enhancement FITR0003 cannot be changed</t>
  </si>
  <si>
    <t>NO: PR05/TRIP Travel exp. type SAL wrong calculation</t>
  </si>
  <si>
    <t>AT: Amount cumulation when you change trips</t>
  </si>
  <si>
    <t>Flight times entry for Per Diem for meals in PDF form</t>
  </si>
  <si>
    <t>RPRCCC_READ_KR1025: Generating settlement run number</t>
  </si>
  <si>
    <t>PDF.: No currency for travel flat rates</t>
  </si>
  <si>
    <t>NO: SAL Wrong amount with number of days typed manually</t>
  </si>
  <si>
    <t>BUS2089: Flat-rate tax amounts missing in reimbursement</t>
  </si>
  <si>
    <t>Web: Business area is saved even though it is hidden</t>
  </si>
  <si>
    <t>PR02: Trips are deleted</t>
  </si>
  <si>
    <t>Reiseversionierung bei Trennungsgeld od. Dienstzut. Perioden</t>
  </si>
  <si>
    <t>TGV: Anrechnung paralleler Dienstr. mit Einbehalt fehlerhaft</t>
  </si>
  <si>
    <t>TG: Änderung Ende Trennungsreisegeld bei fiktiver TG-Periode</t>
  </si>
  <si>
    <t>TG tägl. Kehre: Abzüge ohne Abw. Wohnung nicht eingabebereit</t>
  </si>
  <si>
    <t>Reiseunterbrechung: Anzahl Nächte bei Unterkunftspauschalen</t>
  </si>
  <si>
    <t>AT Tägliche Kehre Steuerfreier Betrag - mehrere Anw an 1.Tag</t>
  </si>
  <si>
    <t>TG: Tagliche Rückkehr mit 2 Tagen: Fehler bei fiktivem AV</t>
  </si>
  <si>
    <t>TG: Fiktives Tagegeld bei Dienstantritts- oder -rückreise</t>
  </si>
  <si>
    <t>Deleting or canceling trips for inactive employee</t>
  </si>
  <si>
    <t>Fehlerhafte Meldung bei Reiseunterbrechung vor Reduktion</t>
  </si>
  <si>
    <t>PS DE: Unterkunft reduziert Steuerfreibetrag bei TR-Tagegeld</t>
  </si>
  <si>
    <t>Rahmendaten TG: Feld 'kein Trennungsreisegeld' eingabebereit</t>
  </si>
  <si>
    <t>GUI Status</t>
  </si>
  <si>
    <t>Bayern: mehrere Reisen an einem Tag: falsche Erstattung</t>
  </si>
  <si>
    <t>PS-DE: Reiseunterbrechung: Fehler beim Lesen der V.Pauschale</t>
  </si>
  <si>
    <t>Verkettung: Erweiterung zu Hinweis 1559193 und 1555164</t>
  </si>
  <si>
    <t>DE Steuerfreier ÜG-Anteil TG AV vorübergehend nach 3 Monaten</t>
  </si>
  <si>
    <t>Abzug für eine Mahlzeit außerhalb der Periode / Reisezeit</t>
  </si>
  <si>
    <t>Full mileage reimbursement and private car / estimated costs</t>
  </si>
  <si>
    <t>Trennungsgeld: falsche Versteuerung bei Wegstr. + Heimfahrt</t>
  </si>
  <si>
    <t>WEB Travel Planning : Hotel availability</t>
  </si>
  <si>
    <t>WEB ABAP: no hotel avaible when changing destination</t>
  </si>
  <si>
    <t>Web Travel : inconsistency in Hotel links when using IGS</t>
  </si>
  <si>
    <t>dump CX_SY_READ_SRC_LINE_TOO_LONG in GET_GETTHERE_PNR</t>
  </si>
  <si>
    <t>Unable to upload Credit card data to GetThere</t>
  </si>
  <si>
    <t>DTT: Incorrect tooltip in form scenario tool</t>
  </si>
  <si>
    <t>Process list is incorrect when 'Object Group' is specified</t>
  </si>
  <si>
    <t>Start process application missing parameter CACHE_MAXAGE</t>
  </si>
  <si>
    <t>Title on Confirmation screen is not correct in Alternate UI</t>
  </si>
  <si>
    <t>Wrong language in Generic Service S_DERIVE_POSITION</t>
  </si>
  <si>
    <t>Corrections in release notes</t>
  </si>
  <si>
    <t>BEN: New limit for Health FSA plans on Concurrent Employment</t>
  </si>
  <si>
    <t>Concurrent Employment - Benefits</t>
  </si>
  <si>
    <t>BEN: Double claims generated for FSA in a gap payroll period</t>
  </si>
  <si>
    <t>Release Plan: Message HRHCP00_PLAN044, KOSTL in Features</t>
  </si>
  <si>
    <t>Error message HRHCP00_PLAN0 047 when updating cost plan</t>
  </si>
  <si>
    <t>BUKRS for alternative account assignment of Org. Object</t>
  </si>
  <si>
    <t>Convert Planning Data with DIFFCA to Account Assignment View</t>
  </si>
  <si>
    <t>Wrong currency formatting Review Step Planning UI</t>
  </si>
  <si>
    <t>Compensation Planning: Effective date is not input ready</t>
  </si>
  <si>
    <t>Compensation Planning: Error Icon after currency change</t>
  </si>
  <si>
    <t>Refresh does not work in Planning Overview</t>
  </si>
  <si>
    <t>PA-EC-JP</t>
  </si>
  <si>
    <t>Job Pricing</t>
  </si>
  <si>
    <t>Data import fails with dump CX_SY_MESSAGE_IN_PLUGIN_MODE</t>
  </si>
  <si>
    <t>Uanable to save activity in EIC because of different plan</t>
  </si>
  <si>
    <t>Activity employee is not passed to transaction launcher</t>
  </si>
  <si>
    <t>Apostrophes aren't correctly displayed in activity desc.</t>
  </si>
  <si>
    <t>Syntax error in one of HREIC programs.</t>
  </si>
  <si>
    <t>ESS WDA: Type conflict error for US bank</t>
  </si>
  <si>
    <t>Background for OVP applications in ESS is Grey</t>
  </si>
  <si>
    <t>HRMGE0090 with existing relationships and infotypes</t>
  </si>
  <si>
    <t>Infotype 0705: dropdown list P0705-CKL_ITEM on screen 3000</t>
  </si>
  <si>
    <t>Position Overview Query - Vacant Percentage</t>
  </si>
  <si>
    <t>[AR] The "Birth date" field - correction of note 1</t>
  </si>
  <si>
    <t>Screen Control with County Field in IT0006 with CE for CN</t>
  </si>
  <si>
    <t>Screen dump for the Appraisal Documents for China</t>
  </si>
  <si>
    <t>HCM Renewal-Incorrect tooltips for IT0006 in hiring</t>
  </si>
  <si>
    <t>Downport for Childcare Leave &amp; Nursing Leave to EHP5 &amp;am</t>
  </si>
  <si>
    <t>South Korean YEA 2012 Year-End Legal Changes (For ESS)</t>
  </si>
  <si>
    <t>[MX] Short Dump in Personal Data Service in ESS</t>
  </si>
  <si>
    <t>[MX] Decoupling Classes corrections: IT0426 and IT0427</t>
  </si>
  <si>
    <t>HR-RU: CIA - Bases for SI contributions for Non-Residents</t>
  </si>
  <si>
    <t>RU CE: Enable hiring of external contract in 0001</t>
  </si>
  <si>
    <t>Missing authorization check in HR Distributed-Reporting - CE</t>
  </si>
  <si>
    <t>HR Renewal U.S.- User interface changes for infotype 0008</t>
  </si>
  <si>
    <t>IT0103: Allow deletion of Bond Purchases Infotype</t>
  </si>
  <si>
    <t>PA-PA-US-CE</t>
  </si>
  <si>
    <t>Concurrent Employment - Personnel Administration USA</t>
  </si>
  <si>
    <t>IT0002: Incorrect value on gender field on CE</t>
  </si>
  <si>
    <t>Fund Enter Error When Executing Effort</t>
  </si>
  <si>
    <t>Hiring Process: Exception CX_HRPA_VIOLATED_PRECONDITION</t>
  </si>
  <si>
    <t>Generic F4 input help: Invalid value for fixed values</t>
  </si>
  <si>
    <t>IT0014/IT0015: Error message RP 212 occurs</t>
  </si>
  <si>
    <t>IT0002:Religious denomination text displayed w/ only 4 char.</t>
  </si>
  <si>
    <t>Clean up obsolete code</t>
  </si>
  <si>
    <t>Bank data is not updated when entering IBAN [2]</t>
  </si>
  <si>
    <t>Validity fields are not visible for timemanagement infotypes</t>
  </si>
  <si>
    <t>Quick Launch of HCM Search in NWBC for Desktop</t>
  </si>
  <si>
    <t>Incorrect display of validity fields for key date infotypes</t>
  </si>
  <si>
    <t>Fix for the Tasks By Priority Bubble count filter</t>
  </si>
  <si>
    <t>PMP: inkorrekte Meldung beim Öffnen des Dokumentes</t>
  </si>
  <si>
    <t>RHRFPM_FTE_BULIST: Incorrect amounts in output list</t>
  </si>
  <si>
    <t>Infotypes cannot be enhanced</t>
  </si>
  <si>
    <t>BAdI for customer-specific determination of G/L account</t>
  </si>
  <si>
    <t>Error during G/L account derivation for commitment documents</t>
  </si>
  <si>
    <t>Talent assessment: Competence scale and question scale</t>
  </si>
  <si>
    <t>Missing scroll bars in talent profile</t>
  </si>
  <si>
    <t>Link to start the presentation of a talent review meeting</t>
  </si>
  <si>
    <t>Reminder to complete a talent review meeting</t>
  </si>
  <si>
    <t>Consider Change Pointer related Objid's left alligned</t>
  </si>
  <si>
    <t>LSO - UI element alignment in course details is not correct</t>
  </si>
  <si>
    <t>WD ABAP Learner Portal - Microsoft outlook integration</t>
  </si>
  <si>
    <t>Admin Portal: All subtypes of IT1002 are not displayed</t>
  </si>
  <si>
    <t>Partner infotypes 1880, 1886, 1887, 1888, 1889 missing</t>
  </si>
  <si>
    <t>SU22 updated for LSO_PUBLISH_CONTENT_QAF</t>
  </si>
  <si>
    <t>Leave Overview: Details of leave not displayed</t>
  </si>
  <si>
    <t>message HRTIM_ABS_REQ:77 when sending a leave request</t>
  </si>
  <si>
    <t>Leave approval not going to the substitute</t>
  </si>
  <si>
    <t>RPTARQERR: Wrong output when viewing only the posted records</t>
  </si>
  <si>
    <t>Leave Request : Wrong Manager determined in CE scenario</t>
  </si>
  <si>
    <t>Team calendar: Data anonymity not ensured</t>
  </si>
  <si>
    <t>ESS QUOTAS: Quota end date is displayed wrongly for Absence</t>
  </si>
  <si>
    <t>Inconsistent colour in team and employee calendar</t>
  </si>
  <si>
    <t>Clock In/Clock out approval powl displays incorrect record</t>
  </si>
  <si>
    <t>ESS REQ: RPTARQEMAIL &amp; RPTCOREMAIL enhancements</t>
  </si>
  <si>
    <t>ESS COR: RPTCORTMAIL does not consider the type in T555E</t>
  </si>
  <si>
    <t>Refund Wagetype /ARF is not forming in retro across Fy year.</t>
  </si>
  <si>
    <t>Incorrect /424 due to rounding at Assignment level</t>
  </si>
  <si>
    <t>Incorrect Bonus tax for Assignments with different ABNs</t>
  </si>
  <si>
    <t>CE:Incorrect Average due to wrong no of relevant periods</t>
  </si>
  <si>
    <t>/LTR incorrectly generated in retro within financial year</t>
  </si>
  <si>
    <t>Issue with retroactive change in backpay tax</t>
  </si>
  <si>
    <t>Foreign key error for HCMT structure of IT 0014</t>
  </si>
  <si>
    <t>CH enhancement in ctry assgmt of internat. CE payroll functs</t>
  </si>
  <si>
    <t>SAP_PAYSLIP_DE_P: Minor corrections (01/2012)</t>
  </si>
  <si>
    <t>Payroll account: Preventing generation errors in HRForms</t>
  </si>
  <si>
    <t>PY-DE-NT-LO</t>
  </si>
  <si>
    <t>Loans</t>
  </si>
  <si>
    <t>Note 1717199 does not include changes for CE extension</t>
  </si>
  <si>
    <t>IT Declarations - Section 80 and Section 80c Updation error</t>
  </si>
  <si>
    <t>ESS IT Declaration: Restricting Only Valid Entries To Appear</t>
  </si>
  <si>
    <t>E-Separation: Same Approvers Appearing In Multiple Levels</t>
  </si>
  <si>
    <t>Advanced Claims Documentation</t>
  </si>
  <si>
    <t>HR-RU-CE: How to import latest debt or balance in OC?</t>
  </si>
  <si>
    <t>CE: Child rearing payments in case of two or more children</t>
  </si>
  <si>
    <t>PY-SE-CE</t>
  </si>
  <si>
    <t>Absence of full month part of day in parallel is not correct</t>
  </si>
  <si>
    <t>REC: Remittance Tax Authority in Reconciliation Report CE</t>
  </si>
  <si>
    <t>Infotype authorization check in CE payroll drivers</t>
  </si>
  <si>
    <t>BT_PERSON incorrectly stamped when IT0011 entries are presen</t>
  </si>
  <si>
    <t>CE payroll function XRETR gets old RT_PERSON incorrectly</t>
  </si>
  <si>
    <t>GE-ESS Payslip displays the payments of all pernrs in overvi</t>
  </si>
  <si>
    <t>Dump in PUOC_10_CE, ABAP Programming Error, CONVT_NO_NUMBER</t>
  </si>
  <si>
    <t>Adaptations to the PA destruction tool</t>
  </si>
  <si>
    <t>Wrong meal allowances deductions in business trip</t>
  </si>
  <si>
    <t>FI-TV - Incorrect rounding reciept creation</t>
  </si>
  <si>
    <t>Reference date - trip shortenning</t>
  </si>
  <si>
    <t>PRFI - for Poland</t>
  </si>
  <si>
    <t>SAPK-60707INEAHR</t>
  </si>
  <si>
    <t>Background for OVP applications is grey in sap_corbu theme</t>
  </si>
  <si>
    <t>Transaction: MOVE_HIER_CONFIG - dumps during copy</t>
  </si>
  <si>
    <t>Account Assignment Inheritance Not Considered for Position</t>
  </si>
  <si>
    <t>enhancement of RP_CHECK_LAUNCHPAD_ENTRIES</t>
  </si>
  <si>
    <t>Corrections in Substitution Overview Application</t>
  </si>
  <si>
    <t>MSS Add-On 1.0: Buffer for Organization and Position</t>
  </si>
  <si>
    <t>Column Header incorrect for GUIBB Queries</t>
  </si>
  <si>
    <t>Disabling Side panel link in Shared services HR context</t>
  </si>
  <si>
    <t>HANA enhancement for the FM:  HRWPC_EREC_FORM_F4_BASIC</t>
  </si>
  <si>
    <t>PDF form for Sweden has wrong dates for 1 day trip</t>
  </si>
  <si>
    <t>Web Travel Approver: no refresh after applying note 1614488</t>
  </si>
  <si>
    <t>WEB: The location is not saved for a request in webdynpro.</t>
  </si>
  <si>
    <t>The default cost center is not saved in ftpt_req_account.</t>
  </si>
  <si>
    <t>The number is not filled from bapi_trip_create_from_data</t>
  </si>
  <si>
    <t>TRIP: Problem to include License Plate Number (not appeared)</t>
  </si>
  <si>
    <t>RPRDTAX0: Problems with tax-exempt clearing wage types</t>
  </si>
  <si>
    <t>Extension of the BAdI TRIP_RECURRENT_DEST, new method</t>
  </si>
  <si>
    <t>ERROR HANDLING of FM HRCA_ACC_TRAVEL_POST in obligo_idoc</t>
  </si>
  <si>
    <t>DE: Meals receipts paid by the company</t>
  </si>
  <si>
    <t>Wage type text is missing from view 'wage type for receipt'</t>
  </si>
  <si>
    <t>AT: Rückrechnung in Vorjahre</t>
  </si>
  <si>
    <t>Constant MAXRE is sometimes ignored</t>
  </si>
  <si>
    <t>Error due to excess calls to CCSECP_CCNUM_DECRYPTION</t>
  </si>
  <si>
    <t>Web: Exchange rate for receipt amount defaults</t>
  </si>
  <si>
    <t>PTRVP: Hard-coded request for RPRCCC_DISPLAY_RECEIPTS</t>
  </si>
  <si>
    <t>USA: Flat rates for travel costs 2013</t>
  </si>
  <si>
    <t>RPRTEF00: Dupl. reimbursemt for meals rcpts to be reimbursed</t>
  </si>
  <si>
    <t>AT: Keine Neuberechnung der Fahrtkosten bei Reiseänderung</t>
  </si>
  <si>
    <t>NO: PR05 Error of amount for SAL in Display View and more</t>
  </si>
  <si>
    <t>Participants disapear when deleting one before validation</t>
  </si>
  <si>
    <t>Request: activity type in add. destinations not determined</t>
  </si>
  <si>
    <t>PR05: Schema change and expense types for each trip schema</t>
  </si>
  <si>
    <t>Web: Fehlendes Datum bei Adresseingabe Zwischenziele</t>
  </si>
  <si>
    <t>WEB: Error in mileage: veh. type &amp; class not permitted</t>
  </si>
  <si>
    <t>WEB: Error message after adding receipts with Accept and New</t>
  </si>
  <si>
    <t>Web, TP01, TP04: Master account assignment is not saved</t>
  </si>
  <si>
    <t>Denmark: Legal change as of January 01, 2013</t>
  </si>
  <si>
    <t>Web: the vendor values are not inherited during itemization</t>
  </si>
  <si>
    <t>NO: Legal changes travel costs 01/JAN/2012</t>
  </si>
  <si>
    <t>PR05/TRIP: Unjustified error message in display mode</t>
  </si>
  <si>
    <t>SE: Legal changes travel costs 01/JAN/2013</t>
  </si>
  <si>
    <t>UI Address: Dummy elem not supported by Safari/Firefox</t>
  </si>
  <si>
    <t>DE: Meals and accommodations per diems as of January 1, 2013</t>
  </si>
  <si>
    <t>Cannot generate the file for the Finnish tax authorities</t>
  </si>
  <si>
    <t>NO: Legal changes travel costs 01/JAN/2013 part 2</t>
  </si>
  <si>
    <t>WEB EES: Date of Departure Time not visible Border Crossing</t>
  </si>
  <si>
    <t>Hidden Field "Business Purpose" displayed</t>
  </si>
  <si>
    <t>TRIP: Dump OBJECTS_OBJREF_NOT_ASSIGNED</t>
  </si>
  <si>
    <t>LRKG: Bayern Hinzurechnung und Sachbezugsbeleg</t>
  </si>
  <si>
    <t>TG tägl.Kehre: Abwesenheiten Drucktaste 'Abw.gleicher Tag'</t>
  </si>
  <si>
    <t>TG Verlängern/Verkürzen: 'kein Trennungsreisegeld' sichtbar</t>
  </si>
  <si>
    <t>Kappung Unterkunft bei Abwesenheit mit entgelt. Unterkunft</t>
  </si>
  <si>
    <t>TG: Falscher Betrag für Erstattung fikt. Trennungsreisegeld</t>
  </si>
  <si>
    <t>TG: Falsche Erstattung für fiktive DA in Vergleichsrechnung</t>
  </si>
  <si>
    <t>Ergänzung zu Hinweis 1781227</t>
  </si>
  <si>
    <t>BAPI_TRIP_CREATE_FROM_DATA: unt. Reiseart und Adresse</t>
  </si>
  <si>
    <t>Berücksichtung von U-Beleg bei U-Pauschale nur für BRKG</t>
  </si>
  <si>
    <t>TG AV: Vorschlagswerte Beginn und Ende bei Unterkunftsbeleg</t>
  </si>
  <si>
    <t>TG: kein Andruck Vergleichsrechnung bei Simulation von außen</t>
  </si>
  <si>
    <t>TG: Abzüge Übernachtung in Vergleichsrechnung nicht sichtbar</t>
  </si>
  <si>
    <t>Keine Erstattung von Kilometerpauschalen</t>
  </si>
  <si>
    <t>AT: DZ Abrechnung von ausw. Verbleib mit falschem ERKLA</t>
  </si>
  <si>
    <t>AT DZ: Fehlermeldung: Konstante DZPSP nicht vorhanden</t>
  </si>
  <si>
    <t>Deutsch Bahn with BIBE : correction of Idoc cardinality</t>
  </si>
  <si>
    <t>Adobe Form FITP_PLAN_FORM - USER not supplied</t>
  </si>
  <si>
    <t>Third Party: workflow correction for approval</t>
  </si>
  <si>
    <t>TRIP Request: country by default/schema is not populated</t>
  </si>
  <si>
    <t>Flight low fare group display: Date complement display</t>
  </si>
  <si>
    <t>FTPT_REQ_HEAD Approved_by wrongly updated after POWL refresh</t>
  </si>
  <si>
    <t>WD Travel Approver application: integration with 3rd Party</t>
  </si>
  <si>
    <t>GET_ETRAVEL_PNR, issue with approver name deleted</t>
  </si>
  <si>
    <t>BIBE : synchronisation  program with multiple order</t>
  </si>
  <si>
    <t>WEB Travel : BIBE origin is not proposed + roadmap issue</t>
  </si>
  <si>
    <t>Travel Approval issue: integration with 3rd Party (GetThere)</t>
  </si>
  <si>
    <t>Dump when synchronising a trip with status 'Ticketed'</t>
  </si>
  <si>
    <t>Update form type and hide print form node based on form type</t>
  </si>
  <si>
    <t>Filter process list based on form type</t>
  </si>
  <si>
    <t>Java Benefit Application dumps on Save in EHp6 System</t>
  </si>
  <si>
    <t>Post Plan: Incorrect Message when Checking Original Document</t>
  </si>
  <si>
    <t>Exclude Deleted Planning Run from Authority Check</t>
  </si>
  <si>
    <t>Planning Overview wrong currency conversion date if initial</t>
  </si>
  <si>
    <t>Dump in Compensation Planning if no org. unit found</t>
  </si>
  <si>
    <t>0JOB_ATTR DataSource is deleted</t>
  </si>
  <si>
    <t>HREIC: pernrs of added contacts to an activity are missing</t>
  </si>
  <si>
    <t>Bug in CL_HRBAS_UI_CONVERT_1008 causes several issues</t>
  </si>
  <si>
    <t>ESS Bankverbindung Bearbeitung - Bankname fehlt</t>
  </si>
  <si>
    <t>TNM: report RPCTNM9S_LSO_COST_TRANSF enhancement</t>
  </si>
  <si>
    <t>PA-PA-JP-ESS</t>
  </si>
  <si>
    <t>ESS Japan</t>
  </si>
  <si>
    <t>Corrections for ESS Commuting Allowance Form</t>
  </si>
  <si>
    <t>View-cluster VC_T7RU1655_GROUPS updates</t>
  </si>
  <si>
    <t>HR-RU: HRUTQTA0 doesn't reassign quota if p2006-DESTA&amp;lt; BE</t>
  </si>
  <si>
    <t>PA-PA-TH: 13 digit Tax Id is not available in WebDynpro ABAP</t>
  </si>
  <si>
    <t>Some hierarchy are missing from view clusters vc_hier_vis &amp;a</t>
  </si>
  <si>
    <t>Infotyptext Komponente unterstützt keine FPM Multiinstanzen</t>
  </si>
  <si>
    <t>Correction in CL_HRPAD_IL for repeat structure</t>
  </si>
  <si>
    <t>Subtyptext wird u.U. nicht korrekt ermittelt</t>
  </si>
  <si>
    <t>Labels of infotypes are not translated</t>
  </si>
  <si>
    <t>Short Profile: Dump when reading employee photo</t>
  </si>
  <si>
    <t>HAP_CALIBRATION: Sonderzeichen in Fehlermeldung</t>
  </si>
  <si>
    <t>PMP: Termination in accessibility mode</t>
  </si>
  <si>
    <t>PBC: Erweiterungen der F4-Suche für Haushaltsstruktur</t>
  </si>
  <si>
    <t>Various errors during period-end closing of commitment docs</t>
  </si>
  <si>
    <t>TM: Qualifications in competency assessment</t>
  </si>
  <si>
    <t>Performance when reading positions in calibration grid</t>
  </si>
  <si>
    <t>Checkman</t>
  </si>
  <si>
    <t>Qualifications not displayed correctly</t>
  </si>
  <si>
    <t>MSS Talent information: Performance improvement</t>
  </si>
  <si>
    <t>Group header not displayed in short profile PDF</t>
  </si>
  <si>
    <t>Talent profile: Dropdown box during performance assessment</t>
  </si>
  <si>
    <t>Extractor 0PA_TMC_7: Runtime error CONVT_NO_NUMBER</t>
  </si>
  <si>
    <t>Missing scroll bars in talent assessment</t>
  </si>
  <si>
    <t>Fields of DataSource 0CAREERTYPE_TEXT invisible</t>
  </si>
  <si>
    <t>TMC: Locked talent review meeting can be deleted</t>
  </si>
  <si>
    <t>Incorrect delivery method displayed for Course Program</t>
  </si>
  <si>
    <t>WD ABAP Learner Portal - Microsoft outlook</t>
  </si>
  <si>
    <t>LSO LPO Renovation: Course Program participation details</t>
  </si>
  <si>
    <t>LSO Admin Portal: Course Catalog display is very slow</t>
  </si>
  <si>
    <t>Admin cannot cancel participation of web based training</t>
  </si>
  <si>
    <t>No error when course is created outside course type validity</t>
  </si>
  <si>
    <t>LSO - SU22 updated for LSO_COURSE_OIF</t>
  </si>
  <si>
    <t>Unable to create WBT's in admin portal</t>
  </si>
  <si>
    <t>No error is displayed while prebooking</t>
  </si>
  <si>
    <t>Team calendar dumps for a manager whose 1 EE is transferred</t>
  </si>
  <si>
    <t>Team calendar view not displayed correctly</t>
  </si>
  <si>
    <t>ESS LEA: Standard implementation of PT_ABS_REQ is incorrect</t>
  </si>
  <si>
    <t>ESS LEA: RPTARQPOST - Select personnel numbers</t>
  </si>
  <si>
    <t>Average incorrect if employee has no earnings in few periods</t>
  </si>
  <si>
    <t>Wage type /LTR is incorrectly generated</t>
  </si>
  <si>
    <t>Incorrect Super Choice fund name in payslip</t>
  </si>
  <si>
    <t>Averages incorrect in case of multiple arrears loop</t>
  </si>
  <si>
    <t>HRFORMS (SAP_PAYSLIP_CH) Entgeltn., fehlendes Vorzeichen</t>
  </si>
  <si>
    <t>ESS (ABAP): Korr. der Bezeichnung für das Feld 'GBORT'</t>
  </si>
  <si>
    <t>Payroll account: SAP_PAYRACC_DE (1/2013)</t>
  </si>
  <si>
    <t>Remuneration statement: SAP_PAYSLIP_DE_P (1/2013)</t>
  </si>
  <si>
    <t>[MX] Processing class 23 enablement for Mexico</t>
  </si>
  <si>
    <t>YELC 2012/2013: Layout Improvements to new HRFORM payslip</t>
  </si>
  <si>
    <t>HRSEPS:Record sequence problem in HANA DB after declustering</t>
  </si>
  <si>
    <t>Incorrect Print Format of Payslip from Off-Cycle Workbench</t>
  </si>
  <si>
    <t>Incorrect calculation of deductions for meals reimbursement</t>
  </si>
  <si>
    <t>ESS - dump STRING_LENGTH_TOO_LARGE in view Transport</t>
  </si>
  <si>
    <t>Rounding EUR4 for mileage in Travel Costs</t>
  </si>
  <si>
    <t>XX-TRANSL-DE</t>
  </si>
  <si>
    <t>Translation from English into German</t>
  </si>
  <si>
    <t>Correction of translation of 'Note'</t>
  </si>
  <si>
    <t>SAPK-60708INEAHR</t>
  </si>
  <si>
    <t>SAPK-60709INEAHR</t>
  </si>
  <si>
    <t>MSS Add-on 1.0: Performance Improvement Team View</t>
  </si>
  <si>
    <t>Reminder of Dates-Age is displayed with leading zero's</t>
  </si>
  <si>
    <t>CATSWD: Selected columns could not be personalized</t>
  </si>
  <si>
    <t>Multiple issues with search helps</t>
  </si>
  <si>
    <t>CATS WDA: Incorrect time status texts in calendar view</t>
  </si>
  <si>
    <t>OADP_EXAMPLE application is modified to accept OrgView</t>
  </si>
  <si>
    <t>Per Diem Update from file gives error for T706B2.</t>
  </si>
  <si>
    <t>Integration of advance in POWL request</t>
  </si>
  <si>
    <t>Settlement of several business trips on one day</t>
  </si>
  <si>
    <t>FITV_TRIP_FORM: popup for user id/pwd with HTTPS in SAP NWBC</t>
  </si>
  <si>
    <t>TPMD/PA30 - Standing Approval Field visible w/o FIN_TRAVEL_2</t>
  </si>
  <si>
    <t>DE: Legal change on January 1, 2013 / payments in kind</t>
  </si>
  <si>
    <t>Dump CONVT_NO_NUMBER bei aktiver Betragskumulation</t>
  </si>
  <si>
    <t>PTRV_BSTAT: MEMORY_NO_MORE_PAGING</t>
  </si>
  <si>
    <t>Web: Amount in local currency for document</t>
  </si>
  <si>
    <t>Web: Cost assignment is not saved</t>
  </si>
  <si>
    <t>Trip activity type (planning)</t>
  </si>
  <si>
    <t>IBAN not taken into account in pgm RPRDTAD0 (DM Exchange)</t>
  </si>
  <si>
    <t>PRRW: Change of tax amount leads to zero posting</t>
  </si>
  <si>
    <t>RPRCCC00 Short dump DYNPRO_FIELD_CONVERSION w/ Trip assigned</t>
  </si>
  <si>
    <t>TRIP: display error when change the SCREEN SIZE</t>
  </si>
  <si>
    <t>Determining the payment date</t>
  </si>
  <si>
    <t>PR05: Tab with credit card data is missing</t>
  </si>
  <si>
    <t>NO: Country table T706O with incorrect entries</t>
  </si>
  <si>
    <t>Denmark: No entry in table UEPBA during simulation</t>
  </si>
  <si>
    <t>FI: Meals per diem abroad &amp;gt; 10 hours - correction</t>
  </si>
  <si>
    <t>Warning message during creation of expense from plan</t>
  </si>
  <si>
    <t>NO: Legal changes travel costs 01/JAN/2013 part 3</t>
  </si>
  <si>
    <t>PS-AT: Simulation aus PRAP nicht korrekt</t>
  </si>
  <si>
    <t>PS-DE BRKG 2013: Verpflegungs-Unterkunftspauschalen</t>
  </si>
  <si>
    <t>IDocs get stuck ready to send with FM integration</t>
  </si>
  <si>
    <t>TG: Tägliche Rückkehr mit 2 Tagen: Fehler bei fiktivem AV</t>
  </si>
  <si>
    <t>Feld NEW_TRG_ENDRG nicht als Bezeichnertext links ab EhP6</t>
  </si>
  <si>
    <t>PS AT: WebDynpro Abzüge werden nicht berücksichtigt</t>
  </si>
  <si>
    <t>Versteuerung gesamte Reise: Fehler bei Kappung Wegstrecke</t>
  </si>
  <si>
    <t>LRKG Bayern: Negativer Sachbezugsbeleg nach Hinweis 1771361</t>
  </si>
  <si>
    <t>DZ AV: FITVPS166 erscheint auch bei Abzügen ohne Abwesenheit</t>
  </si>
  <si>
    <t>Bayern: Ausgabe des fiktiven Übernachtungsgeldes</t>
  </si>
  <si>
    <t>Übernachtungsabzüge und Hotelbeleg</t>
  </si>
  <si>
    <t>Falsche Daten: Vergleichsr. Tägl. Rückkehr - Ausw. Verbleib</t>
  </si>
  <si>
    <t>TGPER: Anzeigen einer Periode - Vergl.rechnung TR/AV fehlt</t>
  </si>
  <si>
    <t>PS DE: Ende fiktives Reisegeld außerhalb der TG-Maßnahme</t>
  </si>
  <si>
    <t>TG: große Vergleichsr.: Tagegeld nicht detailiert angedruckt</t>
  </si>
  <si>
    <t>Verkürzen Trennungsgeld =&amp;gt; Ende Trennungsreisegeld außerh</t>
  </si>
  <si>
    <t>TG tägl. Kehre: Abw. 24h werden nicht im Formular angedruckt</t>
  </si>
  <si>
    <t>Profile Synchronization - E-Travel . Deletion Program</t>
  </si>
  <si>
    <t>GET_GETHERE_PNR: No entry in TA22ST for status 'Ticketed'</t>
  </si>
  <si>
    <t>Getthere : incorrect mapping of Airfare class</t>
  </si>
  <si>
    <t>LOD</t>
  </si>
  <si>
    <t>OnDemand</t>
  </si>
  <si>
    <t>LOD-EC</t>
  </si>
  <si>
    <t>Employee Central</t>
  </si>
  <si>
    <t>LOD-EC-GCP</t>
  </si>
  <si>
    <t>EC - Globalization Compliance and Payroll</t>
  </si>
  <si>
    <t>LOD-EC-GCP-PY</t>
  </si>
  <si>
    <t>Payroll &amp; Integration</t>
  </si>
  <si>
    <t>Emplyoee Central: Pay Statement not available</t>
  </si>
  <si>
    <t>Wrong form version is used when next agent opens the form</t>
  </si>
  <si>
    <t>Assigning the switch to the SPRO</t>
  </si>
  <si>
    <t>Problem with Process browser - select options error</t>
  </si>
  <si>
    <t>Problems with the new process browser application.</t>
  </si>
  <si>
    <t>Operator Not Equal To (NE) not working - new process browser</t>
  </si>
  <si>
    <t>Advance Value Help Search with Search Criteria</t>
  </si>
  <si>
    <t>Error:Workflow triggered for single step process</t>
  </si>
  <si>
    <t>Method NAVIGATE_FORM_WD missing for BOR object MSS_WL</t>
  </si>
  <si>
    <t>RHECM_PROCESS_SUPPORT_FOR_PLNG multiple selection</t>
  </si>
  <si>
    <t>Compensation Profile Overview dumps without reviews</t>
  </si>
  <si>
    <t>Planning UI: Analytics History Chart scale not correct</t>
  </si>
  <si>
    <t>Restart Enrollment is not working</t>
  </si>
  <si>
    <t>Check in class CL_HRPA_INFOTYPE_0101 obsolete</t>
  </si>
  <si>
    <t>Configuration Problem for China Address infotype on ESS</t>
  </si>
  <si>
    <t>TNM: fix for report RPCTNM9S_LSO_COST_TRANSF (TN child)</t>
  </si>
  <si>
    <t>PA-PA-MY: Issue with Personal Data on ESS portal WD ABAP</t>
  </si>
  <si>
    <t>PA-PA-MY: ESS: Fields are not getting highlighted on error</t>
  </si>
  <si>
    <t>PA-PA-TH: Mandatory fields are not getting highlighted</t>
  </si>
  <si>
    <t>Grant Validation Error - No Change in Certification</t>
  </si>
  <si>
    <t>CLUSTER/POOL table in SAP HCM (III): change into ORDER BY</t>
  </si>
  <si>
    <t>IT0008: Wage type not valuated directly for initial amount</t>
  </si>
  <si>
    <t>IT0008: Lohnarten nach Löschen erneut vorgeschlagen</t>
  </si>
  <si>
    <t>Master Data application dumps when date selection is changed</t>
  </si>
  <si>
    <t>PA/OM MasterData App: Object Navigator not hidden</t>
  </si>
  <si>
    <t>PMP: Keine rollenbasierte Statustext-Anzeige beim Manager</t>
  </si>
  <si>
    <t>Talentliste in Besprechungsunterlagen einseitig</t>
  </si>
  <si>
    <t>PM: Beschreibung bei kaskadierten Zielen in Druckvorschau</t>
  </si>
  <si>
    <t>PMP: Bezeichner Zielvorgabe bei organisatorischen Zielen</t>
  </si>
  <si>
    <t>Schnittstelle des BadI HRFPM_INT_MAN unzureichend</t>
  </si>
  <si>
    <t>Creation of budget: dump CALL_FUNCTION_CONFLICT_LENG</t>
  </si>
  <si>
    <t>FinanzRegeln: Nachrichtennummer 5Z 490</t>
  </si>
  <si>
    <t>RHRFPM_OCC_CHK: Falsche Überschrift</t>
  </si>
  <si>
    <t>Tabular layout for fields in PDF for talent profile</t>
  </si>
  <si>
    <t>Note text is linked together during talent assessment (I)</t>
  </si>
  <si>
    <t>Grouped processes are not fully completed</t>
  </si>
  <si>
    <t>Talent groups: Performance when reading the talent data</t>
  </si>
  <si>
    <t>Talent profile: Manager opens the development plan document</t>
  </si>
  <si>
    <t>Talent assessments: Link to document is not displayed</t>
  </si>
  <si>
    <t>Program termination in extractor 0PA_TMC_8</t>
  </si>
  <si>
    <t>MSS talent profile - Portal role enhancement for MSS</t>
  </si>
  <si>
    <t>TMC: No message when deleting a talent review meeting</t>
  </si>
  <si>
    <t>Calibration grid icon is missing in side-by-side comparison</t>
  </si>
  <si>
    <t>ESS REQ: No message type in log of posting report</t>
  </si>
  <si>
    <t>ESS COR: RPTCOREMAIL request in status POSTED without note</t>
  </si>
  <si>
    <t>ESS ARQ: Email report not clearing the Admins for next mail</t>
  </si>
  <si>
    <t>Term Org: Does not delimit Deduction End Date of IT2006</t>
  </si>
  <si>
    <t>Term. Org.: Creates incorrect IT0416</t>
  </si>
  <si>
    <t>Incorrect Average in case of one terminated assignment</t>
  </si>
  <si>
    <t>Incorrect SGC distribn. across assignments under single ABN</t>
  </si>
  <si>
    <t>Correction to Note 1809493:Incorrect /109 on termination</t>
  </si>
  <si>
    <t>QDIST does not handle multiple entry of same  WT correctly</t>
  </si>
  <si>
    <t>Advance pay report for PS not reading previous results</t>
  </si>
  <si>
    <t>India ESS : Income Tax Declaration BAdI issue</t>
  </si>
  <si>
    <t>ESS: Advanced Claims approval scenario eligibility issue</t>
  </si>
  <si>
    <t>Short dump in class CL_HRPAYRU_ORGANIZATION_CE</t>
  </si>
  <si>
    <t>HR-RU: HRUTQTA0 stated not far enough recalculation date</t>
  </si>
  <si>
    <t>CE: incorrect table GROUPING in case of disbanding subdivis.</t>
  </si>
  <si>
    <t>CE: Distribution of payments for pregnancy between contracts</t>
  </si>
  <si>
    <t>PY-CE: Additional PF payments for employees who work in HWC</t>
  </si>
  <si>
    <t>Wage Type Reporter for CE: error with retro calculations</t>
  </si>
  <si>
    <t>PL - Incorrect calc. of deductions for meals reimbursement</t>
  </si>
  <si>
    <t>PL - Incorrect calc. rest of deductions</t>
  </si>
  <si>
    <t>Correction of translation of 'Next Processor'</t>
  </si>
  <si>
    <t>Correction of translation of 'Owner'</t>
  </si>
  <si>
    <t>SAPK-60710INEAHR</t>
  </si>
  <si>
    <t>error in Generic UIBB for Lists</t>
  </si>
  <si>
    <t>MSS Add-On 1.0: CATS approval dashboard length of date field</t>
  </si>
  <si>
    <t>Values in F4 help of 'Operation' field is not selectable</t>
  </si>
  <si>
    <t>Release information correction for BF HCM_SSC_EIC_2</t>
  </si>
  <si>
    <t>char.strings w/o text elements will not be translated</t>
  </si>
  <si>
    <t>Enhancement of OADP_EXAMPLE</t>
  </si>
  <si>
    <t>Trip Region is not copied from header in a new trip break.</t>
  </si>
  <si>
    <t>IMPORT_DECOMPRESS_FAILED dump on Archiving a large trip.</t>
  </si>
  <si>
    <t>Saving not possible after error message in FITR0005</t>
  </si>
  <si>
    <t>WEB: Control of GOS services using transaction SGOS</t>
  </si>
  <si>
    <t>WD ABAP: Required Entry field "Service Provider" i</t>
  </si>
  <si>
    <t>RPRTAX_FINLAND: incorrect total mileage calculated</t>
  </si>
  <si>
    <t>Web: Comment text in request is lost</t>
  </si>
  <si>
    <t>Web Travel Assistant :Inactive Employee are in the list</t>
  </si>
  <si>
    <t>PRFO: No entry in T500P for old trips</t>
  </si>
  <si>
    <t>RPRFLDEL: Update of personnel numbers without matchcode T</t>
  </si>
  <si>
    <t>XI: Error during calculation of exchange rate</t>
  </si>
  <si>
    <t>RPRFLDEL: TRVFL not deleted if trips are only canceled</t>
  </si>
  <si>
    <t>PRRW: Incorrect delta if change of tax jurisdiction code</t>
  </si>
  <si>
    <t>PRRW: Date-specific tax calculation</t>
  </si>
  <si>
    <t>WEB ABAP: Wrong server name generated in URL from POWL</t>
  </si>
  <si>
    <t>Error with import of credit card file</t>
  </si>
  <si>
    <t>TRIP: GOS displayed on overview page</t>
  </si>
  <si>
    <t>PR05: GETWA_NOT_ASSIGNED when printing receipts</t>
  </si>
  <si>
    <t>PR05, Web: Check of miles/kilometer entry without EXB706F</t>
  </si>
  <si>
    <t>Determination of payment date for zero postings</t>
  </si>
  <si>
    <t>The participants field are incorrectly updated when copied</t>
  </si>
  <si>
    <t>PR05: KURS_IN_MENGENNOTATION and KURS_IN_PREISNOTATION</t>
  </si>
  <si>
    <t>TG Steuerfreibetrag bei Abwesenheit ohne Aufenthalt Wohnung</t>
  </si>
  <si>
    <t>Sachsen/NRW: Berechnung Höchstgrenze Unterkunft u.U. falsch</t>
  </si>
  <si>
    <t>PS: Reiseunterbrechungen mit Reduktion des Auslandstagegelds</t>
  </si>
  <si>
    <t>Reiseunterbrechung bei Auslandsdienstreisen nach ARV</t>
  </si>
  <si>
    <t>Kappung Unterk: Abwesenheit mit entgelt. Unterkunft (Teil 2)</t>
  </si>
  <si>
    <t>TG: Anzeige der Daten zur Vergleichsrechnung TR/AV falsch</t>
  </si>
  <si>
    <t>Versteuerung der kompl. Reise: Beleg steuerfrei im Formular</t>
  </si>
  <si>
    <t>TG: Details zur Vergleichsrechnung TR/AV fehlen im Formular</t>
  </si>
  <si>
    <t>TG tägl. Rückkehr: Unterkunftsbeleg wird komplett gekappt</t>
  </si>
  <si>
    <t>PS DE: TG - Überschneidungscheck bei Abwesenheiten</t>
  </si>
  <si>
    <t>TG tägliche Rückkehr: Uhrzeit wird gelöscht</t>
  </si>
  <si>
    <t>Kein Trennungsreisegeld bei fiktivem auswärtigem Verbleib</t>
  </si>
  <si>
    <t>Löschen Kappungsbeleg der Vergleichsrechnung beim Anzeigen</t>
  </si>
  <si>
    <t>Vergleichsrechnung TR/AV unent.Unterkunft wird nicht gesetzt</t>
  </si>
  <si>
    <t>Abzug Übernachtung im Trennungstagegeld (Formular)</t>
  </si>
  <si>
    <t>TG: Falsche Erstattung bei Abzug Mahlzeit und Übernachtung</t>
  </si>
  <si>
    <t>Vergl.Wegstrecke: ausgewählter Button wird nicht gespeichert</t>
  </si>
  <si>
    <t>TG: Vergleichsrechnung TR &amp;lt;&amp;gt; AV: Tagegeld DA und DR le</t>
  </si>
  <si>
    <t>LRKG Baden-Wuerttemberg:Verpf.Unterkunftspauschalen 2013</t>
  </si>
  <si>
    <t>AT: New file format for 2013 community code numbers</t>
  </si>
  <si>
    <t>Vergleichsrechnung TG/AV: Erstattung ÜG bei Abwesenheiten</t>
  </si>
  <si>
    <t>DZ AV: Fehler in Anrechnung paralleler Dienstreise</t>
  </si>
  <si>
    <t>BRKG: Reiseunterbrechungen/Inland verhindern Erstattung</t>
  </si>
  <si>
    <t>Erweiterung zu Hinweis 1766319</t>
  </si>
  <si>
    <t>PR05: Kontierung geht bei Speichern mit Abzügen verloren</t>
  </si>
  <si>
    <t>Fehlermeldung bei Trennungsgeld ohne Vergleichsrechnung</t>
  </si>
  <si>
    <t>PS-DE: nach Sichern sind Abrechnungsergebnisse gefüllt</t>
  </si>
  <si>
    <t>PS: Übersicht alle Reisen und Dienstzuteilungen/Trennungsg.</t>
  </si>
  <si>
    <t>Web: Trip activity type (planning) not always saved</t>
  </si>
  <si>
    <t>WD ABAP: wrong check for reason codes in hotel review</t>
  </si>
  <si>
    <t>E-travel : Combination LCC and GDS Booking</t>
  </si>
  <si>
    <t>eTravel: add status for rail reservation</t>
  </si>
  <si>
    <t>Web Service: New version eTravel (rail,deletion,remark)</t>
  </si>
  <si>
    <t>New GetThere WS: Unlock suspended booking for update</t>
  </si>
  <si>
    <t>Travel Approval issue: Rejection status wrongly handled</t>
  </si>
  <si>
    <t>GetThere: Unlock trip for change after workflow decision</t>
  </si>
  <si>
    <t>Changes to Mass Hiring</t>
  </si>
  <si>
    <t>Short dump occurs if the end date isn't 12/31/9999</t>
  </si>
  <si>
    <t>Form data not getting updated correctly after a user event</t>
  </si>
  <si>
    <t>Copy Det. Planning Changes: Runtime Error GETWA_NOT_ASSIGNED</t>
  </si>
  <si>
    <t>Data Collection: IT1005, Parameter SWWT, Hour unit of time</t>
  </si>
  <si>
    <t>Det. Planning: Edit Job, No Additional Cost Items</t>
  </si>
  <si>
    <t>Keine Sicherheitsabfrage bei Verlassen der Detailplanung</t>
  </si>
  <si>
    <t>RHECM_PREP_ORGUNITS_FOR_PLNG: error DB035 in background</t>
  </si>
  <si>
    <t>When no budget is used a converting Currency error is issued</t>
  </si>
  <si>
    <t>BAdI extension HR_ECM_GET_PATHROOTS for object selection</t>
  </si>
  <si>
    <t>Vertical Scrollbar truncated in Compensation Profile</t>
  </si>
  <si>
    <t>Incorrect job selection Compensation Planning UI</t>
  </si>
  <si>
    <t>Authorization for monetary infotypes Compensation Profile</t>
  </si>
  <si>
    <t>Incorrect object selection, job retrieval in Planning UI</t>
  </si>
  <si>
    <t>Incorrect assignment of structure ci_p0759</t>
  </si>
  <si>
    <t>Parameterübergabe in SAP Exits</t>
  </si>
  <si>
    <t>[AR] Decoupling Classes maintenance</t>
  </si>
  <si>
    <t>Infotype 0098 - update of decoupling classes</t>
  </si>
  <si>
    <t>TNM: fix for Switch BC-Set HRLOC_TNM_CUSTO_ENH_01</t>
  </si>
  <si>
    <t>HRGB: Sexual orientation decoupling</t>
  </si>
  <si>
    <t>ESS: Error in Maximum Loan Eligibility Check</t>
  </si>
  <si>
    <t>No Search Help for Second and Third Nationality</t>
  </si>
  <si>
    <t>PA-PA-MY: Field Help Values for Nationality is not sorted</t>
  </si>
  <si>
    <t>PA-PA-MY: Duplicated description for Nationality in dropdown</t>
  </si>
  <si>
    <t>ESS-MY:OBJPS issue for customer specific subtypes for IT0021</t>
  </si>
  <si>
    <t>Female employees are not able to create new spouse records</t>
  </si>
  <si>
    <t>PA-MY: Error message for relationship field is Incorrect</t>
  </si>
  <si>
    <t>New ITF IT0854: Bank Information Read-Only</t>
  </si>
  <si>
    <t>ESS: All fields are not shown for Address in edit mode</t>
  </si>
  <si>
    <t>PA-PA-PH: Field Help Values for Nationality is not sorted</t>
  </si>
  <si>
    <t>Quotas 61-64 creation - empty "Quota number" field</t>
  </si>
  <si>
    <t>CE: Unable to hire a new contract to another head-unit</t>
  </si>
  <si>
    <t>PA-PA-SG: ESS portal get dump while updating spouse record</t>
  </si>
  <si>
    <t>PA-PA-SG: Field Help Values for Nationality is not sorted</t>
  </si>
  <si>
    <t>PA-PA-TH: Field Help Values for Nationality is not sorted</t>
  </si>
  <si>
    <t>PA-PA-TH: Missing fields in IT0364 in WebDynpro ABAP</t>
  </si>
  <si>
    <t>ESS: US Bank Details - Unable to clear BKONT field</t>
  </si>
  <si>
    <t>IT0207: No search help for field TAXAR in Web scenario.</t>
  </si>
  <si>
    <t>Field IBAN00 in the structure HCMT_BSP_PA_XX_R0011</t>
  </si>
  <si>
    <t>Infotype 0262 - Decoupling classes maintenance</t>
  </si>
  <si>
    <t>Customer Namespace of table T77PAOSCONTEXT</t>
  </si>
  <si>
    <t>PAOM: remove references to comp.config. TMP_PA_CONFIGURATION</t>
  </si>
  <si>
    <t>IT1005: Feldeigenschaften aus T777IFPROPS nicht gelesen</t>
  </si>
  <si>
    <t>Dump when maintaining an infotype with invalid subtype</t>
  </si>
  <si>
    <t>Navigation is not working in Landing Page</t>
  </si>
  <si>
    <t>HCM Renovation: 'Overwrite' OM-Infotype record via BOL@FPM</t>
  </si>
  <si>
    <t>Country code is not maintained in the backend for Launchpad</t>
  </si>
  <si>
    <t>PAOM: Unit test of config reader shows wrong error message</t>
  </si>
  <si>
    <t>HCM Renovation: BOL Model HRPD contains wrong query</t>
  </si>
  <si>
    <t>Ziele können nur zu 20 Formularen zugeordnet werden</t>
  </si>
  <si>
    <t>PMP: Kurzdump beim Löschen der letzten Kriteriengruppe</t>
  </si>
  <si>
    <t>TM Konfiguration: Kurzdump beim Löschen des Formulars</t>
  </si>
  <si>
    <t>PMP: Teilbeurteilungsdokument wird nicht angezeigt</t>
  </si>
  <si>
    <t>PMP: Kein Dokument als zusätzlicher Beurteiler</t>
  </si>
  <si>
    <t>HRPBCM: Div. Probleme bei Verwendung der Spaltenpufferung</t>
  </si>
  <si>
    <t>Keine Verfügbarkeitsprüfung bei Änderung von Budget</t>
  </si>
  <si>
    <t>HRPBCM: Unzureichende Berechtigungsprüfungen</t>
  </si>
  <si>
    <t>HRPBCM: Meldung HRFPM_FTE 027 beim Kopieren</t>
  </si>
  <si>
    <t>Performance Finanzierung</t>
  </si>
  <si>
    <t>Div. Fehler und Erweiterungen 'Erweiterter Anwendungslog'</t>
  </si>
  <si>
    <t>RHRFPM_DIFF_DEL: Exception HRFPM_DIFF_FAILED</t>
  </si>
  <si>
    <t>Wrong Financing status in IT 0724 and IT1516</t>
  </si>
  <si>
    <t>Abschluß von Obligobelegen: Belege werden nicht erledigt</t>
  </si>
  <si>
    <t>Error message 106(HRFPM) during commitment creation</t>
  </si>
  <si>
    <t>Abschluss von Obligobelegen: Bearbeitungsoptionen</t>
  </si>
  <si>
    <t>'To be reclassified' note not proposed for activation</t>
  </si>
  <si>
    <t>IT1511 Änderungsinfo-Button nur im Schreibzugriff aktiv</t>
  </si>
  <si>
    <t>X Scale Values not displayed in Talent Grid</t>
  </si>
  <si>
    <t>Termination when creating a potential process</t>
  </si>
  <si>
    <t>Consider BadI HRPAD00AUTH_CHECK in Talent Management</t>
  </si>
  <si>
    <t>Layout error in the side-by-side comparison</t>
  </si>
  <si>
    <t>TMC-Suche: Anrede im Suchergebnis nicht in Anmeldesprache</t>
  </si>
  <si>
    <t>Using message class cl_hrbas_message_list for compatibility</t>
  </si>
  <si>
    <t>Documentation Error in Release Note</t>
  </si>
  <si>
    <t>Personal timezone of the admin is not considered</t>
  </si>
  <si>
    <t>Incorrect course booking displayed for a participant</t>
  </si>
  <si>
    <t>Query parameters set for the alert monitor does not work</t>
  </si>
  <si>
    <t>Custom infotypes not shown while creating curriculum type</t>
  </si>
  <si>
    <t>LSO_PSV1:Does not show user editing the person when booking.</t>
  </si>
  <si>
    <t>Search for an external person does not return any result</t>
  </si>
  <si>
    <t>Course Information Report: Incorrect display of Org Unit.</t>
  </si>
  <si>
    <t>LSO- LSO activation consistency check returns wrong status</t>
  </si>
  <si>
    <t>Admin Portal: Status Options during Course Creation.</t>
  </si>
  <si>
    <t>LSO - Virtual default interface for LSO Structure package</t>
  </si>
  <si>
    <t>LSO: Instructor notification not generated for all courses</t>
  </si>
  <si>
    <t>TMW team view: Info message for screen area VTD</t>
  </si>
  <si>
    <t>RPTCORTMAIL: PERNR of employees without e-mail address</t>
  </si>
  <si>
    <t>Incomplete message in Clock In/Out Corrections</t>
  </si>
  <si>
    <t>Possible to enter inactive employees as approver</t>
  </si>
  <si>
    <t>Incorrect data in the time accounts overview table</t>
  </si>
  <si>
    <t>Unable to view the complete details of  clock in /clock out</t>
  </si>
  <si>
    <t>NO Filter option in new version of Leave overview</t>
  </si>
  <si>
    <t>Incorrect leave displayed by next button, after approving</t>
  </si>
  <si>
    <t>ESS LEA: Missing quota messages without subtype</t>
  </si>
  <si>
    <t>HRESS_C_CORRECTIONS: Delete, Edit buttons not greyed out</t>
  </si>
  <si>
    <t>CE:Advance Pay unable to execute in 'Exit Payroll' status</t>
  </si>
  <si>
    <t>ESS: Error while updating employee photo</t>
  </si>
  <si>
    <t>Advanced Claims - HINUACRP changes</t>
  </si>
  <si>
    <t>YELC 2012/2013: LCS 80% Bonus Display in HRForm Payslip</t>
  </si>
  <si>
    <t>HRSE_CE: Too many Unpaid Vacation days</t>
  </si>
  <si>
    <t>USCLM: U.S. Overpayment Wage Type Grouping for CE</t>
  </si>
  <si>
    <t>Display pocket money from old versions</t>
  </si>
  <si>
    <t>PDF are wrong displayed PL reimbursement</t>
  </si>
  <si>
    <t>Wrong calculations for business trips in PR05 transaction</t>
  </si>
  <si>
    <t>The problem of assigning costs to business trip</t>
  </si>
  <si>
    <t>PL: domestic per diems during abroad bussiness trip</t>
  </si>
  <si>
    <t>Per diems for meals - interval 8:00 - 12:00</t>
  </si>
  <si>
    <t>SAPK-60711INEAHR</t>
  </si>
  <si>
    <t>IT1014 obsolete: No empty records</t>
  </si>
  <si>
    <t>SAP-Learning Solution</t>
  </si>
  <si>
    <t>Rejected absence displayed in leave overview</t>
  </si>
  <si>
    <t>Documentation update</t>
  </si>
  <si>
    <t>Enhancements to OADP Function modules</t>
  </si>
  <si>
    <t>Multiple issues in CATS WDA timesheet</t>
  </si>
  <si>
    <t>Unmaintained status authorization object S_DEVELOP</t>
  </si>
  <si>
    <t>Error : 'select a valid line' in transaction PRAP.</t>
  </si>
  <si>
    <t>PR05 :Field EXBEL is cleared inside cost assignment.</t>
  </si>
  <si>
    <t>Web: Number field wrongly calculated</t>
  </si>
  <si>
    <t>Web: Itemization may reduce receipt amount</t>
  </si>
  <si>
    <t>Retroactive accounting date set incorrectly</t>
  </si>
  <si>
    <t>PS-DE: Grenzübertrittsregel am PDF Formular</t>
  </si>
  <si>
    <t>DE: Tax-exempt per diem for 4:00 p.m. - 8:00 a.m. rule</t>
  </si>
  <si>
    <t>Receipt additional information are copied incorrectly</t>
  </si>
  <si>
    <t>PRCC: Faktoren bei Währungsumrechnung</t>
  </si>
  <si>
    <t>PRRW: Reversing posting runs despite active FM</t>
  </si>
  <si>
    <t>BUS2089: Number of documents not in task description</t>
  </si>
  <si>
    <t>TRVPA attribute DBS does not work in Express Expense Sheet</t>
  </si>
  <si>
    <t>SUM_OVERFLOW when creating or settling trips</t>
  </si>
  <si>
    <t>Handling of already masked CC numbers in RPRCCC00</t>
  </si>
  <si>
    <t>RPR_UPDATE_COMCODENR_FROM_FILE: Dump und Fehler</t>
  </si>
  <si>
    <t>Leeres Buchungsdatum erzeugt Fehler beim Sichern der Reise</t>
  </si>
  <si>
    <t>Text of trip provision variant missing</t>
  </si>
  <si>
    <t>FI: multiple international destinations - correction</t>
  </si>
  <si>
    <t>FI: multiple international destinations / corrections (2)</t>
  </si>
  <si>
    <t>PDF Forms Travel Request Plan Expenses &amp; EES not RTL Ali</t>
  </si>
  <si>
    <t>FM Posting Date Not Available in Web Dynpro ABAP and TRIP</t>
  </si>
  <si>
    <t>LRKG:Verpflegungs-Unterkunftspauschalen ab 01.01.2013/Bayern</t>
  </si>
  <si>
    <t>PS-DE: Abrechnungsergebnisse gesichert # 2</t>
  </si>
  <si>
    <t>PS DE: Trennungsgeld: steuerfreier ÜG-Anteil bei Abwesenheit</t>
  </si>
  <si>
    <t>Ergänzung zu Hinweis 1816942: ausgewählter Button bei Vergl.</t>
  </si>
  <si>
    <t>PS DE: Abzüge bei reduziertem Tagegeld/Auslandsreisen Teil 2</t>
  </si>
  <si>
    <t>PS DE: TG Höchstgrenze bei der Erstattung der Reisebeihilfe</t>
  </si>
  <si>
    <t>PS-AT: Genehmigung von Reiseanträgen aus Web nicht möglich</t>
  </si>
  <si>
    <t>PS: Genehmigung TG/DZ mit einer Abwesenheit bei par. Reise</t>
  </si>
  <si>
    <t>Kappung Unterk.: untertägige Abwesenheit m. entgelt. Unterk.</t>
  </si>
  <si>
    <t>TR: keine Übernahme der Datumsänderungen in fiktiver Periode</t>
  </si>
  <si>
    <t>Bezeichnertext von PTP42-VERPA PTP42-UEBKZ nicht ausblendbar</t>
  </si>
  <si>
    <t>PS-AT: Genehm.report: Fehler beim Anzeigen der DZ-Periode</t>
  </si>
  <si>
    <t>PS DE: Formular: Tägliche Rückkehr mit fiktiver Heimfahrt</t>
  </si>
  <si>
    <t>Kein Löschen unentgelt.Unterkunft bei Löschen aller Ü-Abzüge</t>
  </si>
  <si>
    <t>Travel profile: Credit card number unencrypted</t>
  </si>
  <si>
    <t>AT: Creating travel request/plan in TRIP/TP01</t>
  </si>
  <si>
    <t>Request estimated cost deleted during PNR synchronization</t>
  </si>
  <si>
    <t>Authorization check when saving a travel request</t>
  </si>
  <si>
    <t>PDF: Wrong/missing personal preferences in FITP_REQUEST_FORM</t>
  </si>
  <si>
    <t>E-Travel : correction for flight ticket</t>
  </si>
  <si>
    <t>Getthere : url parameters not correct when Multi destination</t>
  </si>
  <si>
    <t>Getthere : Synchronization error when unknown status</t>
  </si>
  <si>
    <t>GetThere Profile Upload: new WS version</t>
  </si>
  <si>
    <t>Getthere: Profile synchronisation sends inactive infotypes</t>
  </si>
  <si>
    <t>Mass process picks random scenario step</t>
  </si>
  <si>
    <t>PA-AS:Error in HRASR00_PROCESS_EXECUTE view PD_PROCESS_START</t>
  </si>
  <si>
    <t>Display form in case of process with status 'Draft'</t>
  </si>
  <si>
    <t>Form fields are not hidden in form configuration</t>
  </si>
  <si>
    <t>SV_HCMR11: MH Customize - Error with Excel File</t>
  </si>
  <si>
    <t>Dump when create new MST config for Mass Hiring in Display</t>
  </si>
  <si>
    <t>Workitem status not getting set correctly</t>
  </si>
  <si>
    <t>New BADI method for rehire logic and update error messages</t>
  </si>
  <si>
    <t>Warning when leaving saved draft requisition request</t>
  </si>
  <si>
    <t>Send button not hidden when navigating to previous steps</t>
  </si>
  <si>
    <t>Amount not displayed as per currency Format</t>
  </si>
  <si>
    <t>Release Plan: No Company Code in Org. Attributes</t>
  </si>
  <si>
    <t>WD Detail Planning: Columns "Total Amount", "</t>
  </si>
  <si>
    <t>Copy Plan: Incorrect Limit for Job with Split in Rel_Info</t>
  </si>
  <si>
    <t>Copy Plan: Wrong Result for change of Cap. Util. Level.</t>
  </si>
  <si>
    <t>Copy Plan: Incorrect Dependent Cost Items for Job.</t>
  </si>
  <si>
    <t>KOSTL does not taken into account from HCP01, HCP02, HCP03</t>
  </si>
  <si>
    <t>Post Plan: wrong values are posted</t>
  </si>
  <si>
    <t>Issue in Logs for Archiving object HRHCP_PLAN</t>
  </si>
  <si>
    <t>Feature CAPPR, incorrect decision fields available</t>
  </si>
  <si>
    <t>Method GET_BUDGETS_BY_OWNER does not retrieve budgets</t>
  </si>
  <si>
    <t>emails set to complete without processing them.</t>
  </si>
  <si>
    <t>Subcategories get lost when navigating between activities</t>
  </si>
  <si>
    <t>PERNR is not getting transferred from MSS WD JAVA to ESS WDA</t>
  </si>
  <si>
    <t>Getting "Access previously deleted entity" dump wh</t>
  </si>
  <si>
    <t>ESS WDA- Error while maintaining foreign address</t>
  </si>
  <si>
    <t>ESS WDA SAVE: Person is already being processed by user</t>
  </si>
  <si>
    <t>InfoType is not getting delimited in edit mode.</t>
  </si>
  <si>
    <t>ESS WDA search help displays banks marked for deletion.</t>
  </si>
  <si>
    <t>CATS Calendar UI: Favourite &amp; Copy-Paste issues</t>
  </si>
  <si>
    <t>Fix workflow task title issue</t>
  </si>
  <si>
    <t>CATS Calendar UI: Issues in Editing a record &amp; F4 Help</t>
  </si>
  <si>
    <t>HRMGE0020C displays old checklist items</t>
  </si>
  <si>
    <t>Future IT8 records are deleted during activation</t>
  </si>
  <si>
    <t>Correction of package errors</t>
  </si>
  <si>
    <t>ESS personal Information: Error while saving data</t>
  </si>
  <si>
    <t>Revision of ESS YEA-Process And Form Enhancement</t>
  </si>
  <si>
    <t>[MX] House Number length is insufficient in IT0006 for CE</t>
  </si>
  <si>
    <t>Maximum number of Spouse record value is hardcoded in ESS</t>
  </si>
  <si>
    <t>Employer cannot be changed in CE environment (PG438)</t>
  </si>
  <si>
    <t>IT0909: Error message when displaying infotype due to BOL.</t>
  </si>
  <si>
    <t>IT0021: Title saved as text instead of abbreviation</t>
  </si>
  <si>
    <t>Corrections to Match Error Report</t>
  </si>
  <si>
    <t>Package interface PAOC_IF_PAD_UI_INFTY_0008_XX</t>
  </si>
  <si>
    <t>Package error PAOC_PAD_INFTY_0011</t>
  </si>
  <si>
    <t>PA/OM MasterData App: starting process again fails</t>
  </si>
  <si>
    <t>Tasks Expanded lane - Fix for duplicate Id error</t>
  </si>
  <si>
    <t>Document for multiclient check</t>
  </si>
  <si>
    <t>Approver category in Standard Search Group</t>
  </si>
  <si>
    <t>Advanced search for 'Vacancy Status = Open' returns no hits</t>
  </si>
  <si>
    <t>Delete employee photo in Short Profile does not work</t>
  </si>
  <si>
    <t>Completed drafts are being displayed in Tasks by Drafts lane</t>
  </si>
  <si>
    <t>PM: Neue DataSources für Beurteilungsdokumentinhalt</t>
  </si>
  <si>
    <t>PMP: falsche Mitarbeiterdokumente werden angezeigt</t>
  </si>
  <si>
    <t>PMP: Fehlende Objektberechtigung führt zum Laufzeitfehler</t>
  </si>
  <si>
    <t>PMP: Abbruch beim Löschen eines Mitarbeiterdokumentes</t>
  </si>
  <si>
    <t>Fehlerhafte Anzeige beim Kaskadieren von Zielen</t>
  </si>
  <si>
    <t>BSP Applikation HAP_OVERVIEW: Fehlende Berechtigungsprüfung</t>
  </si>
  <si>
    <t>HRPBCM: BAdI PMN0001 ist nicht für Planstellen verfügbar</t>
  </si>
  <si>
    <t>Splitting of earmarked funds documents on PERNR-level</t>
  </si>
  <si>
    <t>Fehler bei der Berechnung des Finanzierungsbedarfs</t>
  </si>
  <si>
    <t>No "Back" function for selection list in talent gr</t>
  </si>
  <si>
    <t>Talent profil displays incorrect qualifications</t>
  </si>
  <si>
    <t>Talentprofil: Farben in Risiken-Einschätzungsdokument falsch</t>
  </si>
  <si>
    <t>Talentmonitor zeigt keine Talente an</t>
  </si>
  <si>
    <t>Development plan: Manager can add other manager</t>
  </si>
  <si>
    <t>Nomination reason for talent group is displayed incorrectly</t>
  </si>
  <si>
    <t>Handouts of talent review meeting</t>
  </si>
  <si>
    <t>Enable FM HRPDV_DELIMIT_POSITION to consider future dates</t>
  </si>
  <si>
    <t>Short dump in class CL_LSO_TPART_EBO, method GET_LU</t>
  </si>
  <si>
    <t>LPO Renovation: Auto Confirmation/Followup for Online Tests</t>
  </si>
  <si>
    <t>Admin Portal:Unable to Create Course from Keyword search</t>
  </si>
  <si>
    <t>Changing course location does not delete resource assignment</t>
  </si>
  <si>
    <t>Admin Portal: Message is not displayed while prebooking</t>
  </si>
  <si>
    <t>Send Participation Info : Multiple Correspondence Sent.</t>
  </si>
  <si>
    <t>Admin Portal: Error while assigning a schedule model.</t>
  </si>
  <si>
    <t>Factory Calendar of location not considered in Admin portal</t>
  </si>
  <si>
    <t>Checkman error in WebdynPro Component LSO_MC_COURSE</t>
  </si>
  <si>
    <t>Error while creating infotype 5047 for Web Based Training</t>
  </si>
  <si>
    <t>CL_PT_P2012: Dump 'CX_PT_POSTCONDITION_VIOLATED'</t>
  </si>
  <si>
    <t>RPTABS60: Dump CONVT_NO_NUMBER when double-clicking</t>
  </si>
  <si>
    <t>PTMW: Dump for missing Customizing for work schedule rule</t>
  </si>
  <si>
    <t>PTMW: Using special characters in infotype texts</t>
  </si>
  <si>
    <t>Incorrect color displayed in the employee calendar</t>
  </si>
  <si>
    <t>WDABAP: Deducted quota not shown while sending Leave Request</t>
  </si>
  <si>
    <t>ESS REQ: RPTCOREMAIL &amp; RPTARQEMAIL updates II</t>
  </si>
  <si>
    <t>Used Field is displayed incorrectly after deleting a leave</t>
  </si>
  <si>
    <t>RPTARQERR: Not displaying corectly posted records</t>
  </si>
  <si>
    <t>Mass Approval duplicates employee note</t>
  </si>
  <si>
    <t>Note for approver not visible for Clock-In/Clock-Out Approve</t>
  </si>
  <si>
    <t>ESS CICO - additional fields NOT readonly in display mode</t>
  </si>
  <si>
    <t>Incorrect data is shown on overview page on clicking cancel</t>
  </si>
  <si>
    <t>ESS COR: RPTCORTMAIL updates</t>
  </si>
  <si>
    <t>Data is not up-to-date. Exit and reenter the application.</t>
  </si>
  <si>
    <t>Leave request: Title of dialog boxes displayed incorrectly</t>
  </si>
  <si>
    <t>ESS COR: Clock in/out - Error if key-date field is initial</t>
  </si>
  <si>
    <t>IT0002: Feld GESCH fehlt in Struktur HCMT_BSP_PA_AT_R0002</t>
  </si>
  <si>
    <t>RPLSPRQ0_CE doesnt pick the right address</t>
  </si>
  <si>
    <t>CE: Corrections to ETP Whole of income cap Legal change</t>
  </si>
  <si>
    <t>Tax on additional payments incorrect after  Note 1788724</t>
  </si>
  <si>
    <t>Issue in RPLEAVQ0_CE when executed in background</t>
  </si>
  <si>
    <t>CE:Incorrect warning "Future dated record exists"</t>
  </si>
  <si>
    <t>AVERAGE [] table is empty in case of advance pay</t>
  </si>
  <si>
    <t>Regression issues Renewal CA</t>
  </si>
  <si>
    <t>YE12:Corrections to the YE report for CE</t>
  </si>
  <si>
    <t>HR CH: Error when activating HRFORMS forms</t>
  </si>
  <si>
    <t>Tax Simplifier - Income from Other Sources and Payslips</t>
  </si>
  <si>
    <t>Customer Specific PDF Form Configuration For Tax Simplifier</t>
  </si>
  <si>
    <t>HINUINFU: IT0585 &amp; IT0586 Not Updated with AFY Active</t>
  </si>
  <si>
    <t>E-Separation - Error while saving request</t>
  </si>
  <si>
    <t>Tax Simplifier Statement - Additional Payments</t>
  </si>
  <si>
    <t>HR-RU CE: doubled records in BT_PERSON for garnishment</t>
  </si>
  <si>
    <t>TR: PDF forms incorrectly displayed in Online W-2</t>
  </si>
  <si>
    <t>MPSD: Error during a payroll run</t>
  </si>
  <si>
    <t>Off-Cycle: Runtime error when you run Adjustment Payment</t>
  </si>
  <si>
    <t>Delimitation for Pocket Money, Public and Local Transport</t>
  </si>
  <si>
    <t>CZ: Incorrect per diems in foreign trip</t>
  </si>
  <si>
    <t>Poland exchange rate error issue</t>
  </si>
  <si>
    <t>PL: Legal changes valid from 1.3.2013</t>
  </si>
  <si>
    <t>PL: Legal changes valid from 1.3.2013, update</t>
  </si>
  <si>
    <t>PL: Legal changes valid from 1.3.2013, update II</t>
  </si>
  <si>
    <t>Short profile Title.</t>
  </si>
  <si>
    <t>Infinite loop in Employee Profile when High end date used</t>
  </si>
  <si>
    <t>HRMSS_BDAY_ANNIVERSARIES CODE REVIEW</t>
  </si>
  <si>
    <t>HRMSS_PERSON_EVAL_PATH</t>
  </si>
  <si>
    <t>Incorrect Breadcrumb View on MSS Home Page &amp; Team Detail</t>
  </si>
  <si>
    <t>HRMSS_SIDE_BY_SIDE is caching the memory-id</t>
  </si>
  <si>
    <t>Birthday &amp; Annivarsaries information is inconsistent</t>
  </si>
  <si>
    <t>HTML Form: ~ sign appears in comments when the text is long</t>
  </si>
  <si>
    <t>ABAP Web:The label of end date is visible even after FC set</t>
  </si>
  <si>
    <t>Web: personnal number is not reset leaving travel assistant</t>
  </si>
  <si>
    <t>SAP easy access menu does not have payment medium workbench</t>
  </si>
  <si>
    <t>[CDF3] Errors while importing CC data in CDF3 format</t>
  </si>
  <si>
    <t>Company Internal Participant accepted with deactivated pernr</t>
  </si>
  <si>
    <t>AT: Delta-Upload neuer Gemeinekennziffern: falscher Stichtag</t>
  </si>
  <si>
    <t>RPRTEC00: Wrong wage type for meals docs paid by company</t>
  </si>
  <si>
    <t>PR05: No entry in T549Q after change of personnel number</t>
  </si>
  <si>
    <t>WD ABAP: Address field is not set as mandatory and grey</t>
  </si>
  <si>
    <t>DE: HTML trip form: meal discounts appear incorrectly</t>
  </si>
  <si>
    <t>Maximum rate per diem check with foreign currency</t>
  </si>
  <si>
    <t>Reiseunterbrechung und 16-08 Uhr Regel</t>
  </si>
  <si>
    <t>Web: Defaults for start and end time have no effect</t>
  </si>
  <si>
    <t>Web: Error message due to currency translation</t>
  </si>
  <si>
    <t>Web: Identical cost assignment items are lost</t>
  </si>
  <si>
    <t>DZ:fehlerhafte Versteuerung einer DZ-Periode mit Abwesenheit</t>
  </si>
  <si>
    <t>TG: Betrag des Kappungsbelegs im Formular nicht korrekt</t>
  </si>
  <si>
    <t>DZ: Falsche Anrechnung parallel.DR mit Ende am Reduktionstag</t>
  </si>
  <si>
    <t>PS: Formular: falsche Anzeige bei fikt. Abwesenheit m. Beib.</t>
  </si>
  <si>
    <t>Formular: Überschrift Tagegeld fehlt bei fiktiven AV ohne DA</t>
  </si>
  <si>
    <t>Ergänzung zu Hinweis 1833168</t>
  </si>
  <si>
    <t>TG: Fehlermeldung bzgl. UEBPA bei unentgeltlicher Unterkunft</t>
  </si>
  <si>
    <t>Abwesenheiten der falschen Periode im Periodenmanager TGPER</t>
  </si>
  <si>
    <t>LRKG Sachsen :Pauschalen und Sachbezüge ab 01.01.13</t>
  </si>
  <si>
    <t>Vergl. TR/AV: Berechnung Ende fiktives Trennungsreisegeld</t>
  </si>
  <si>
    <t>Web ABAP: inconsistency in number of hotels using map</t>
  </si>
  <si>
    <t>Web Travel : search car at specific branch fails</t>
  </si>
  <si>
    <t>Web Travel: FTPT_FLIGHT_TSTK wrongly filled with Low Cost</t>
  </si>
  <si>
    <t>eTravel : correction in profile synchronization</t>
  </si>
  <si>
    <t>LCC flag is not updated after eTravel synchronization</t>
  </si>
  <si>
    <t>Mobile phone not taken into account in GT profile upload</t>
  </si>
  <si>
    <t>Incorrect processing status set for back to author(FPM form)</t>
  </si>
  <si>
    <t>Plan Create: Improve Performance</t>
  </si>
  <si>
    <t>WD Det. Planning: Convert Currency, Change Plan or Cost Unit</t>
  </si>
  <si>
    <t>Incorrect processing of CI_P0759 fields on Planning UI</t>
  </si>
  <si>
    <t>Resolution dropdown list doesn't support multiple languages</t>
  </si>
  <si>
    <t>Issue with creating new activity when using Vendor</t>
  </si>
  <si>
    <t>Inconsistency in employee search if multiple criteria used</t>
  </si>
  <si>
    <t>E-Recruiting: Integration</t>
  </si>
  <si>
    <t>Read only parameter of persinfo is set,still pernr is locked</t>
  </si>
  <si>
    <t>ESS: Dump in portal if no authorization for a subtype</t>
  </si>
  <si>
    <t>ESS WDA: Search for bank key using japanese characters</t>
  </si>
  <si>
    <t>CATS: Release View Button disabled</t>
  </si>
  <si>
    <t>Runtime error while saving text details for IT706 / host</t>
  </si>
  <si>
    <t>Accessibility Changes - HR_MGE_GECCO and HR_CMP_TCS</t>
  </si>
  <si>
    <t>HCM Renovation: PERNR keeps locked at infotype 1001 011</t>
  </si>
  <si>
    <t>Business logic class for IT424 is available</t>
  </si>
  <si>
    <t>Incorrect case number(CASNO) in class CL_HRPA_INFOTYPE_0424</t>
  </si>
  <si>
    <t>Duplicate Entries in Communication Type on ESS HK Page</t>
  </si>
  <si>
    <t>Cannot Create New Family Members Data in ESS</t>
  </si>
  <si>
    <t>Advanced Claim Malaysia: Country specific eligibility checks</t>
  </si>
  <si>
    <t>FSSDP: Reports does not select employees</t>
  </si>
  <si>
    <t>HRULRSV1: fields format in xml</t>
  </si>
  <si>
    <t>PA-PA-VE</t>
  </si>
  <si>
    <t>[VE] Decoupling Classes Maintenance</t>
  </si>
  <si>
    <t>IT0014/IT0015: Wage type amount is overwritten</t>
  </si>
  <si>
    <t>Global Employment:Corrections for Archiving Object HRPA_MGE</t>
  </si>
  <si>
    <t>IBAN: Bank data is overwritten by generated IBAN</t>
  </si>
  <si>
    <t>HR_PAD_HIRE_EMPLOYEE: Besetzungsprozentsatz immer 0%</t>
  </si>
  <si>
    <t>IT0008: Annual salary is not calculated correctly</t>
  </si>
  <si>
    <t>HCM Search OData Service: Remove Dependency</t>
  </si>
  <si>
    <t>Search help HRBAS_OBJID takes a long time</t>
  </si>
  <si>
    <t>BF HCM_PAO_CI_1 should not be checked for Employee Central</t>
  </si>
  <si>
    <t>Unvollständige F4-Hilfe bei Aktualisierung von Zielen</t>
  </si>
  <si>
    <t>PMP: Kein obligatorisches Trainingsprogramm möglich</t>
  </si>
  <si>
    <t>Fehlerkorrekturen zur Mischfinanzierung</t>
  </si>
  <si>
    <t>HRPBCM: Inkonsistente Datensätze bei Änderung Finanzierung</t>
  </si>
  <si>
    <t>0PSM_PBC_01: Delta update for deleted lines does not work</t>
  </si>
  <si>
    <t>Short Dump ASSERTION_FAILED during commitment creation</t>
  </si>
  <si>
    <t>Diverse Fehler bei Bearbeitung von Sperrvermerken</t>
  </si>
  <si>
    <t>No message if document is locked by another user</t>
  </si>
  <si>
    <t>Termination when saving in Succession Planning</t>
  </si>
  <si>
    <t>Creating a "Potential" process w/o active change p</t>
  </si>
  <si>
    <t>Required Entry input option for copied form</t>
  </si>
  <si>
    <t>Use static badi reference for authorization check in TM</t>
  </si>
  <si>
    <t>Performance issue in FM LSOTAC_LA_GET_ASSESSRESULTS.</t>
  </si>
  <si>
    <t>Error during booking in learning portal when CE is active.</t>
  </si>
  <si>
    <t>No warning issued when user selects obsolete content</t>
  </si>
  <si>
    <t>Admin Portal: Infotype 1030 not read during follow-up.</t>
  </si>
  <si>
    <t>RHPPROGRS_LSO:Status of individual courses are not displayed</t>
  </si>
  <si>
    <t>Admin Portal: Incorrect display of Course Catalog.</t>
  </si>
  <si>
    <t>Error "Enter A valid participant" while executing</t>
  </si>
  <si>
    <t>Correspondence: Incorrect display of Description infotype.</t>
  </si>
  <si>
    <t>Incorrect Display of Name and Abbreviation of Org Unit.</t>
  </si>
  <si>
    <t>Locked courses are displayed in admin portal while rebooking</t>
  </si>
  <si>
    <t>RPTIME01: Error during operation COMOT</t>
  </si>
  <si>
    <t>Short dump while executing HRFORMS Time Statement</t>
  </si>
  <si>
    <t>HRFORMS Time Statement - Attendance printed more than once</t>
  </si>
  <si>
    <t>HRFORMS Time Statement Dump - TSV_TNEW_PAGE_ALLOC_FAILED</t>
  </si>
  <si>
    <t>Att.quota table missing in time statement form</t>
  </si>
  <si>
    <t>Problem with sorting of Time Pairs in HRFORMS Time Statement</t>
  </si>
  <si>
    <t>'Printout of recalculation' - Default Option not working</t>
  </si>
  <si>
    <t>Wrong text in Time Statement SAP_TIM_99_0003</t>
  </si>
  <si>
    <t>Deletion of a posted leave for which delete operation exists</t>
  </si>
  <si>
    <t>Time accounts display incorrect for on behalf scenario</t>
  </si>
  <si>
    <t>Incorrect initiator of leave request is stored</t>
  </si>
  <si>
    <t>Not able to change approver during cancellation of leave req</t>
  </si>
  <si>
    <t>Performance issue in team calendar</t>
  </si>
  <si>
    <t>Work Protection mode - SAP_EMPLOYEE_ESS_WDA_1</t>
  </si>
  <si>
    <t>Mass approval  for leave getting dump error</t>
  </si>
  <si>
    <t>Manager not able to apply leave for an employee</t>
  </si>
  <si>
    <t>Error in Leave Provision for employee with multiple assign.</t>
  </si>
  <si>
    <t>Termination organizer corrections</t>
  </si>
  <si>
    <t>HR-IT: Corrections for infotype decoupling classes.</t>
  </si>
  <si>
    <t>Import of off-cycle run in regular run for several contracts</t>
  </si>
  <si>
    <t>Short Dump in Function RUAVC at Processing of Fired Contract</t>
  </si>
  <si>
    <t>CE: Check for non-payroll-rel. payroll area is incomplete</t>
  </si>
  <si>
    <t>MPSD: incorrect BEGDA/ENDDA for each pernr in GROUPING Table</t>
  </si>
  <si>
    <t>MPSD: Garnishment WTs (/G0*) disappear after retro pay run</t>
  </si>
  <si>
    <t>Performance Issue</t>
  </si>
  <si>
    <t>payroll results are not saved after successful payroll run</t>
  </si>
  <si>
    <t>No value is assigned to global variable CALC_CURRENCY_ORIG</t>
  </si>
  <si>
    <t>CE: Prüfung auf Abrechnungskreiswechsel nicht vollständig(4)</t>
  </si>
  <si>
    <t>Country exit for payroll function EXPRT</t>
  </si>
  <si>
    <t>RPCIPE00_OLD_CE: MPSD grouping reason (gpval)</t>
  </si>
  <si>
    <t>Reference date and calendar</t>
  </si>
  <si>
    <t>PL: Legal changes valid from 1.3.2013, update III</t>
  </si>
  <si>
    <t>Reference date change (EXCHANGE_DATE)</t>
  </si>
  <si>
    <t>SK: Default reference date is 01.00.0000</t>
  </si>
  <si>
    <t>SAPK-60712INEAHR</t>
  </si>
  <si>
    <t>SAPK-60713INEAHR</t>
  </si>
  <si>
    <t>OTRAINING_ATTR: dump "TSV_TNEW_PAGE_ALLOC_FAILED"</t>
  </si>
  <si>
    <t>Extractor 0HR_LSO_1 does not extract all the records</t>
  </si>
  <si>
    <t>Duplicate node error in 0TRAINTYPE_ATTR</t>
  </si>
  <si>
    <t>Incorrect course program displayed in 0TRAINING_ATTR</t>
  </si>
  <si>
    <t>0HR_LSO_2 doea not extract all the records</t>
  </si>
  <si>
    <t>Missing day in deadline monitor</t>
  </si>
  <si>
    <t>CATSWDA: Forecast finish date format error in details screen</t>
  </si>
  <si>
    <t>In Java CATS the suboperation gets cleared upon refresh.</t>
  </si>
  <si>
    <t>Missing WBS element column in MSS approval application</t>
  </si>
  <si>
    <t>Task level and Task component columns are shown incorrect</t>
  </si>
  <si>
    <t>Enabling POWL filter and sorting for CATS approval query</t>
  </si>
  <si>
    <t>Switching between the profile changes the data entry period</t>
  </si>
  <si>
    <t>Print timesheet does not include bundled vacation hours</t>
  </si>
  <si>
    <t>CATS ESS: Copy from target hours issue</t>
  </si>
  <si>
    <t>WDA CATS: system dump when changing profile in daily view</t>
  </si>
  <si>
    <t>TRIP: There is a gap between Mileage and Expenses subscreen</t>
  </si>
  <si>
    <t>Sweden:PDF form does not show mileage reimbursement</t>
  </si>
  <si>
    <t>PS-DE: RUW gelöscht beim Ändern v. übergeleiteter Reise</t>
  </si>
  <si>
    <t>Web: Change of travel requests after creating expense report</t>
  </si>
  <si>
    <t>XI Credit card clearing: Wrong exchange rate in PTRV_CCC</t>
  </si>
  <si>
    <t>Web: CX_SY_ARITHMETIC_OVERFLOW with number</t>
  </si>
  <si>
    <t>Web: Infotyp '0001' zum 00.00.0000 nicht vorhanden</t>
  </si>
  <si>
    <t>PR05, TRIP: Service provider in Receipt Wizard</t>
  </si>
  <si>
    <t>PREC: Error from validation of master account assignment</t>
  </si>
  <si>
    <t>Web: Trip activity type planning for further destinations</t>
  </si>
  <si>
    <t>PR05/TRIP: Fehler in Berechtigungsprüfung</t>
  </si>
  <si>
    <t>Web, PR05: Default value for exchange rate</t>
  </si>
  <si>
    <t>Web: No requests/plans displayed with only one schema</t>
  </si>
  <si>
    <t>Web: Confusing error message when you start the application</t>
  </si>
  <si>
    <t>PRRW: New features for posting run administration</t>
  </si>
  <si>
    <t>EES: Company code " " does not exist</t>
  </si>
  <si>
    <t>Web: No further message when changing posted trips</t>
  </si>
  <si>
    <t>Dump bei der Viewpflege zum View V_T706_TEXTNAMES</t>
  </si>
  <si>
    <t>PRRW: Status of canceled trip after discarding</t>
  </si>
  <si>
    <t>PR05: No warning for region during schema change</t>
  </si>
  <si>
    <t>PRRW: After cancellation, non-posted documents not deleted</t>
  </si>
  <si>
    <t>Web: Umsatzsteuerdetails nicht eingebbar</t>
  </si>
  <si>
    <t>EES: User-def. text + passengers from prev. trip as default</t>
  </si>
  <si>
    <t>TG: Verschachtelte Trennungsgeldmaßnahmen</t>
  </si>
  <si>
    <t>PS DE: Hinzurechnung und Sachbezugsbeleg</t>
  </si>
  <si>
    <t>TRG: Anrechnungsverfahren für parallele Dienstreisen</t>
  </si>
  <si>
    <t>TG/DZ: veraltete Erstattungsbeträge in den Statistikdaten</t>
  </si>
  <si>
    <t>PS DE: Formular: Ergänzung zu Hinweisen 1765992 und 1774979</t>
  </si>
  <si>
    <t>PR02: Deductions are not saved</t>
  </si>
  <si>
    <t>PS DE: Unterkunftsbeleg mit Meldung FITVPS729</t>
  </si>
  <si>
    <t>Falscher Betrag bei Kappung aufgrund fiktivem ausw.Verbleib</t>
  </si>
  <si>
    <t>Fehler in TGMOD 'andere TG-Maßnahme/andere DZ' und Abbrechen</t>
  </si>
  <si>
    <t>LRKG: Bayern Hinzurechnung und Sachbezugsbeleg II</t>
  </si>
  <si>
    <t>TG: Abwesenheiten für abhängige Abordnungen manuell löschbar</t>
  </si>
  <si>
    <t>Reise simulieren: Ablehnung bei fehlender Stammkostenstelle</t>
  </si>
  <si>
    <t>Formular TG: kein Andruck Bemerkungen der Vergleichsrechnung</t>
  </si>
  <si>
    <t>Bayern: Formular Vergl.rechnung - falsche Überschrift</t>
  </si>
  <si>
    <t>PS DE: Drittmittelbelege und Werbungskosten</t>
  </si>
  <si>
    <t>PS DE: TG Formular Vergleichsrechnung: falsche Überschrift</t>
  </si>
  <si>
    <t>eTravel: deletion of cancelled PNR does not work</t>
  </si>
  <si>
    <t>E-Travel : Deletion of  a travel Plan with cancelled PNR</t>
  </si>
  <si>
    <t>Creation of service request: Additional controls</t>
  </si>
  <si>
    <t>Web Travel : Bahncard not taken into account</t>
  </si>
  <si>
    <t>New eTravel WS for trip cancellation</t>
  </si>
  <si>
    <t>E-Travel : Plan status is wrong when booking German Train</t>
  </si>
  <si>
    <t>E-Travel : correction in Deletion of PNR</t>
  </si>
  <si>
    <t>Message logging dumps</t>
  </si>
  <si>
    <t>Authorization related corrections for new process browser</t>
  </si>
  <si>
    <t>Input helps processed during SEND operation</t>
  </si>
  <si>
    <t>EhP7_SP01 MP:Wrong success Message appearing for download</t>
  </si>
  <si>
    <t>Data loss in Adobe form for the drop down fields</t>
  </si>
  <si>
    <t>UI attributes enhancements for FPM form configurations</t>
  </si>
  <si>
    <t>Employee search in start application shows wrong result list</t>
  </si>
  <si>
    <t>Employee search shows wrong result for Not Equal to operator</t>
  </si>
  <si>
    <t>Dump occurs when user enters random values in org id field</t>
  </si>
  <si>
    <t>FPM forms - Input help search results not filtered correctly</t>
  </si>
  <si>
    <t>EREC:changes to proc select appl toshow proc's of Fpm &amp;</t>
  </si>
  <si>
    <t>Error in PD adapter when switch HR Admin Functions-06 is OFF</t>
  </si>
  <si>
    <t>PECM_START_JPR_BSP: Neagative values in Graphic</t>
  </si>
  <si>
    <t>Multiple UI issues resulting from old DESIGN2002</t>
  </si>
  <si>
    <t>EIC: Authentication questions are not filtered in ESS.</t>
  </si>
  <si>
    <t>CATS Calendar UI: No dataloss popup after Copy Previous Week</t>
  </si>
  <si>
    <t>IT0001: Missing parameters MASSN/MASSG in conversion class</t>
  </si>
  <si>
    <t>ESS: Familie/Bezugsperson - Geschlecht des Kindes</t>
  </si>
  <si>
    <t>TNM, runtime error using the "Reg. Comp." view (LS</t>
  </si>
  <si>
    <t>PA-PA-GB: Postal code cannot be changed on ESS IT0006</t>
  </si>
  <si>
    <t>ESS: Basic Pay IT0008 details are inconsistent</t>
  </si>
  <si>
    <t>Income from Other Sources - IT declarations</t>
  </si>
  <si>
    <t>New ITF: Incorrect check for Infotype Fiscal Data NL</t>
  </si>
  <si>
    <t>HRULRSV1: field length in part 1 of pdf form</t>
  </si>
  <si>
    <t>ESS: Search help for nationality in infotype 0021</t>
  </si>
  <si>
    <t>IT0006:Phone numbers do not display dash in ESS Address</t>
  </si>
  <si>
    <t>IT0009: Bank details texts are not being displayed</t>
  </si>
  <si>
    <t>IT0006_CE: Cannot hide field labels.</t>
  </si>
  <si>
    <t>Employee profile for employees hired in future or past</t>
  </si>
  <si>
    <t>GET_URL_TO_MASTERDATA_APP API is not returning the URL</t>
  </si>
  <si>
    <t>HCM Search Page is not displayed</t>
  </si>
  <si>
    <t>Delete and Update of photo is not working correctly</t>
  </si>
  <si>
    <t>HCM Renovation: BOL Language Dependent Infotypes</t>
  </si>
  <si>
    <t>Landing Page Script Error in the intial load</t>
  </si>
  <si>
    <t>Tasks Navigation in BPM inbox is not working</t>
  </si>
  <si>
    <t>Filter in processes lane giving wrong values</t>
  </si>
  <si>
    <t>HCM Renovation: Fields are read only</t>
  </si>
  <si>
    <t>HCM Renovation: Wrong namespace for table T77UICONVCLASS</t>
  </si>
  <si>
    <t>PMP: Adjust competencies setting is missing on detail page</t>
  </si>
  <si>
    <t>PMP: Lange Laufzeit bei Mitarbeiterdokumente</t>
  </si>
  <si>
    <t>PM: Teams goals are not added to document</t>
  </si>
  <si>
    <t>PMP: Appraisal process is deleted during saving</t>
  </si>
  <si>
    <t>HRPBCM: Fehler bei Struktursuche nach BU-Elementen</t>
  </si>
  <si>
    <t>Fehlende Inhalte im Handout zum Talentprofil</t>
  </si>
  <si>
    <t>Termination when creating potential</t>
  </si>
  <si>
    <t>Performance improvement when reading talent data</t>
  </si>
  <si>
    <t>TMC: Competency scale in development plan document</t>
  </si>
  <si>
    <t>Switching to "Talent Assessment" tab page takes a</t>
  </si>
  <si>
    <t>Consider search attributes for potential since note 1773085</t>
  </si>
  <si>
    <t>Consider warning for high data amount since note 1773085</t>
  </si>
  <si>
    <t>Fehler beim Aktualisieren der Entwicklungsplanübersicht</t>
  </si>
  <si>
    <t>Scorm tables gets updated for completed courses</t>
  </si>
  <si>
    <t>Incorrect course type deleted in the appraisal document</t>
  </si>
  <si>
    <t>Search with * in between characters does not work</t>
  </si>
  <si>
    <t>WD ABAP Learner Portal-BADI LSO_CHECK_BOOKING messages issue</t>
  </si>
  <si>
    <t>WD ABAP LPO-objects are displayed in favorites after delete.</t>
  </si>
  <si>
    <t>LSOWD: Dump in admin portal while creating course</t>
  </si>
  <si>
    <t>LSO AICC CMI Data element to send UserID</t>
  </si>
  <si>
    <t>LSO: Performance issue with follow-up of course programs</t>
  </si>
  <si>
    <t>Wrong error message when prices not maintained.</t>
  </si>
  <si>
    <t>LSO: Access counter for static WBT</t>
  </si>
  <si>
    <t>Report RHCPRI00_LSO does not work for planned courses</t>
  </si>
  <si>
    <t>Performance issue in displaying course catalog in portal</t>
  </si>
  <si>
    <t>Activity allocation details in KB21N is incorrect</t>
  </si>
  <si>
    <t>Admin Portal: Short dump during change resource schedule</t>
  </si>
  <si>
    <t>Capacity indicator has incorrect value in course worklist</t>
  </si>
  <si>
    <t>Unable to delete row in settlement details</t>
  </si>
  <si>
    <t>Add resource in Admin Portal retrieves duplicates</t>
  </si>
  <si>
    <t>Booking to a curriculum/course program throws an error</t>
  </si>
  <si>
    <t>Course program subscription end date not consistent</t>
  </si>
  <si>
    <t>Participation Statistics report does not display data</t>
  </si>
  <si>
    <t>Changing name formats for external participants in LSO</t>
  </si>
  <si>
    <t>Only planned courses displayed in Alert Monitor</t>
  </si>
  <si>
    <t>Error when performing a course follow up</t>
  </si>
  <si>
    <t>Incorrect details displayed while executing RHPPROGRS_LSO</t>
  </si>
  <si>
    <t>Courses can be locked from admin portal</t>
  </si>
  <si>
    <t>Incorrect message while replacing participant for a course</t>
  </si>
  <si>
    <t>Manage Participants: Arithmetic Overflow runtime error</t>
  </si>
  <si>
    <t>Incorrect authorization checks while followup</t>
  </si>
  <si>
    <t>Followup: Fail reason maintained when course has been passed</t>
  </si>
  <si>
    <t>ESS LEA: Absences w/end date 31.12.9999 not in team calendar</t>
  </si>
  <si>
    <t>Leave Request Approval: Incorrect clock times</t>
  </si>
  <si>
    <t>Time accounts application shows incorrect data</t>
  </si>
  <si>
    <t>ESS LEA: Performance improvement while determinig rule group</t>
  </si>
  <si>
    <t>ESS LEA: approver clicks on date in cal, req.display changes</t>
  </si>
  <si>
    <t>Sorting disabled in MSS POWL query for Clock-in/clock-out</t>
  </si>
  <si>
    <t>Clock In/Out : Message  HRTIM_ABS_REQ  135 is always display</t>
  </si>
  <si>
    <t>ESS LEA ESS COR: Substitution for Emails uses wrong task</t>
  </si>
  <si>
    <t>ESS COR : date format not according to user defaults</t>
  </si>
  <si>
    <t>LEA: Slow performance when opening or creating a Leave Req.</t>
  </si>
  <si>
    <t>ESS COR: RPTCORPOST Testrun not working</t>
  </si>
  <si>
    <t>Clock In/Out : Work protection mode is not working</t>
  </si>
  <si>
    <t>Team Calender is not displaying Travel info for all months</t>
  </si>
  <si>
    <t>Runtime error in Clock In/Out application</t>
  </si>
  <si>
    <t>SARA: Archive Log shows "Test Mode" despite produc</t>
  </si>
  <si>
    <t>No error message in case main assignment is not maintained</t>
  </si>
  <si>
    <t>CE:Retro termination handling issue</t>
  </si>
  <si>
    <t>CE: Multiple hiring case /TTP not created correctly</t>
  </si>
  <si>
    <t>Termination Organizer: Invalidity segment issue</t>
  </si>
  <si>
    <t>CE:/106 Wage type does not cummulate Excluded ETP payments</t>
  </si>
  <si>
    <t>CE /TTP does not include /106 of terminated assignment</t>
  </si>
  <si>
    <t>Multiple hire fire case change in /TTP value</t>
  </si>
  <si>
    <t>Date override issues for multiple assignments</t>
  </si>
  <si>
    <t>QTERP payroll operation changes</t>
  </si>
  <si>
    <t>Correction to NAT 3348 Legal change 2013, Bonus solution</t>
  </si>
  <si>
    <t>ESS: The F4 values displayed are inconsistent in IT0002</t>
  </si>
  <si>
    <t>IT Declarations - House Property and Previous Employment</t>
  </si>
  <si>
    <t>ESS: Loan Special Repayment Validation</t>
  </si>
  <si>
    <t>Corrections for infotype decoupling classes. Non ESS</t>
  </si>
  <si>
    <t>Syntax error in report HMXCEDT0_CE</t>
  </si>
  <si>
    <t>HRNO:ESS Update of NAV office from postal code IT0006 [1/2]</t>
  </si>
  <si>
    <t>HRNO:ESS Update of NAV office from postal code IT0006 [2/2]</t>
  </si>
  <si>
    <t>NPO Sort corrections</t>
  </si>
  <si>
    <t>Performance issue while calling FM 'HRF_ABS_QUOTAS_NZ'</t>
  </si>
  <si>
    <t>PY-RU_CE: NDFL: Incorrect instructions in Payroll Rule RUEF</t>
  </si>
  <si>
    <t>HR-RU_CE: Function RUPRT N does not Import All Required Data</t>
  </si>
  <si>
    <t>HR-RU: RUPRI wrong limit deduction groups if postal fee</t>
  </si>
  <si>
    <t>HRSE_CE: sickness qualif. day full deduction 10x in 365 days</t>
  </si>
  <si>
    <t>Enhancement to ESS Legal Forms for Taiwan</t>
  </si>
  <si>
    <t>USCLM: Reversal of payroll results does not clear CLM for CE</t>
  </si>
  <si>
    <t>HRFORMS - Alternative Currency doesn't get displayed in outp</t>
  </si>
  <si>
    <t>HRFORMS: Old Cost Center Text displayed when viewed from OCW</t>
  </si>
  <si>
    <t>HRFORMS : IBAN is not formatted</t>
  </si>
  <si>
    <t>Short dump in Pay stub on CE-ESS</t>
  </si>
  <si>
    <t>XX-CSC-NL</t>
  </si>
  <si>
    <t>EA-HRCNL: Net/Gross Calculation for NL Pens. in HCM</t>
  </si>
  <si>
    <t>Reimbursement amount for juurney is not calculated correct</t>
  </si>
  <si>
    <t>PL: Meal per diem, time interval</t>
  </si>
  <si>
    <t>Poland deduction on simulation</t>
  </si>
  <si>
    <t>New option for Reference Day</t>
  </si>
  <si>
    <t>SK: Rounding deduction of meals</t>
  </si>
  <si>
    <t>SK: Error in reference date if advance payment exists</t>
  </si>
  <si>
    <t>Correction of translation of 'Expense Reports'</t>
  </si>
  <si>
    <t>SAPK-60714INEAHR</t>
  </si>
  <si>
    <t>Einschränkungen zu HCM MSS Analytics aus HCM Renewal FP 4</t>
  </si>
  <si>
    <t>OTYPE check in Function Module HRMSS_PERSON_EVAL_PATH_OPT</t>
  </si>
  <si>
    <t>CATSWD: Incorrect calender marking w.r.t the color legends</t>
  </si>
  <si>
    <t>MSS: "Save and Back" and "Cancel" button</t>
  </si>
  <si>
    <t>MSS: Runtime error when user navigates to details screen</t>
  </si>
  <si>
    <t>Runtime error when user changes the views - manager approval</t>
  </si>
  <si>
    <t>CATS MSS : Incorrect refresh of views in MSS Approval WDA</t>
  </si>
  <si>
    <t>CATS MSS : Incorrect display of approved times in MSS WDA</t>
  </si>
  <si>
    <t>Paste button behaves incorrectly in CATS WDA</t>
  </si>
  <si>
    <t>CATSWD: Absence sum missing in daily view</t>
  </si>
  <si>
    <t>Mutiple issues in CATS web dynpro ABAP</t>
  </si>
  <si>
    <t>Travel req.: PDF form - I am car pool driver wrong checkmark</t>
  </si>
  <si>
    <t>AT: Substitutions and combinations of community code numbers</t>
  </si>
  <si>
    <t>WEB: Reference Date (PTRV_DATTN) is not refreshed and empty</t>
  </si>
  <si>
    <t>NO: V0Split entry for trip type 'Private'</t>
  </si>
  <si>
    <t>Web: Defaults for exchange rates and receipt date change</t>
  </si>
  <si>
    <t>Trip break and 4:00 p.m.-8:00 a.m. rule, part 2</t>
  </si>
  <si>
    <t>AT: Upload replacements/combinations of community code nos</t>
  </si>
  <si>
    <t>Dump OBJECTS_OBJREF_NOT_ASSIGNED MILEAGE.FUEL_PR_READ_ONLY</t>
  </si>
  <si>
    <t>Web: Address check for country not supported</t>
  </si>
  <si>
    <t>TRIP: No authorization to change a report</t>
  </si>
  <si>
    <t>PR05: Double-click of travel request causes incorrect resp.</t>
  </si>
  <si>
    <t>WEB: Adresskategorien pers. Hilfe in den Weiteren Zielen</t>
  </si>
  <si>
    <t>Abw. mit Beibeh. entgelt. Unterkunft Ü-Pauschale steuerfrei</t>
  </si>
  <si>
    <t>Kappungbetrag Unterkunft falsch: Abwesenheit mit entgelt. U.</t>
  </si>
  <si>
    <t>LRKG Bayern: Pauschaler Steuerfreibetrag ÜG bei Abwesenheit</t>
  </si>
  <si>
    <t>TGPER Simulation v. innen: fehlerhafte Erstattung Wegstrecke</t>
  </si>
  <si>
    <t>RPTTDORL - löscht keine Vergleichsperioden (größer 800)</t>
  </si>
  <si>
    <t>Formular: negativer ÜG-Anteil für fiktive DA mit unentg. Unt</t>
  </si>
  <si>
    <t>TRG: Keine Werbungskosten bei Kappungsbelege (dauerh. Ausw.)</t>
  </si>
  <si>
    <t>Ergänzung zu Hinweis 1837055</t>
  </si>
  <si>
    <t>TGPER: TG tägl. Kehre: Keine Erstattung steuerpfl. Belege</t>
  </si>
  <si>
    <t>AT: No verification of gratuitous overnight stays</t>
  </si>
  <si>
    <t>WD ABAP Search for cars at an airport returns no message</t>
  </si>
  <si>
    <t>Web Travel: link for hotel list does not react</t>
  </si>
  <si>
    <t>Web Travel : wrong agency name in car review</t>
  </si>
  <si>
    <t>eTravel: Car agency location name is not correct</t>
  </si>
  <si>
    <t>Impossible to book a room in HRS V5</t>
  </si>
  <si>
    <t>New parameters date and time available for GET_GETTHERE_PNR</t>
  </si>
  <si>
    <t>Create Message Handler for CL_HRBAS_MESSAGE_LIST</t>
  </si>
  <si>
    <t>Performance issue in process browser</t>
  </si>
  <si>
    <t>MSS Form is blank when Send Back to Author by HR Admin</t>
  </si>
  <si>
    <t>Duplicate comments in the comments section of FPM forms</t>
  </si>
  <si>
    <t>No Data loading for Nakisa organization chart</t>
  </si>
  <si>
    <t>Problem with switch HRASR_SFWS_UI_ENH_09</t>
  </si>
  <si>
    <t>DT: Allignment issues with FPM form configuration</t>
  </si>
  <si>
    <t>Wrong popup when deleting an infotype from a backend service</t>
  </si>
  <si>
    <t>HCM Roadmap Formular: Infotype 0001 Felder eingabefähig</t>
  </si>
  <si>
    <t>New browser context AFFECTED_INITIATOR_PA_OBJECT for MSS</t>
  </si>
  <si>
    <t>Error in check method</t>
  </si>
  <si>
    <t>Error in subtype retreival</t>
  </si>
  <si>
    <t>UI attributes not set correctly when approve step is used</t>
  </si>
  <si>
    <t>Withdraw button not visible always for FPM forms</t>
  </si>
  <si>
    <t>WD Det. Planning: Hide/Display Amount/Number in User Layout</t>
  </si>
  <si>
    <t>WD Detail Planning: Runtime Error at Filter Column with Icon</t>
  </si>
  <si>
    <t>ECM Workflow performance issues</t>
  </si>
  <si>
    <t>Submit button remains deactivated using submit note</t>
  </si>
  <si>
    <t>P0001-JUPER field cannot be hidden with decoupled infotype</t>
  </si>
  <si>
    <t>HR CH: Renewal, IT0006, Communication Short Descr. missing</t>
  </si>
  <si>
    <t>HR CH: Renewal, IT0002, Familienstand in falscher Sprache</t>
  </si>
  <si>
    <t>Mass Data Change</t>
  </si>
  <si>
    <t>PM Objective Library</t>
  </si>
  <si>
    <t>Correction for Mass Data Change</t>
  </si>
  <si>
    <t>TNM: LSO integration, fix for "ITAB_DUPLICATE_KEY"</t>
  </si>
  <si>
    <t>GB: IT0065 CE</t>
  </si>
  <si>
    <t>Revision of ESS YEA Enhancement Phase 3</t>
  </si>
  <si>
    <t>RPTFWSDBVIEW Returns No Records</t>
  </si>
  <si>
    <t>HR Renewal: Field showing key instead of text on IT0008</t>
  </si>
  <si>
    <t>HR Renewal: Layout changes on IT0014 screen</t>
  </si>
  <si>
    <t>Add IT0185 in HR Renewal and IT3531&amp;3534 on Landing Page</t>
  </si>
  <si>
    <t>HRPAD BOL Generation Report: not asking for Access Key</t>
  </si>
  <si>
    <t>Error messages repeated in the IT Name and Description</t>
  </si>
  <si>
    <t>PA-PAO: Errors in documentation</t>
  </si>
  <si>
    <t>PM: Teamziele und offline gesperrte Beurteilungsdokumente</t>
  </si>
  <si>
    <t>HRPBCM: Erweiterungen bei Bearbeitung von Umbuchungen</t>
  </si>
  <si>
    <t>Wrong determination of financing requirements for positions</t>
  </si>
  <si>
    <t>Business Area and Segment not available in Message log</t>
  </si>
  <si>
    <t>Errors when executing Transaction HRPBC_CREATE_EARMARK</t>
  </si>
  <si>
    <t>HRPBCM: Diverse Fehler bei Änderung des Originalbudgets</t>
  </si>
  <si>
    <t>Initialization of "Pers.Resp.for Financ" tab page</t>
  </si>
  <si>
    <t>Avoid type conflict for perf/pot when using FPM Search UIBB</t>
  </si>
  <si>
    <t>Talent assessment: Organizational change</t>
  </si>
  <si>
    <t>Talent profile displays "No title provided" in til</t>
  </si>
  <si>
    <t>Qualification descr. not updated in competency assessment</t>
  </si>
  <si>
    <t>Talenteinschätzung: kein Titel wird im Dokument angezeigt</t>
  </si>
  <si>
    <t>Qualification format in talent assessment incorrect</t>
  </si>
  <si>
    <t>Include RUN_WITHIN_DOCUMENT_UPDATE of BadI HRHAP00_FOLLOW_UP</t>
  </si>
  <si>
    <t>PE-LSO-AE</t>
  </si>
  <si>
    <t>Authoring Environment</t>
  </si>
  <si>
    <t>Outlook notification is not sent to learner on manager books</t>
  </si>
  <si>
    <t>LSO LPO Renovation: Course Appraisal process configuration</t>
  </si>
  <si>
    <t>Refresh not happening in Course Worklist for all queries</t>
  </si>
  <si>
    <t>Cost distribution popup closes without showing any error</t>
  </si>
  <si>
    <t>In admin portal, the status overview tab does not show data</t>
  </si>
  <si>
    <t>Exception in application log if correspondance is triggered</t>
  </si>
  <si>
    <t>No fee displayed for Web based training</t>
  </si>
  <si>
    <t>Save does not work when deleting contacts in admin portal</t>
  </si>
  <si>
    <t>RHXTEILN_LSO: Serial number of the participants is incorrect</t>
  </si>
  <si>
    <t>Course Program created using lso_pv00 has no tpartdoc</t>
  </si>
  <si>
    <t>Instructor/Admin Portal:Display in Catalog Hierarchy Issue</t>
  </si>
  <si>
    <t>Changing a course does not trigger correspondence</t>
  </si>
  <si>
    <t>Transaction LSO_SUBSCRIBE_CP dumps</t>
  </si>
  <si>
    <t>Automatic moveup not possible with TOPMD set to 'D'</t>
  </si>
  <si>
    <t>Course locked when attempting book by more than 1 person</t>
  </si>
  <si>
    <t>ESS LEA: Initiator is able to approve his own leave request</t>
  </si>
  <si>
    <t>Language not considered in print preview of V_HRWEB_TRS_MESS</t>
  </si>
  <si>
    <t>MSS POWL: You cannot currently access this service</t>
  </si>
  <si>
    <t>Leave approval application dumps</t>
  </si>
  <si>
    <t>PTARQ: Runtime error encountered when creating a leave</t>
  </si>
  <si>
    <t>Sub-system Time events are deletable in the WDA Application</t>
  </si>
  <si>
    <t>ESS WDA Timestatement future IT0001 is used</t>
  </si>
  <si>
    <t>List view in WDA CICO: newline defaults the time-field</t>
  </si>
  <si>
    <t>RPTARQDBDEL :  The started workflow is not cancelled</t>
  </si>
  <si>
    <t>Lump Sum  A type not displayed on PS in few cases</t>
  </si>
  <si>
    <t>PS report does not generate form if ETP tax amount exists</t>
  </si>
  <si>
    <t>PS listing does not display the tax component</t>
  </si>
  <si>
    <t>Manual ETP for additional assign. not displayed on listing</t>
  </si>
  <si>
    <t>Display issue on Preliminary data medium exchange</t>
  </si>
  <si>
    <t>Missing TFN Super code in program RPCPBSQ0_CE</t>
  </si>
  <si>
    <t>Advance Payment corrections after PIA period has passed</t>
  </si>
  <si>
    <t>[MX] Missing selection texts in report HMXCISR0_CE</t>
  </si>
  <si>
    <t>HR-RU_CE: SETCU and RUPRT L at Correctional Run with Retro</t>
  </si>
  <si>
    <t>Table BT is exported to cluster</t>
  </si>
  <si>
    <t>Payroll: Wage type still in RT during export</t>
  </si>
  <si>
    <t>HRFORMS : IBAN is not transferred in HRF_READ_PAYMENTS</t>
  </si>
  <si>
    <t>Update after Technical Check Service.</t>
  </si>
  <si>
    <t>Reference date without input mode - rewrite default value</t>
  </si>
  <si>
    <t>Calculations in domestic part of abroad trip</t>
  </si>
  <si>
    <t>SAPK-60715INEAHR</t>
  </si>
  <si>
    <t>Unexpected behaviour in case of multiple linked employee</t>
  </si>
  <si>
    <t>Name of the Hierarchy View limited to twelve characters</t>
  </si>
  <si>
    <t>Release Note Correction</t>
  </si>
  <si>
    <t>Leave Apporval UI5: UI Issues</t>
  </si>
  <si>
    <t>My Team Services</t>
  </si>
  <si>
    <t>Performance improvements for My Teams lane</t>
  </si>
  <si>
    <t>Tab Text missing in MSS Talent Profile</t>
  </si>
  <si>
    <t>MSS General System Documentation Update</t>
  </si>
  <si>
    <t>Second heading in "My Reports" lane</t>
  </si>
  <si>
    <t>Approval Chip/Lane not refreshing</t>
  </si>
  <si>
    <t>Verschiedene Korrekturen an der Lane "Meine Reports&amp;quo</t>
  </si>
  <si>
    <t>Performance in MSS Homepage - Multiple Assignment</t>
  </si>
  <si>
    <t>OADP customizing entries are no present in view V_TWPC_ACOL</t>
  </si>
  <si>
    <t>Inclusion of Search Switch in MSS Business Function</t>
  </si>
  <si>
    <t>CATS WD: Performance Issue with MSS Approve Working Time</t>
  </si>
  <si>
    <t>MSS Add-On:Missing Accounting column's Text in CATS Approval</t>
  </si>
  <si>
    <t>Issue with 'Copy from Previous Period' in vertical view</t>
  </si>
  <si>
    <t>Inconsistent records when 'Save' is clicked repeatedly</t>
  </si>
  <si>
    <t>CATS WD: Unable to approve timesheet data</t>
  </si>
  <si>
    <t>CATS WD: Approved records are not shown in calendar</t>
  </si>
  <si>
    <t>CATSWD: Incorrect output on Operation/Activity Search help</t>
  </si>
  <si>
    <t>HRESS_A_CATS_1 - Work protection popup is not shown</t>
  </si>
  <si>
    <t>Dashboard Approval: Work items remain in status 'Ready'</t>
  </si>
  <si>
    <t>WEB Dump in FITV_POWL_TRIPS / OBJECTS_OBJREF_NOT_ASSIGNED</t>
  </si>
  <si>
    <t>TRIP/PR05: Kilometer werden nicht abgerechnet</t>
  </si>
  <si>
    <t>No log available for deleted trips</t>
  </si>
  <si>
    <t>AT: Combination of community code numbers WebDynpro ABAP</t>
  </si>
  <si>
    <t>PRCC: Überlauf bei Währungsumrechnung</t>
  </si>
  <si>
    <t>Web: Dump GETWA_NOT_ASSIGNED in FITV_POWL_APPROVER</t>
  </si>
  <si>
    <t>ArchiveLink: Ereignis BUS2089.ASSIGNED in Webdynpro</t>
  </si>
  <si>
    <t>AT: Keine Verkettung bei Zwischenziel mit gleicher GKZ</t>
  </si>
  <si>
    <t>RPRCCC_READ_BTA: doppelte Abrechnungslaufnummern</t>
  </si>
  <si>
    <t>PRRW: Referenzbelegnummer bei Teilung Beleg pro Reisebeleg</t>
  </si>
  <si>
    <t>PR05: No authorization for Setting Relevant Trip Status</t>
  </si>
  <si>
    <t>BUS2089: No exception for CANCEL and SETONHOLD</t>
  </si>
  <si>
    <t>Web:Change to cost assignment for kilometers not transferred</t>
  </si>
  <si>
    <t>PREC: Personalnummer gesperrt durch Abrechnung</t>
  </si>
  <si>
    <t>WEB JAVA: Dump when deleting a trip</t>
  </si>
  <si>
    <t>Suche nach vordifinierten Adressen: Filter nach Name</t>
  </si>
  <si>
    <t>PRRW: verwerfen von schon gebuchten Buchungsläufen möglich</t>
  </si>
  <si>
    <t>ES: Bearbeitete Person wurde abgelehnt in RPRTEC00</t>
  </si>
  <si>
    <t>RGV: Anrechnung von Übungsreisen auf Dienstzuteilungen</t>
  </si>
  <si>
    <t>TrG: Zuordnung Wegstrecken zu Heimfahrten ohne Reisebeihilfe</t>
  </si>
  <si>
    <t>Nachricht FITVPS258 erscheint auch beim Sichern einer DR</t>
  </si>
  <si>
    <t>Ergänzung zu Hinweisen 1836634 und 1879265</t>
  </si>
  <si>
    <t>TGPER: Erstattunsgbetrag nach Sichern nicht aktuell</t>
  </si>
  <si>
    <t>PR02: Hinzurechnung und Sachbezugsbeleg</t>
  </si>
  <si>
    <t>Formular Vergl.TR/AV: fehlerhafte Anzahl Nächte u. ÜG-Anteil</t>
  </si>
  <si>
    <t>PS-AT: falscher Eintrag in PTRV_VERSION</t>
  </si>
  <si>
    <t>PDF: Falsches Land Pauschalen bei Grenzübertritt Rückreise</t>
  </si>
  <si>
    <t>Lösung zu Versteuerung der gesamten DR nicht komplett</t>
  </si>
  <si>
    <t>PS AT: Ändern der Kilometer und Tarifwechsel (WebDynpro)</t>
  </si>
  <si>
    <t>PRRW: Fehler beim Verwerfen eines Buchungslaufs für TG</t>
  </si>
  <si>
    <t>AT:Neue IMG-Aktivität Ersetzung/Zusammenlegung Gemeindekennz</t>
  </si>
  <si>
    <t>WD ABAP - Hotel search - no hotels available for the query</t>
  </si>
  <si>
    <t>Web Travel: Dump on link "Car rate at specific branch&amp;q</t>
  </si>
  <si>
    <t>GET_ETRAVEL_PNR: add PNR list as optionnal parameters</t>
  </si>
  <si>
    <t>PDF: Missing personal preference in FITP_REQUEST_FORM IT474</t>
  </si>
  <si>
    <t>Web: Kopieren eines Reiseantrages bei exist. Spesenabr.</t>
  </si>
  <si>
    <t>Synchro GET_ETRAVEL_PNR2: Performance optimization</t>
  </si>
  <si>
    <t>eTravel : PNR changed are not updated in SAP</t>
  </si>
  <si>
    <t>eTravel : error message when synchro with PNR list</t>
  </si>
  <si>
    <t>Getthere : synchro with currency with other than 2 decimals</t>
  </si>
  <si>
    <t>Blank EDUCATION and POSTING info is passed in requisition</t>
  </si>
  <si>
    <t>FPM Form- Drop down values not displayed always for workitem</t>
  </si>
  <si>
    <t>Form data not getting updated after updating list data</t>
  </si>
  <si>
    <t>Roadmap Form: Wrong Value Help of Action Reason</t>
  </si>
  <si>
    <t>HCM Processes and Forms: HR renewal 1.0 FP4 missing features</t>
  </si>
  <si>
    <t>Wrong popup when deleting an infotype from backendservice-PD</t>
  </si>
  <si>
    <t>Dump when checking form scenario in Design Time Tool(DTT)</t>
  </si>
  <si>
    <t>Withdraw functionality is not working for FPM EREC processes</t>
  </si>
  <si>
    <t>Dump when launching process for multiple employees in MSS</t>
  </si>
  <si>
    <t>WD Detail Planning: Runtime Error during Delete of Line.</t>
  </si>
  <si>
    <t>WD Detail_Planning: Intermediate Result for column Cost Unit</t>
  </si>
  <si>
    <t>Employee budgets: Feature PFREQ may not be correctly read</t>
  </si>
  <si>
    <t>Planning UI: Display Progress popup is not resizable</t>
  </si>
  <si>
    <t>Eligibility granted without valid Compensation Program</t>
  </si>
  <si>
    <t>No description text in dropdown list in approval mode</t>
  </si>
  <si>
    <t>Issue with different budget currency conversion dates</t>
  </si>
  <si>
    <t>My Information and My Services exapnded lane doesn't load</t>
  </si>
  <si>
    <t>LR UI5: Approver Search, Team Calendar &amp; Usability Issue</t>
  </si>
  <si>
    <t>Employee Profile, Leave Request onBehalf and My Services</t>
  </si>
  <si>
    <t>ESS General System Documentation Update</t>
  </si>
  <si>
    <t>Employee Profile onBehalf</t>
  </si>
  <si>
    <t>Employee photo technical name is diplayed in about me card</t>
  </si>
  <si>
    <t>Inclusion of Search Switch in ESS Business Function</t>
  </si>
  <si>
    <t>Leave Request:Error on adding a page with same molga</t>
  </si>
  <si>
    <t>Incorrect Maintenance Object in Work Feeds Customizing</t>
  </si>
  <si>
    <t>ESS MSS UI5 : Usability Fixes</t>
  </si>
  <si>
    <t>Usability Fixes for Workfeeds and LSO Lanes</t>
  </si>
  <si>
    <t>Workfeeds Navigation Issue Fix</t>
  </si>
  <si>
    <t>Dump while copying infotype 0710</t>
  </si>
  <si>
    <t>Text of field "changed on" in IT0706 is not transl</t>
  </si>
  <si>
    <t>Workforce Viewer - Corrections</t>
  </si>
  <si>
    <t>Workforce Viewer- Performance Improvements</t>
  </si>
  <si>
    <t>CSRF Token are getting Invalidated</t>
  </si>
  <si>
    <t>Performance Improvements</t>
  </si>
  <si>
    <t>ESS: China Year End Income Tax Form Dump</t>
  </si>
  <si>
    <t>PA-PA-GB: Disability check error on ESS-IT0077</t>
  </si>
  <si>
    <t>ESS: Inconsistency in displaying request details in HINUACRP</t>
  </si>
  <si>
    <t>FWS: RPTFWSPOST Collision and ESS Local Time</t>
  </si>
  <si>
    <t>[MX] Missing Postal Code field on the ESS screen</t>
  </si>
  <si>
    <t>CE: Legal assignment/grouping reader issues</t>
  </si>
  <si>
    <t>IBAN/SEPA: Error "Enter the bank key" during entry</t>
  </si>
  <si>
    <t>Navigation Issue in Small Lane with CustomData Implementatio</t>
  </si>
  <si>
    <t>Corrections for the Search Applications</t>
  </si>
  <si>
    <t>PA/OM MasterData Application: dumps when starting process</t>
  </si>
  <si>
    <t>Process lane enhancements</t>
  </si>
  <si>
    <t>Workforce Viewer: Issue in Radio Button Selection</t>
  </si>
  <si>
    <t>Process Lane: Text getting Chopped in Small lane for Hebrew</t>
  </si>
  <si>
    <t>Issue With Move Organization Unit</t>
  </si>
  <si>
    <t>MOLGA is not returned by Action utility class</t>
  </si>
  <si>
    <t>Delimit Position</t>
  </si>
  <si>
    <t>Process Lane: Styling Changes and small lane scroll changes</t>
  </si>
  <si>
    <t>Recently Used is not ellipsied and without Country Code</t>
  </si>
  <si>
    <t>Documentation Correction for Workforce Viewer</t>
  </si>
  <si>
    <t>Scroll Changes For Tasks By Drafts and Organization Lane</t>
  </si>
  <si>
    <t>Performance Improvements in Search on UI5 Landing Page</t>
  </si>
  <si>
    <t>PA-PD-DP</t>
  </si>
  <si>
    <t>Development Plans</t>
  </si>
  <si>
    <t>Mandatory Training and Individual Development Plan</t>
  </si>
  <si>
    <t>PMP: Kriteriengruppe unvollständig oder falsche Reihenfolge</t>
  </si>
  <si>
    <t>PMP: Problems in process configuration</t>
  </si>
  <si>
    <t>PMP: 'Strategisches Ziel' als Ziel-Beschreibung</t>
  </si>
  <si>
    <t>RHRFPM_BULIST: Kundeneigene Spalten werden nicht angezeigt</t>
  </si>
  <si>
    <t>Adding Pernr to selection screens for document processing</t>
  </si>
  <si>
    <t>Documentation Corrections for Talent Management (EA-HR)</t>
  </si>
  <si>
    <t>Löschen eines Templates als Default-Operation</t>
  </si>
  <si>
    <t>Auth. restrictions not considered in PDF Talent Profile</t>
  </si>
  <si>
    <t>Nakisa Nachfolgeplanung: Planstellendetails nicht gefüllt</t>
  </si>
  <si>
    <t>Talente fehlen in Offene Einschätzungen</t>
  </si>
  <si>
    <t>Participant search help: Issue with window re-size on scroll</t>
  </si>
  <si>
    <t>LSOWD: Incorrect course fee in LSO Admin portal</t>
  </si>
  <si>
    <t>Instructor Portal: Inactive person is shown in search list.</t>
  </si>
  <si>
    <t>Unable to assign resources with multiple reservation.</t>
  </si>
  <si>
    <t>Corrections related to LSO reports</t>
  </si>
  <si>
    <t>Not all instructors are displayed in F4 help in Admin Portal</t>
  </si>
  <si>
    <t>Admin Portal:Unauthorized courses displayed in alert monitor</t>
  </si>
  <si>
    <t>Incorrect data in booking relationship harmonization.</t>
  </si>
  <si>
    <t>Booking to a curriculum via LSO_PV00 throws an error</t>
  </si>
  <si>
    <t>LSO - oData objects for Learning lane</t>
  </si>
  <si>
    <t>IT5042 Ext. Catalog Connection deleted while changing course</t>
  </si>
  <si>
    <t>Incorrect name of training provider while creating course</t>
  </si>
  <si>
    <t>Admin Portal: Qualifications assigned to failed participants</t>
  </si>
  <si>
    <t>Confirm e-Signature field is incorrect in Booking report</t>
  </si>
  <si>
    <t>LSO_PV10 does not check structural authorization</t>
  </si>
  <si>
    <t>WDABAP:Incorrect behaviour in display of time accounts table</t>
  </si>
  <si>
    <t>Run time error when viewing team calendar</t>
  </si>
  <si>
    <t>CICO onbehalf scenario results in runtime error</t>
  </si>
  <si>
    <t>Deletion Requested displayed as Multiple entries</t>
  </si>
  <si>
    <t>ESS COR RPTCORTMAIL Dump DBIF_RSQL_INVALID_RSQL</t>
  </si>
  <si>
    <t>ESS LEA: Deletion Request is not deleting Infotype</t>
  </si>
  <si>
    <t>ESS COR: Issues with WBS element in Clock in/Out</t>
  </si>
  <si>
    <t>7-Correction for legal superannuation change QSUDL dump</t>
  </si>
  <si>
    <t>Total Tax field incorrect on ETP Payment Summary Listing CE</t>
  </si>
  <si>
    <t>RPCPSAQ0_CE: Displays Full Name incorrectly</t>
  </si>
  <si>
    <t>HR CH (CE): Erstauslieferung CE-Abrechnung in EnhP5, EnhP6</t>
  </si>
  <si>
    <t>IT0065 CE module pool for RTI</t>
  </si>
  <si>
    <t>IT0065 CE module pool tax code uplift</t>
  </si>
  <si>
    <t>E-Separation Solution Implementation For Global Scenario</t>
  </si>
  <si>
    <t>Tax Simplifier Statement - Generic Changes</t>
  </si>
  <si>
    <t>Incorrect Subtype Of IT0021 Read when Creating EG ESS Applct</t>
  </si>
  <si>
    <t>Customizing node for ESS application unavailable in SPRO</t>
  </si>
  <si>
    <t>ESS: Nationality text instead of country name for Family</t>
  </si>
  <si>
    <t>HRSE-PS: Vacation deduction / Sickness split in hours (ALFA)</t>
  </si>
  <si>
    <t>IT0006: Error when converting infotype fields to XML</t>
  </si>
  <si>
    <t>TXL: RPUTXLU0 does not consider all Tax Auth.of the Tax Area</t>
  </si>
  <si>
    <t>NRA: Table DNRCT not being populated for all assignments</t>
  </si>
  <si>
    <t>ESS: Payslip issue - Gross amount is incorrect</t>
  </si>
  <si>
    <t>Payroll Simulation results are not correct</t>
  </si>
  <si>
    <t>Runtime error during repetition run with period split</t>
  </si>
  <si>
    <t>Pre-DME: Payment Run appears twice in Pre-DME log</t>
  </si>
  <si>
    <t>H99CWTR0_CE gives wrong result for retro with split periods</t>
  </si>
  <si>
    <t>HRFORMS : The text displayed for the Vacation Type is wrong</t>
  </si>
  <si>
    <t>HRFORMS-SEPA Enhancement for IBAN</t>
  </si>
  <si>
    <t>RPRTEC00 error in foreign currency</t>
  </si>
  <si>
    <t>SAPK-60716INEAHR</t>
  </si>
  <si>
    <t>BW-BCT-PA-EIC</t>
  </si>
  <si>
    <t>Employee Interaction Center Analytics</t>
  </si>
  <si>
    <t>EIC BW extractor: add creation date as a selection criteria.</t>
  </si>
  <si>
    <t>Incorrect Prerequisite in Approval Overview Document</t>
  </si>
  <si>
    <t>MSS System Documentation Update</t>
  </si>
  <si>
    <t>CATS WDA: Error when user clicks on detail button</t>
  </si>
  <si>
    <t>DE: Meal receipts wrongly incur tax-relevant wage type</t>
  </si>
  <si>
    <t>PDF: PTRV_EXPENSE_FORM - General Data is not displayed</t>
  </si>
  <si>
    <t>Web ABAP: Dump for estimated costs with more than 9 digits</t>
  </si>
  <si>
    <t>PDF: Wrong Mileage display for entry with passengers</t>
  </si>
  <si>
    <t>Verdopplung von Belegen beim Trennen verbundener Belege</t>
  </si>
  <si>
    <t>EES: Enter departure and end location for Norway and Denmark</t>
  </si>
  <si>
    <t>PRCC: Datumsformat im Reportprotokol im Testlauf</t>
  </si>
  <si>
    <t>TCK(SP): SAPK-60714INEAHRGXX -&amp;gt; BC_ACC2COV -&amp;gt; PR_DEL_L</t>
  </si>
  <si>
    <t>PRDX: Incomplete bank data due to SWIFT code (BIC)</t>
  </si>
  <si>
    <t>Web: Steuerbetrag erst beim zweiten Mal übernommen</t>
  </si>
  <si>
    <t>WEB ABAP: additional info missing when entering mileage</t>
  </si>
  <si>
    <t>Web: Kopieren von Reisen und Kilometerkumulation</t>
  </si>
  <si>
    <t>Web: Zielanwendungsparameter im Launchpad</t>
  </si>
  <si>
    <t>Web: Zielland bei weiteren Zielen bei Länderversion AT</t>
  </si>
  <si>
    <t>Fehler bei der Auffächerung der Verpflegungspauschalen</t>
  </si>
  <si>
    <t>PREC: Fehler im Protokol für Reisen als Entwurf</t>
  </si>
  <si>
    <t>Reisen mit fehlerhaften Zielen werden gesichert</t>
  </si>
  <si>
    <t>Trennungsgeld: Zuschuss beim U-Beleg wird nicht gewährt</t>
  </si>
  <si>
    <t>LRKG Sachsen: Bezeichnertext vorübergehender Aufenthaltsort</t>
  </si>
  <si>
    <t>TG: Gesamtbetrag steuerfrei nicht korrekt bei U-beleg</t>
  </si>
  <si>
    <t>LRKG NRW: Auslandsreise mit mehrfachem Grenzübertritt Inland</t>
  </si>
  <si>
    <t>Vergl.Wegstrecke: Kilometer in fiktive Kosten Pflichteingabe</t>
  </si>
  <si>
    <t>RPRMORDE: neue Tabelle T706_CITYCD_CHG wird nicht kopiert</t>
  </si>
  <si>
    <t>Gemeindekennziffer: Fehler bei Eingabe von weiteren Zielen</t>
  </si>
  <si>
    <t>Bei Verlängern einer DZ wird Flag Nächtigungsgebühr gelöscht</t>
  </si>
  <si>
    <t>Verschachtelte Abordnung: Datenbankinkonsistenz nach Sichern</t>
  </si>
  <si>
    <t>LRKG NRW: Verpflegungs/Unterkunftspauschalen ab dem 25.07.13</t>
  </si>
  <si>
    <t>BayARV: falsche Erstattung am 1.Tag bei Reduktion ATG aktiv</t>
  </si>
  <si>
    <t>LRKG NRW: Auslandsreise falsche Erstattung am Ausreisetag</t>
  </si>
  <si>
    <t>PDF: Falsches Land bei Grenzübertritt Deutschland</t>
  </si>
  <si>
    <t>kein Zuschuss bei Mahlzeiten im Unterkunftsbeleg</t>
  </si>
  <si>
    <t>Meldung: zu sichernde Reise verursacht keine Kosten</t>
  </si>
  <si>
    <t>Löschen Kopieren Kappungsbeleg KWEK: keine Fehlermeldung</t>
  </si>
  <si>
    <t>DR: keine Werbungskosten bei erzeugten Kappungsbelegen</t>
  </si>
  <si>
    <t>Airport search with Map . wrong selection using IATA code</t>
  </si>
  <si>
    <t>Web Travel : Dump in other service when selecting location</t>
  </si>
  <si>
    <t>Multiple flight:  wrong destination after offline synchro</t>
  </si>
  <si>
    <t>Error Message when saving  existing Travel Plan</t>
  </si>
  <si>
    <t>Web Travel/other service :  correction of note 1893178</t>
  </si>
  <si>
    <t>Workflow correction for external purchase</t>
  </si>
  <si>
    <t>Getthere : Enhancement to enable Travel Assistant</t>
  </si>
  <si>
    <t>GET_GETTHERE_PNR : error message if IATA location unknown</t>
  </si>
  <si>
    <t>GetThere: error messages get lost</t>
  </si>
  <si>
    <t>Log enhancement for GetThere synchronization pgm</t>
  </si>
  <si>
    <t>Wrong Placeholder in Long Text of message</t>
  </si>
  <si>
    <t>wd_this used to call methods in HRASR00_PROCESS_EXECUTE_1</t>
  </si>
  <si>
    <t>UI Attributes not being set correctly after back to author</t>
  </si>
  <si>
    <t>HR process collision error mesage issue</t>
  </si>
  <si>
    <t>Number range buffer is being ignored incorrectly</t>
  </si>
  <si>
    <t>PDF generated multiple times</t>
  </si>
  <si>
    <t>Compensation Planning: Drop Down by Key field in PA0759</t>
  </si>
  <si>
    <t>Compensation Approval: Single Employee Planning function</t>
  </si>
  <si>
    <t>HREIC: Wrong buttons shown when adding related activities</t>
  </si>
  <si>
    <t>ABAP dump when search for affected employee by name.</t>
  </si>
  <si>
    <t>Subcategories get lost when processing a related activity</t>
  </si>
  <si>
    <t>Issue while doing a search on the Bank key field in ESS.</t>
  </si>
  <si>
    <t>Applications are not launching from Related Links card</t>
  </si>
  <si>
    <t>Employee Profile application is blank</t>
  </si>
  <si>
    <t>ESS System Documentation Update</t>
  </si>
  <si>
    <t>CATS Calendar UI: Incorrect Planned and Actual Times</t>
  </si>
  <si>
    <t>Aditional gap occurs in Benefits plan Enrollment pop-ups</t>
  </si>
  <si>
    <t>HCM Reno: IT1001 A011: Error Messages</t>
  </si>
  <si>
    <t>IT0220 issue while creating the new NON SGC fund record</t>
  </si>
  <si>
    <t>ATC Correction for mass data change</t>
  </si>
  <si>
    <t>ESS: Personal Data bizcard: missing Detail Button</t>
  </si>
  <si>
    <t>Infotype 0424: Fields not cleared depending on the subtype</t>
  </si>
  <si>
    <t>TNM: fix for Switch BC-Set HRLOC_TNM_CUSTO_ENH_04</t>
  </si>
  <si>
    <t>PA-PA-GB: Enabling IT0002 fields on HCM-Renewal and ESS sc</t>
  </si>
  <si>
    <t>CL_PTJP_FWS_APPLICATION: Missing Method Implementation</t>
  </si>
  <si>
    <t>PA-PA-MX-CE</t>
  </si>
  <si>
    <t>Concurrent Employment - Personnel Administration Mexico</t>
  </si>
  <si>
    <t>[MX] Different results in list of archived documents</t>
  </si>
  <si>
    <t>NZ T&amp;E Bank is throwing error message when creating a re</t>
  </si>
  <si>
    <t>HR-RU: Saving Issue of Field 'Long Name' in Infotype 1655</t>
  </si>
  <si>
    <t>W-4: Add fields for State level and UI enhancements</t>
  </si>
  <si>
    <t>IT0009: Bank data not updated from IBAN in ESS</t>
  </si>
  <si>
    <t>Pay Statement Service missing implementation</t>
  </si>
  <si>
    <t>Message show twice in PA/OM MasterData Maintenance App</t>
  </si>
  <si>
    <t>Search IMG Changes</t>
  </si>
  <si>
    <t>Error message if queries are not deleted</t>
  </si>
  <si>
    <t>Clear filter issue in Search Lane</t>
  </si>
  <si>
    <t>Bezeichner erscheinen rechtsbündig</t>
  </si>
  <si>
    <t>PMP: Dokumente im barrierefreien Modus</t>
  </si>
  <si>
    <t>PMP: Tooltip zeigt falschen Ausprägungstext</t>
  </si>
  <si>
    <t>PMP: Registerkartenwechsel bei Fehlermeldung 2</t>
  </si>
  <si>
    <t>Teamziele: alle direkt unterstellten Mitarbeiter markieren</t>
  </si>
  <si>
    <t>PMP: Teamziele werden doppelt angezeigt</t>
  </si>
  <si>
    <t>PMP: Datenverlust-Popup erscheint ohne Änderungen</t>
  </si>
  <si>
    <t>RHRFPM_FTE_FINLIST: Objekte werden nicht bearbeitet</t>
  </si>
  <si>
    <t>HRPBCM: Probleme mit Suchhilfe 'Finanzierungsstruktur'</t>
  </si>
  <si>
    <t>Sperrprobleme bei Obligoprozessor</t>
  </si>
  <si>
    <t>Im Talentprofil werden die Qualifikationen nicht angezeigt</t>
  </si>
  <si>
    <t>Development plan and obligatory trainings (LSO)</t>
  </si>
  <si>
    <t>Creating multiple development plans (mass processing)</t>
  </si>
  <si>
    <t>Statuswechsel einer Talentkonferenz</t>
  </si>
  <si>
    <t>Falscher Entwicklungsplan</t>
  </si>
  <si>
    <t>Check participants when adding Org-Units to review meetings</t>
  </si>
  <si>
    <t>Fehlerhafte Nominierungsgründe für Talentgruppenzuordnung</t>
  </si>
  <si>
    <t>Outlook notification is not sent to learner when Admin books</t>
  </si>
  <si>
    <t>LSO - Courses with no intranet flat appear in Calendar</t>
  </si>
  <si>
    <t>Outlook notification is sent to learner for past courses</t>
  </si>
  <si>
    <t>LSO - Cancelled/ Locked courses appear in Calendar</t>
  </si>
  <si>
    <t>Move-up of waitlist candidates for past courses</t>
  </si>
  <si>
    <t>RPTIME01: Time operation SUM not working for more than two T</t>
  </si>
  <si>
    <t>HRFORMS: Time Statement short dumps with ARITHMETIC_OVERFLOW</t>
  </si>
  <si>
    <t>Time statement shows incorrect nr of hours for IT2002 data</t>
  </si>
  <si>
    <t>Rejected leave cannot be withdrawn</t>
  </si>
  <si>
    <t>RPTARQERR : Performance issue</t>
  </si>
  <si>
    <t>Dump in Clock-In/Out application during message navigation</t>
  </si>
  <si>
    <t>ESS LEA: Date changeable during delete unposted Leave Reques</t>
  </si>
  <si>
    <t>Dump when substitute not found</t>
  </si>
  <si>
    <t>Averages not imported from previous financial year</t>
  </si>
  <si>
    <t>Incorrect error message in log for parallel run of Pre-DME</t>
  </si>
  <si>
    <t>Taxable gross incorrect in case of retro on terminated EE</t>
  </si>
  <si>
    <t>CE: Cluster table PASUM missing in particular scenarios</t>
  </si>
  <si>
    <t>QDISN: Corrections for /553</t>
  </si>
  <si>
    <t>PY-AU-CE : /TTP has incorrect LSL Pre78 amount</t>
  </si>
  <si>
    <t>Issue with importing averages when EE has no normal earnings</t>
  </si>
  <si>
    <t>Notes 1853919, 1888011 are missing in ECC 600</t>
  </si>
  <si>
    <t>Performance improvement in QTXC schema</t>
  </si>
  <si>
    <t>Tax incorrect in case of negative net pay adjustment</t>
  </si>
  <si>
    <t>CE CH: Korrektur SCV der Businessfunktion 'HCM_LOC_CI_43'</t>
  </si>
  <si>
    <t>PY-GB:HRFORMS issue with multiple employment retro</t>
  </si>
  <si>
    <t>PY-GB: IT0065 Concurrent Employment</t>
  </si>
  <si>
    <t>Loans - Approver Scenario dump</t>
  </si>
  <si>
    <t>Short Dump While Triggering Class CL_HRPA_UI_CONVERT_0006_UN</t>
  </si>
  <si>
    <t>HRSE: RPCSPMS0_CE/RPLSPMS0_CE old records are not deleted</t>
  </si>
  <si>
    <t>HRSE:RPCKU1S0_CE entry/leaving of EE during year</t>
  </si>
  <si>
    <t>PY-SG: Correction for note 1832951</t>
  </si>
  <si>
    <t>REC: Recon. fails to read RT_PERSON when using Other Period</t>
  </si>
  <si>
    <t>CE: Incorrect TCRT for terminated EE on NAMC Payroll runs.</t>
  </si>
  <si>
    <t>Short dump in infotype 0860 when using infotype framework</t>
  </si>
  <si>
    <t>Personnel &amp; Organization FP4: Several Issues with IT 003</t>
  </si>
  <si>
    <t>PL: Per diem accounting of accommodations</t>
  </si>
  <si>
    <t>Reference date without input mode - rewrite default value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</si>
</sst>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"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871"/>
  <sheetViews>
    <sheetView tabSelected="1" workbookViewId="0"/>
  </sheetViews>
  <sheetFormatPr defaultColWidth="22.28515625" defaultRowHeight="15" x14ac:dyDescent="0.25"/>
  <cols>
    <col min="1" max="1" width="19.7109375" customWidth="1"/>
    <col min="2" max="2" width="22.7109375" customWidth="1"/>
    <col min="3" max="3" width="40.140625" customWidth="1"/>
    <col min="4" max="4" width="14.140625" customWidth="1"/>
    <col min="5" max="5" width="13.85546875" customWidth="1"/>
    <col min="6" max="6" width="69.7109375" customWidth="1"/>
  </cols>
  <sheetData>
    <row r="1" spans="1:6" x14ac:dyDescent="0.25">
      <c r="A1" t="s">
        <v>471</v>
      </c>
      <c r="B1" t="s">
        <v>0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715</v>
      </c>
      <c r="B2" t="s">
        <v>5</v>
      </c>
      <c r="C2" t="s">
        <v>6</v>
      </c>
    </row>
    <row r="3" spans="1:6" x14ac:dyDescent="0.25">
      <c r="A3" t="s">
        <v>715</v>
      </c>
      <c r="B3" t="s">
        <v>7</v>
      </c>
      <c r="C3" t="s">
        <v>8</v>
      </c>
    </row>
    <row r="4" spans="1:6" x14ac:dyDescent="0.25">
      <c r="A4" t="s">
        <v>715</v>
      </c>
      <c r="B4" t="s">
        <v>9</v>
      </c>
      <c r="C4" t="s">
        <v>10</v>
      </c>
      <c r="D4" t="str">
        <f>HYPERLINK("http://service.sap.com/sap/support/notes/1653725","1653725")</f>
        <v>1653725</v>
      </c>
      <c r="E4">
        <v>2</v>
      </c>
      <c r="F4" t="s">
        <v>11</v>
      </c>
    </row>
    <row r="5" spans="1:6" x14ac:dyDescent="0.25">
      <c r="A5" t="s">
        <v>715</v>
      </c>
      <c r="B5" t="s">
        <v>12</v>
      </c>
      <c r="C5" t="s">
        <v>13</v>
      </c>
      <c r="D5" t="str">
        <f>HYPERLINK("http://service.sap.com/sap/support/notes/1777394","1777394")</f>
        <v>1777394</v>
      </c>
      <c r="E5">
        <v>1</v>
      </c>
      <c r="F5" t="s">
        <v>14</v>
      </c>
    </row>
    <row r="6" spans="1:6" x14ac:dyDescent="0.25">
      <c r="A6" t="s">
        <v>715</v>
      </c>
      <c r="B6" t="s">
        <v>15</v>
      </c>
      <c r="C6" t="s">
        <v>16</v>
      </c>
    </row>
    <row r="7" spans="1:6" x14ac:dyDescent="0.25">
      <c r="A7" t="s">
        <v>715</v>
      </c>
      <c r="B7" t="s">
        <v>17</v>
      </c>
      <c r="C7" t="s">
        <v>18</v>
      </c>
    </row>
    <row r="8" spans="1:6" x14ac:dyDescent="0.25">
      <c r="A8" t="s">
        <v>715</v>
      </c>
      <c r="B8" t="s">
        <v>19</v>
      </c>
      <c r="C8" t="s">
        <v>20</v>
      </c>
    </row>
    <row r="9" spans="1:6" x14ac:dyDescent="0.25">
      <c r="A9" t="s">
        <v>715</v>
      </c>
      <c r="B9" t="s">
        <v>21</v>
      </c>
      <c r="C9" t="s">
        <v>22</v>
      </c>
      <c r="D9" t="str">
        <f>HYPERLINK("http://service.sap.com/sap/support/notes/1772836","1772836")</f>
        <v>1772836</v>
      </c>
      <c r="E9">
        <v>2</v>
      </c>
      <c r="F9" t="s">
        <v>23</v>
      </c>
    </row>
    <row r="10" spans="1:6" x14ac:dyDescent="0.25">
      <c r="A10" t="s">
        <v>715</v>
      </c>
      <c r="B10" t="s">
        <v>24</v>
      </c>
      <c r="C10" t="s">
        <v>10</v>
      </c>
    </row>
    <row r="11" spans="1:6" x14ac:dyDescent="0.25">
      <c r="A11" t="s">
        <v>715</v>
      </c>
      <c r="B11" t="s">
        <v>25</v>
      </c>
      <c r="C11" t="s">
        <v>26</v>
      </c>
    </row>
    <row r="12" spans="1:6" x14ac:dyDescent="0.25">
      <c r="A12" t="s">
        <v>715</v>
      </c>
      <c r="B12" t="s">
        <v>27</v>
      </c>
      <c r="C12" t="s">
        <v>28</v>
      </c>
      <c r="D12" t="str">
        <f>HYPERLINK("http://service.sap.com/sap/support/notes/1737794","1737794")</f>
        <v>1737794</v>
      </c>
      <c r="E12">
        <v>3</v>
      </c>
      <c r="F12" t="s">
        <v>29</v>
      </c>
    </row>
    <row r="13" spans="1:6" x14ac:dyDescent="0.25">
      <c r="A13" t="s">
        <v>715</v>
      </c>
      <c r="B13" t="s">
        <v>30</v>
      </c>
      <c r="C13" t="s">
        <v>31</v>
      </c>
      <c r="D13" t="str">
        <f>HYPERLINK("http://service.sap.com/sap/support/notes/1681888","1681888")</f>
        <v>1681888</v>
      </c>
      <c r="E13">
        <v>2</v>
      </c>
      <c r="F13" t="s">
        <v>32</v>
      </c>
    </row>
    <row r="14" spans="1:6" x14ac:dyDescent="0.25">
      <c r="A14" t="s">
        <v>715</v>
      </c>
      <c r="B14" t="s">
        <v>33</v>
      </c>
      <c r="C14" t="s">
        <v>34</v>
      </c>
      <c r="D14" t="str">
        <f>HYPERLINK("http://service.sap.com/sap/support/notes/1758557","1758557")</f>
        <v>1758557</v>
      </c>
      <c r="E14">
        <v>1</v>
      </c>
      <c r="F14" t="s">
        <v>35</v>
      </c>
    </row>
    <row r="15" spans="1:6" x14ac:dyDescent="0.25">
      <c r="A15" t="s">
        <v>715</v>
      </c>
      <c r="B15" t="s">
        <v>36</v>
      </c>
      <c r="C15" t="s">
        <v>37</v>
      </c>
      <c r="D15" t="str">
        <f>HYPERLINK("http://service.sap.com/sap/support/notes/1771725","1771725")</f>
        <v>1771725</v>
      </c>
      <c r="E15">
        <v>4</v>
      </c>
      <c r="F15" t="s">
        <v>38</v>
      </c>
    </row>
    <row r="16" spans="1:6" x14ac:dyDescent="0.25">
      <c r="A16" t="s">
        <v>715</v>
      </c>
      <c r="B16" t="s">
        <v>36</v>
      </c>
      <c r="C16" t="s">
        <v>37</v>
      </c>
      <c r="D16" t="str">
        <f>HYPERLINK("http://service.sap.com/sap/support/notes/1776093","1776093")</f>
        <v>1776093</v>
      </c>
      <c r="E16">
        <v>1</v>
      </c>
      <c r="F16" t="s">
        <v>39</v>
      </c>
    </row>
    <row r="17" spans="1:6" x14ac:dyDescent="0.25">
      <c r="A17" t="s">
        <v>715</v>
      </c>
      <c r="B17" t="s">
        <v>40</v>
      </c>
      <c r="C17" t="s">
        <v>41</v>
      </c>
      <c r="D17" t="str">
        <f>HYPERLINK("http://service.sap.com/sap/support/notes/700094","700094")</f>
        <v>700094</v>
      </c>
      <c r="E17">
        <v>8</v>
      </c>
      <c r="F17" t="s">
        <v>42</v>
      </c>
    </row>
    <row r="18" spans="1:6" x14ac:dyDescent="0.25">
      <c r="A18" t="s">
        <v>715</v>
      </c>
      <c r="B18" t="s">
        <v>43</v>
      </c>
      <c r="C18" t="s">
        <v>44</v>
      </c>
      <c r="D18" t="str">
        <f>HYPERLINK("http://service.sap.com/sap/support/notes/1767535","1767535")</f>
        <v>1767535</v>
      </c>
      <c r="E18">
        <v>2</v>
      </c>
      <c r="F18" t="s">
        <v>45</v>
      </c>
    </row>
    <row r="19" spans="1:6" x14ac:dyDescent="0.25">
      <c r="A19" t="s">
        <v>715</v>
      </c>
      <c r="B19" t="s">
        <v>43</v>
      </c>
      <c r="C19" t="s">
        <v>44</v>
      </c>
      <c r="D19" t="str">
        <f>HYPERLINK("http://service.sap.com/sap/support/notes/1769259","1769259")</f>
        <v>1769259</v>
      </c>
      <c r="E19">
        <v>3</v>
      </c>
      <c r="F19" t="s">
        <v>46</v>
      </c>
    </row>
    <row r="20" spans="1:6" x14ac:dyDescent="0.25">
      <c r="A20" t="s">
        <v>715</v>
      </c>
      <c r="B20" t="s">
        <v>47</v>
      </c>
      <c r="C20" t="s">
        <v>48</v>
      </c>
      <c r="D20" t="str">
        <f>HYPERLINK("http://service.sap.com/sap/support/notes/1753144","1753144")</f>
        <v>1753144</v>
      </c>
      <c r="E20">
        <v>1</v>
      </c>
      <c r="F20" t="s">
        <v>49</v>
      </c>
    </row>
    <row r="21" spans="1:6" x14ac:dyDescent="0.25">
      <c r="A21" t="s">
        <v>715</v>
      </c>
      <c r="B21" t="s">
        <v>47</v>
      </c>
      <c r="C21" t="s">
        <v>48</v>
      </c>
      <c r="D21" t="str">
        <f>HYPERLINK("http://service.sap.com/sap/support/notes/1765204","1765204")</f>
        <v>1765204</v>
      </c>
      <c r="E21">
        <v>1</v>
      </c>
      <c r="F21" t="s">
        <v>50</v>
      </c>
    </row>
    <row r="22" spans="1:6" x14ac:dyDescent="0.25">
      <c r="A22" t="s">
        <v>715</v>
      </c>
      <c r="B22" t="s">
        <v>51</v>
      </c>
      <c r="C22" t="s">
        <v>52</v>
      </c>
      <c r="D22" t="str">
        <f>HYPERLINK("http://service.sap.com/sap/support/notes/1773192","1773192")</f>
        <v>1773192</v>
      </c>
      <c r="E22">
        <v>2</v>
      </c>
      <c r="F22" t="s">
        <v>53</v>
      </c>
    </row>
    <row r="23" spans="1:6" x14ac:dyDescent="0.25">
      <c r="A23" t="s">
        <v>715</v>
      </c>
      <c r="B23" t="s">
        <v>54</v>
      </c>
      <c r="C23" t="s">
        <v>55</v>
      </c>
      <c r="D23" t="str">
        <f>HYPERLINK("http://service.sap.com/sap/support/notes/1728652","1728652")</f>
        <v>1728652</v>
      </c>
      <c r="E23">
        <v>1</v>
      </c>
      <c r="F23" t="s">
        <v>56</v>
      </c>
    </row>
    <row r="24" spans="1:6" x14ac:dyDescent="0.25">
      <c r="A24" t="s">
        <v>715</v>
      </c>
      <c r="B24" t="s">
        <v>54</v>
      </c>
      <c r="C24" t="s">
        <v>55</v>
      </c>
      <c r="D24" t="str">
        <f>HYPERLINK("http://service.sap.com/sap/support/notes/1760848","1760848")</f>
        <v>1760848</v>
      </c>
      <c r="E24">
        <v>1</v>
      </c>
      <c r="F24" t="s">
        <v>57</v>
      </c>
    </row>
    <row r="25" spans="1:6" x14ac:dyDescent="0.25">
      <c r="A25" t="s">
        <v>715</v>
      </c>
      <c r="B25" t="s">
        <v>54</v>
      </c>
      <c r="C25" t="s">
        <v>55</v>
      </c>
      <c r="D25" t="str">
        <f>HYPERLINK("http://service.sap.com/sap/support/notes/1772090","1772090")</f>
        <v>1772090</v>
      </c>
      <c r="E25">
        <v>1</v>
      </c>
      <c r="F25" t="s">
        <v>58</v>
      </c>
    </row>
    <row r="26" spans="1:6" x14ac:dyDescent="0.25">
      <c r="A26" t="s">
        <v>715</v>
      </c>
      <c r="B26" t="s">
        <v>54</v>
      </c>
      <c r="C26" t="s">
        <v>55</v>
      </c>
      <c r="D26" t="str">
        <f>HYPERLINK("http://service.sap.com/sap/support/notes/1774632","1774632")</f>
        <v>1774632</v>
      </c>
      <c r="E26">
        <v>1</v>
      </c>
      <c r="F26" t="s">
        <v>59</v>
      </c>
    </row>
    <row r="27" spans="1:6" x14ac:dyDescent="0.25">
      <c r="A27" t="s">
        <v>715</v>
      </c>
      <c r="B27" t="s">
        <v>60</v>
      </c>
      <c r="C27" t="s">
        <v>61</v>
      </c>
      <c r="D27" t="str">
        <f>HYPERLINK("http://service.sap.com/sap/support/notes/1699757","1699757")</f>
        <v>1699757</v>
      </c>
      <c r="E27">
        <v>5</v>
      </c>
      <c r="F27" t="s">
        <v>62</v>
      </c>
    </row>
    <row r="28" spans="1:6" x14ac:dyDescent="0.25">
      <c r="A28" t="s">
        <v>715</v>
      </c>
      <c r="B28" t="s">
        <v>63</v>
      </c>
      <c r="C28" t="s">
        <v>64</v>
      </c>
      <c r="D28" t="str">
        <f>HYPERLINK("http://service.sap.com/sap/support/notes/960754","960754")</f>
        <v>960754</v>
      </c>
      <c r="E28">
        <v>9</v>
      </c>
      <c r="F28" t="s">
        <v>65</v>
      </c>
    </row>
    <row r="29" spans="1:6" x14ac:dyDescent="0.25">
      <c r="A29" t="s">
        <v>715</v>
      </c>
      <c r="B29" t="s">
        <v>63</v>
      </c>
      <c r="C29" t="s">
        <v>64</v>
      </c>
      <c r="D29" t="str">
        <f>HYPERLINK("http://service.sap.com/sap/support/notes/1744322","1744322")</f>
        <v>1744322</v>
      </c>
      <c r="E29">
        <v>1</v>
      </c>
      <c r="F29" t="s">
        <v>66</v>
      </c>
    </row>
    <row r="30" spans="1:6" x14ac:dyDescent="0.25">
      <c r="A30" t="s">
        <v>715</v>
      </c>
      <c r="B30" t="s">
        <v>63</v>
      </c>
      <c r="C30" t="s">
        <v>64</v>
      </c>
      <c r="D30" t="str">
        <f>HYPERLINK("http://service.sap.com/sap/support/notes/1757533","1757533")</f>
        <v>1757533</v>
      </c>
      <c r="E30">
        <v>4</v>
      </c>
      <c r="F30" t="s">
        <v>67</v>
      </c>
    </row>
    <row r="31" spans="1:6" x14ac:dyDescent="0.25">
      <c r="A31" t="s">
        <v>715</v>
      </c>
      <c r="B31" t="s">
        <v>63</v>
      </c>
      <c r="C31" t="s">
        <v>64</v>
      </c>
      <c r="D31" t="str">
        <f>HYPERLINK("http://service.sap.com/sap/support/notes/1764312","1764312")</f>
        <v>1764312</v>
      </c>
      <c r="E31">
        <v>2</v>
      </c>
      <c r="F31" t="s">
        <v>68</v>
      </c>
    </row>
    <row r="32" spans="1:6" x14ac:dyDescent="0.25">
      <c r="A32" t="s">
        <v>715</v>
      </c>
      <c r="B32" t="s">
        <v>63</v>
      </c>
      <c r="C32" t="s">
        <v>64</v>
      </c>
      <c r="D32" t="str">
        <f>HYPERLINK("http://service.sap.com/sap/support/notes/1770550","1770550")</f>
        <v>1770550</v>
      </c>
      <c r="E32">
        <v>2</v>
      </c>
      <c r="F32" t="s">
        <v>69</v>
      </c>
    </row>
    <row r="33" spans="1:6" x14ac:dyDescent="0.25">
      <c r="A33" t="s">
        <v>715</v>
      </c>
      <c r="B33" t="s">
        <v>63</v>
      </c>
      <c r="C33" t="s">
        <v>64</v>
      </c>
      <c r="D33" t="str">
        <f>HYPERLINK("http://service.sap.com/sap/support/notes/1770799","1770799")</f>
        <v>1770799</v>
      </c>
      <c r="E33">
        <v>1</v>
      </c>
      <c r="F33" t="s">
        <v>70</v>
      </c>
    </row>
    <row r="34" spans="1:6" x14ac:dyDescent="0.25">
      <c r="A34" t="s">
        <v>715</v>
      </c>
      <c r="B34" t="s">
        <v>63</v>
      </c>
      <c r="C34" t="s">
        <v>64</v>
      </c>
      <c r="D34" t="str">
        <f>HYPERLINK("http://service.sap.com/sap/support/notes/1773533","1773533")</f>
        <v>1773533</v>
      </c>
      <c r="E34">
        <v>2</v>
      </c>
      <c r="F34" t="s">
        <v>71</v>
      </c>
    </row>
    <row r="35" spans="1:6" x14ac:dyDescent="0.25">
      <c r="A35" t="s">
        <v>715</v>
      </c>
      <c r="B35" t="s">
        <v>63</v>
      </c>
      <c r="C35" t="s">
        <v>64</v>
      </c>
      <c r="D35" t="str">
        <f>HYPERLINK("http://service.sap.com/sap/support/notes/1775799","1775799")</f>
        <v>1775799</v>
      </c>
      <c r="E35">
        <v>1</v>
      </c>
      <c r="F35" t="s">
        <v>72</v>
      </c>
    </row>
    <row r="36" spans="1:6" x14ac:dyDescent="0.25">
      <c r="A36" t="s">
        <v>715</v>
      </c>
      <c r="B36" t="s">
        <v>73</v>
      </c>
      <c r="C36" t="s">
        <v>74</v>
      </c>
      <c r="D36" t="str">
        <f>HYPERLINK("http://service.sap.com/sap/support/notes/1767619","1767619")</f>
        <v>1767619</v>
      </c>
      <c r="E36">
        <v>3</v>
      </c>
      <c r="F36" t="s">
        <v>75</v>
      </c>
    </row>
    <row r="37" spans="1:6" x14ac:dyDescent="0.25">
      <c r="A37" t="s">
        <v>715</v>
      </c>
      <c r="B37" t="s">
        <v>76</v>
      </c>
      <c r="C37" t="s">
        <v>77</v>
      </c>
      <c r="D37" t="str">
        <f>HYPERLINK("http://service.sap.com/sap/support/notes/1773107","1773107")</f>
        <v>1773107</v>
      </c>
      <c r="E37">
        <v>1</v>
      </c>
      <c r="F37" t="s">
        <v>78</v>
      </c>
    </row>
    <row r="38" spans="1:6" x14ac:dyDescent="0.25">
      <c r="A38" t="s">
        <v>715</v>
      </c>
      <c r="B38" t="s">
        <v>79</v>
      </c>
      <c r="C38" t="s">
        <v>80</v>
      </c>
    </row>
    <row r="39" spans="1:6" x14ac:dyDescent="0.25">
      <c r="A39" t="s">
        <v>715</v>
      </c>
      <c r="B39" t="s">
        <v>81</v>
      </c>
      <c r="C39" t="s">
        <v>82</v>
      </c>
      <c r="D39" t="str">
        <f>HYPERLINK("http://service.sap.com/sap/support/notes/1718497","1718497")</f>
        <v>1718497</v>
      </c>
      <c r="E39">
        <v>9</v>
      </c>
      <c r="F39" t="s">
        <v>83</v>
      </c>
    </row>
    <row r="40" spans="1:6" x14ac:dyDescent="0.25">
      <c r="A40" t="s">
        <v>715</v>
      </c>
      <c r="B40" t="s">
        <v>81</v>
      </c>
      <c r="C40" t="s">
        <v>82</v>
      </c>
      <c r="D40" t="str">
        <f>HYPERLINK("http://service.sap.com/sap/support/notes/1774989","1774989")</f>
        <v>1774989</v>
      </c>
      <c r="E40">
        <v>4</v>
      </c>
      <c r="F40" t="s">
        <v>84</v>
      </c>
    </row>
    <row r="41" spans="1:6" x14ac:dyDescent="0.25">
      <c r="A41" t="s">
        <v>715</v>
      </c>
      <c r="B41" t="s">
        <v>85</v>
      </c>
      <c r="C41" t="s">
        <v>86</v>
      </c>
    </row>
    <row r="42" spans="1:6" x14ac:dyDescent="0.25">
      <c r="A42" t="s">
        <v>715</v>
      </c>
      <c r="B42" t="s">
        <v>87</v>
      </c>
      <c r="C42" t="s">
        <v>88</v>
      </c>
      <c r="D42" t="str">
        <f>HYPERLINK("http://service.sap.com/sap/support/notes/1771629","1771629")</f>
        <v>1771629</v>
      </c>
      <c r="E42">
        <v>1</v>
      </c>
      <c r="F42" t="s">
        <v>89</v>
      </c>
    </row>
    <row r="43" spans="1:6" x14ac:dyDescent="0.25">
      <c r="A43" t="s">
        <v>715</v>
      </c>
      <c r="B43" t="s">
        <v>90</v>
      </c>
      <c r="C43" t="s">
        <v>13</v>
      </c>
    </row>
    <row r="44" spans="1:6" x14ac:dyDescent="0.25">
      <c r="A44" t="s">
        <v>715</v>
      </c>
      <c r="B44" t="s">
        <v>91</v>
      </c>
      <c r="C44" t="s">
        <v>92</v>
      </c>
      <c r="D44" t="str">
        <f>HYPERLINK("http://service.sap.com/sap/support/notes/1772552","1772552")</f>
        <v>1772552</v>
      </c>
      <c r="E44">
        <v>3</v>
      </c>
      <c r="F44" t="s">
        <v>93</v>
      </c>
    </row>
    <row r="45" spans="1:6" x14ac:dyDescent="0.25">
      <c r="A45" t="s">
        <v>715</v>
      </c>
      <c r="B45" t="s">
        <v>91</v>
      </c>
      <c r="C45" t="s">
        <v>92</v>
      </c>
      <c r="D45" t="str">
        <f>HYPERLINK("http://service.sap.com/sap/support/notes/1773500","1773500")</f>
        <v>1773500</v>
      </c>
      <c r="E45">
        <v>2</v>
      </c>
      <c r="F45" t="s">
        <v>94</v>
      </c>
    </row>
    <row r="46" spans="1:6" x14ac:dyDescent="0.25">
      <c r="A46" t="s">
        <v>715</v>
      </c>
      <c r="B46" t="s">
        <v>95</v>
      </c>
      <c r="C46" t="s">
        <v>96</v>
      </c>
    </row>
    <row r="47" spans="1:6" x14ac:dyDescent="0.25">
      <c r="A47" t="s">
        <v>715</v>
      </c>
      <c r="B47" t="s">
        <v>97</v>
      </c>
      <c r="C47" t="s">
        <v>98</v>
      </c>
      <c r="D47" t="str">
        <f>HYPERLINK("http://service.sap.com/sap/support/notes/1703674","1703674")</f>
        <v>1703674</v>
      </c>
      <c r="E47">
        <v>1</v>
      </c>
      <c r="F47" t="s">
        <v>99</v>
      </c>
    </row>
    <row r="48" spans="1:6" x14ac:dyDescent="0.25">
      <c r="A48" t="s">
        <v>715</v>
      </c>
      <c r="B48" t="s">
        <v>97</v>
      </c>
      <c r="C48" t="s">
        <v>98</v>
      </c>
      <c r="D48" t="str">
        <f>HYPERLINK("http://service.sap.com/sap/support/notes/1712377","1712377")</f>
        <v>1712377</v>
      </c>
      <c r="E48">
        <v>2</v>
      </c>
      <c r="F48" t="s">
        <v>100</v>
      </c>
    </row>
    <row r="49" spans="1:6" x14ac:dyDescent="0.25">
      <c r="A49" t="s">
        <v>715</v>
      </c>
      <c r="B49" t="s">
        <v>97</v>
      </c>
      <c r="C49" t="s">
        <v>98</v>
      </c>
      <c r="D49" t="str">
        <f>HYPERLINK("http://service.sap.com/sap/support/notes/1720748","1720748")</f>
        <v>1720748</v>
      </c>
      <c r="E49">
        <v>2</v>
      </c>
      <c r="F49" t="s">
        <v>101</v>
      </c>
    </row>
    <row r="50" spans="1:6" x14ac:dyDescent="0.25">
      <c r="A50" t="s">
        <v>715</v>
      </c>
      <c r="B50" t="s">
        <v>97</v>
      </c>
      <c r="C50" t="s">
        <v>98</v>
      </c>
      <c r="D50" t="str">
        <f>HYPERLINK("http://service.sap.com/sap/support/notes/1732425","1732425")</f>
        <v>1732425</v>
      </c>
      <c r="E50">
        <v>3</v>
      </c>
      <c r="F50" t="s">
        <v>102</v>
      </c>
    </row>
    <row r="51" spans="1:6" x14ac:dyDescent="0.25">
      <c r="A51" t="s">
        <v>715</v>
      </c>
      <c r="B51" t="s">
        <v>97</v>
      </c>
      <c r="C51" t="s">
        <v>98</v>
      </c>
      <c r="D51" t="str">
        <f>HYPERLINK("http://service.sap.com/sap/support/notes/1734459","1734459")</f>
        <v>1734459</v>
      </c>
      <c r="E51">
        <v>4</v>
      </c>
      <c r="F51" t="s">
        <v>103</v>
      </c>
    </row>
    <row r="52" spans="1:6" x14ac:dyDescent="0.25">
      <c r="A52" t="s">
        <v>715</v>
      </c>
      <c r="B52" t="s">
        <v>97</v>
      </c>
      <c r="C52" t="s">
        <v>98</v>
      </c>
      <c r="D52" t="str">
        <f>HYPERLINK("http://service.sap.com/sap/support/notes/1744918","1744918")</f>
        <v>1744918</v>
      </c>
      <c r="E52">
        <v>3</v>
      </c>
      <c r="F52" t="s">
        <v>104</v>
      </c>
    </row>
    <row r="53" spans="1:6" x14ac:dyDescent="0.25">
      <c r="A53" t="s">
        <v>715</v>
      </c>
      <c r="B53" t="s">
        <v>97</v>
      </c>
      <c r="C53" t="s">
        <v>98</v>
      </c>
      <c r="D53" t="str">
        <f>HYPERLINK("http://service.sap.com/sap/support/notes/1749220","1749220")</f>
        <v>1749220</v>
      </c>
      <c r="E53">
        <v>2</v>
      </c>
      <c r="F53" t="s">
        <v>105</v>
      </c>
    </row>
    <row r="54" spans="1:6" x14ac:dyDescent="0.25">
      <c r="A54" t="s">
        <v>715</v>
      </c>
      <c r="B54" t="s">
        <v>97</v>
      </c>
      <c r="C54" t="s">
        <v>98</v>
      </c>
      <c r="D54" t="str">
        <f>HYPERLINK("http://service.sap.com/sap/support/notes/1752916","1752916")</f>
        <v>1752916</v>
      </c>
      <c r="E54">
        <v>2</v>
      </c>
      <c r="F54" t="s">
        <v>106</v>
      </c>
    </row>
    <row r="55" spans="1:6" x14ac:dyDescent="0.25">
      <c r="A55" t="s">
        <v>715</v>
      </c>
      <c r="B55" t="s">
        <v>97</v>
      </c>
      <c r="C55" t="s">
        <v>98</v>
      </c>
      <c r="D55" t="str">
        <f>HYPERLINK("http://service.sap.com/sap/support/notes/1761586","1761586")</f>
        <v>1761586</v>
      </c>
      <c r="E55">
        <v>1</v>
      </c>
      <c r="F55" t="s">
        <v>107</v>
      </c>
    </row>
    <row r="56" spans="1:6" x14ac:dyDescent="0.25">
      <c r="A56" t="s">
        <v>715</v>
      </c>
      <c r="B56" t="s">
        <v>97</v>
      </c>
      <c r="C56" t="s">
        <v>98</v>
      </c>
      <c r="D56" t="str">
        <f>HYPERLINK("http://service.sap.com/sap/support/notes/1761831","1761831")</f>
        <v>1761831</v>
      </c>
      <c r="E56">
        <v>3</v>
      </c>
      <c r="F56" t="s">
        <v>108</v>
      </c>
    </row>
    <row r="57" spans="1:6" x14ac:dyDescent="0.25">
      <c r="A57" t="s">
        <v>715</v>
      </c>
      <c r="B57" t="s">
        <v>97</v>
      </c>
      <c r="C57" t="s">
        <v>98</v>
      </c>
      <c r="D57" t="str">
        <f>HYPERLINK("http://service.sap.com/sap/support/notes/1765434","1765434")</f>
        <v>1765434</v>
      </c>
      <c r="E57">
        <v>2</v>
      </c>
      <c r="F57" t="s">
        <v>109</v>
      </c>
    </row>
    <row r="58" spans="1:6" x14ac:dyDescent="0.25">
      <c r="A58" t="s">
        <v>715</v>
      </c>
      <c r="B58" t="s">
        <v>97</v>
      </c>
      <c r="C58" t="s">
        <v>98</v>
      </c>
      <c r="D58" t="str">
        <f>HYPERLINK("http://service.sap.com/sap/support/notes/1766287","1766287")</f>
        <v>1766287</v>
      </c>
      <c r="E58">
        <v>2</v>
      </c>
      <c r="F58" t="s">
        <v>110</v>
      </c>
    </row>
    <row r="59" spans="1:6" x14ac:dyDescent="0.25">
      <c r="A59" t="s">
        <v>715</v>
      </c>
      <c r="B59" t="s">
        <v>97</v>
      </c>
      <c r="C59" t="s">
        <v>98</v>
      </c>
      <c r="D59" t="str">
        <f>HYPERLINK("http://service.sap.com/sap/support/notes/1769253","1769253")</f>
        <v>1769253</v>
      </c>
      <c r="E59">
        <v>1</v>
      </c>
      <c r="F59" t="s">
        <v>111</v>
      </c>
    </row>
    <row r="60" spans="1:6" x14ac:dyDescent="0.25">
      <c r="A60" t="s">
        <v>715</v>
      </c>
      <c r="B60" t="s">
        <v>97</v>
      </c>
      <c r="C60" t="s">
        <v>98</v>
      </c>
      <c r="D60" t="str">
        <f>HYPERLINK("http://service.sap.com/sap/support/notes/1770343","1770343")</f>
        <v>1770343</v>
      </c>
      <c r="E60">
        <v>3</v>
      </c>
      <c r="F60" t="s">
        <v>112</v>
      </c>
    </row>
    <row r="61" spans="1:6" x14ac:dyDescent="0.25">
      <c r="A61" t="s">
        <v>715</v>
      </c>
      <c r="B61" t="s">
        <v>97</v>
      </c>
      <c r="C61" t="s">
        <v>98</v>
      </c>
      <c r="D61" t="str">
        <f>HYPERLINK("http://service.sap.com/sap/support/notes/1773851","1773851")</f>
        <v>1773851</v>
      </c>
      <c r="E61">
        <v>1</v>
      </c>
      <c r="F61" t="s">
        <v>113</v>
      </c>
    </row>
    <row r="62" spans="1:6" x14ac:dyDescent="0.25">
      <c r="A62" t="s">
        <v>715</v>
      </c>
      <c r="B62" t="s">
        <v>114</v>
      </c>
      <c r="C62" t="s">
        <v>115</v>
      </c>
      <c r="D62" t="str">
        <f>HYPERLINK("http://service.sap.com/sap/support/notes/1762544","1762544")</f>
        <v>1762544</v>
      </c>
      <c r="E62">
        <v>1</v>
      </c>
      <c r="F62" t="s">
        <v>116</v>
      </c>
    </row>
    <row r="63" spans="1:6" x14ac:dyDescent="0.25">
      <c r="A63" t="s">
        <v>715</v>
      </c>
      <c r="B63" t="s">
        <v>114</v>
      </c>
      <c r="C63" t="s">
        <v>115</v>
      </c>
      <c r="D63" t="str">
        <f>HYPERLINK("http://service.sap.com/sap/support/notes/1767926","1767926")</f>
        <v>1767926</v>
      </c>
      <c r="E63">
        <v>1</v>
      </c>
      <c r="F63" t="s">
        <v>117</v>
      </c>
    </row>
    <row r="64" spans="1:6" x14ac:dyDescent="0.25">
      <c r="A64" t="s">
        <v>715</v>
      </c>
      <c r="B64" t="s">
        <v>114</v>
      </c>
      <c r="C64" t="s">
        <v>115</v>
      </c>
      <c r="D64" t="str">
        <f>HYPERLINK("http://service.sap.com/sap/support/notes/1770276","1770276")</f>
        <v>1770276</v>
      </c>
      <c r="E64">
        <v>1</v>
      </c>
      <c r="F64" t="s">
        <v>118</v>
      </c>
    </row>
    <row r="65" spans="1:6" x14ac:dyDescent="0.25">
      <c r="A65" t="s">
        <v>715</v>
      </c>
      <c r="B65" t="s">
        <v>114</v>
      </c>
      <c r="C65" t="s">
        <v>115</v>
      </c>
      <c r="D65" t="str">
        <f>HYPERLINK("http://service.sap.com/sap/support/notes/1770293","1770293")</f>
        <v>1770293</v>
      </c>
      <c r="E65">
        <v>1</v>
      </c>
      <c r="F65" t="s">
        <v>119</v>
      </c>
    </row>
    <row r="66" spans="1:6" x14ac:dyDescent="0.25">
      <c r="A66" t="s">
        <v>715</v>
      </c>
      <c r="B66" t="s">
        <v>114</v>
      </c>
      <c r="C66" t="s">
        <v>115</v>
      </c>
      <c r="D66" t="str">
        <f>HYPERLINK("http://service.sap.com/sap/support/notes/1771829","1771829")</f>
        <v>1771829</v>
      </c>
      <c r="E66">
        <v>1</v>
      </c>
      <c r="F66" t="s">
        <v>120</v>
      </c>
    </row>
    <row r="67" spans="1:6" x14ac:dyDescent="0.25">
      <c r="A67" t="s">
        <v>715</v>
      </c>
      <c r="B67" t="s">
        <v>114</v>
      </c>
      <c r="C67" t="s">
        <v>115</v>
      </c>
      <c r="D67" t="str">
        <f>HYPERLINK("http://service.sap.com/sap/support/notes/1771913","1771913")</f>
        <v>1771913</v>
      </c>
      <c r="E67">
        <v>1</v>
      </c>
      <c r="F67" t="s">
        <v>121</v>
      </c>
    </row>
    <row r="68" spans="1:6" x14ac:dyDescent="0.25">
      <c r="A68" t="s">
        <v>715</v>
      </c>
      <c r="B68" t="s">
        <v>114</v>
      </c>
      <c r="C68" t="s">
        <v>115</v>
      </c>
      <c r="D68" t="str">
        <f>HYPERLINK("http://service.sap.com/sap/support/notes/1771914","1771914")</f>
        <v>1771914</v>
      </c>
      <c r="E68">
        <v>1</v>
      </c>
      <c r="F68" t="s">
        <v>122</v>
      </c>
    </row>
    <row r="69" spans="1:6" x14ac:dyDescent="0.25">
      <c r="A69" t="s">
        <v>715</v>
      </c>
      <c r="B69" t="s">
        <v>114</v>
      </c>
      <c r="C69" t="s">
        <v>115</v>
      </c>
      <c r="D69" t="str">
        <f>HYPERLINK("http://service.sap.com/sap/support/notes/1773266","1773266")</f>
        <v>1773266</v>
      </c>
      <c r="E69">
        <v>1</v>
      </c>
      <c r="F69" t="s">
        <v>123</v>
      </c>
    </row>
    <row r="70" spans="1:6" x14ac:dyDescent="0.25">
      <c r="A70" t="s">
        <v>715</v>
      </c>
      <c r="B70" t="s">
        <v>114</v>
      </c>
      <c r="C70" t="s">
        <v>115</v>
      </c>
      <c r="D70" t="str">
        <f>HYPERLINK("http://service.sap.com/sap/support/notes/1774939","1774939")</f>
        <v>1774939</v>
      </c>
      <c r="E70">
        <v>1</v>
      </c>
      <c r="F70" t="s">
        <v>124</v>
      </c>
    </row>
    <row r="71" spans="1:6" x14ac:dyDescent="0.25">
      <c r="A71" t="s">
        <v>715</v>
      </c>
      <c r="B71" t="s">
        <v>114</v>
      </c>
      <c r="C71" t="s">
        <v>115</v>
      </c>
      <c r="D71" t="str">
        <f>HYPERLINK("http://service.sap.com/sap/support/notes/1775204","1775204")</f>
        <v>1775204</v>
      </c>
      <c r="E71">
        <v>2</v>
      </c>
      <c r="F71" t="s">
        <v>125</v>
      </c>
    </row>
    <row r="72" spans="1:6" x14ac:dyDescent="0.25">
      <c r="A72" t="s">
        <v>715</v>
      </c>
      <c r="B72" t="s">
        <v>114</v>
      </c>
      <c r="C72" t="s">
        <v>115</v>
      </c>
      <c r="D72" t="str">
        <f>HYPERLINK("http://service.sap.com/sap/support/notes/1777885","1777885")</f>
        <v>1777885</v>
      </c>
      <c r="E72">
        <v>1</v>
      </c>
      <c r="F72" t="s">
        <v>126</v>
      </c>
    </row>
    <row r="73" spans="1:6" x14ac:dyDescent="0.25">
      <c r="A73" t="s">
        <v>715</v>
      </c>
      <c r="B73" t="s">
        <v>127</v>
      </c>
      <c r="C73" t="s">
        <v>128</v>
      </c>
      <c r="D73" t="str">
        <f>HYPERLINK("http://service.sap.com/sap/support/notes/1611269","1611269")</f>
        <v>1611269</v>
      </c>
      <c r="E73">
        <v>2</v>
      </c>
      <c r="F73" t="s">
        <v>129</v>
      </c>
    </row>
    <row r="74" spans="1:6" x14ac:dyDescent="0.25">
      <c r="A74" t="s">
        <v>715</v>
      </c>
      <c r="B74" t="s">
        <v>127</v>
      </c>
      <c r="C74" t="s">
        <v>128</v>
      </c>
      <c r="D74" t="str">
        <f>HYPERLINK("http://service.sap.com/sap/support/notes/1774053","1774053")</f>
        <v>1774053</v>
      </c>
      <c r="E74">
        <v>1</v>
      </c>
      <c r="F74" t="s">
        <v>130</v>
      </c>
    </row>
    <row r="75" spans="1:6" x14ac:dyDescent="0.25">
      <c r="A75" t="s">
        <v>715</v>
      </c>
      <c r="B75" t="s">
        <v>131</v>
      </c>
      <c r="C75" t="s">
        <v>132</v>
      </c>
      <c r="D75" t="str">
        <f>HYPERLINK("http://service.sap.com/sap/support/notes/1738052","1738052")</f>
        <v>1738052</v>
      </c>
      <c r="E75">
        <v>3</v>
      </c>
      <c r="F75" t="s">
        <v>133</v>
      </c>
    </row>
    <row r="76" spans="1:6" x14ac:dyDescent="0.25">
      <c r="A76" t="s">
        <v>715</v>
      </c>
      <c r="B76" t="s">
        <v>131</v>
      </c>
      <c r="C76" t="s">
        <v>132</v>
      </c>
      <c r="D76" t="str">
        <f>HYPERLINK("http://service.sap.com/sap/support/notes/1752176","1752176")</f>
        <v>1752176</v>
      </c>
      <c r="E76">
        <v>3</v>
      </c>
      <c r="F76" t="s">
        <v>134</v>
      </c>
    </row>
    <row r="77" spans="1:6" x14ac:dyDescent="0.25">
      <c r="A77" t="s">
        <v>715</v>
      </c>
      <c r="B77" t="s">
        <v>131</v>
      </c>
      <c r="C77" t="s">
        <v>132</v>
      </c>
      <c r="D77" t="str">
        <f>HYPERLINK("http://service.sap.com/sap/support/notes/1759471","1759471")</f>
        <v>1759471</v>
      </c>
      <c r="E77">
        <v>4</v>
      </c>
      <c r="F77" t="s">
        <v>135</v>
      </c>
    </row>
    <row r="78" spans="1:6" x14ac:dyDescent="0.25">
      <c r="A78" t="s">
        <v>715</v>
      </c>
      <c r="B78" t="s">
        <v>131</v>
      </c>
      <c r="C78" t="s">
        <v>132</v>
      </c>
      <c r="D78" t="str">
        <f>HYPERLINK("http://service.sap.com/sap/support/notes/1761750","1761750")</f>
        <v>1761750</v>
      </c>
      <c r="E78">
        <v>4</v>
      </c>
      <c r="F78" t="s">
        <v>136</v>
      </c>
    </row>
    <row r="79" spans="1:6" x14ac:dyDescent="0.25">
      <c r="A79" t="s">
        <v>715</v>
      </c>
      <c r="B79" t="s">
        <v>131</v>
      </c>
      <c r="C79" t="s">
        <v>132</v>
      </c>
      <c r="D79" t="str">
        <f>HYPERLINK("http://service.sap.com/sap/support/notes/1763152","1763152")</f>
        <v>1763152</v>
      </c>
      <c r="E79">
        <v>3</v>
      </c>
      <c r="F79" t="s">
        <v>137</v>
      </c>
    </row>
    <row r="80" spans="1:6" x14ac:dyDescent="0.25">
      <c r="A80" t="s">
        <v>715</v>
      </c>
      <c r="B80" t="s">
        <v>131</v>
      </c>
      <c r="C80" t="s">
        <v>132</v>
      </c>
      <c r="D80" t="str">
        <f>HYPERLINK("http://service.sap.com/sap/support/notes/1766324","1766324")</f>
        <v>1766324</v>
      </c>
      <c r="E80">
        <v>2</v>
      </c>
      <c r="F80" t="s">
        <v>138</v>
      </c>
    </row>
    <row r="81" spans="1:6" x14ac:dyDescent="0.25">
      <c r="A81" t="s">
        <v>715</v>
      </c>
      <c r="B81" t="s">
        <v>131</v>
      </c>
      <c r="C81" t="s">
        <v>132</v>
      </c>
      <c r="D81" t="str">
        <f>HYPERLINK("http://service.sap.com/sap/support/notes/1769376","1769376")</f>
        <v>1769376</v>
      </c>
      <c r="E81">
        <v>1</v>
      </c>
      <c r="F81" t="s">
        <v>139</v>
      </c>
    </row>
    <row r="82" spans="1:6" x14ac:dyDescent="0.25">
      <c r="A82" t="s">
        <v>715</v>
      </c>
      <c r="B82" t="s">
        <v>131</v>
      </c>
      <c r="C82" t="s">
        <v>132</v>
      </c>
      <c r="D82" t="str">
        <f>HYPERLINK("http://service.sap.com/sap/support/notes/1769404","1769404")</f>
        <v>1769404</v>
      </c>
      <c r="E82">
        <v>4</v>
      </c>
      <c r="F82" t="s">
        <v>140</v>
      </c>
    </row>
    <row r="83" spans="1:6" x14ac:dyDescent="0.25">
      <c r="A83" t="s">
        <v>715</v>
      </c>
      <c r="B83" t="s">
        <v>131</v>
      </c>
      <c r="C83" t="s">
        <v>132</v>
      </c>
      <c r="D83" t="str">
        <f>HYPERLINK("http://service.sap.com/sap/support/notes/1772856","1772856")</f>
        <v>1772856</v>
      </c>
      <c r="E83">
        <v>1</v>
      </c>
      <c r="F83" t="s">
        <v>141</v>
      </c>
    </row>
    <row r="84" spans="1:6" x14ac:dyDescent="0.25">
      <c r="A84" t="s">
        <v>715</v>
      </c>
      <c r="B84" t="s">
        <v>131</v>
      </c>
      <c r="C84" t="s">
        <v>132</v>
      </c>
      <c r="D84" t="str">
        <f>HYPERLINK("http://service.sap.com/sap/support/notes/1772932","1772932")</f>
        <v>1772932</v>
      </c>
      <c r="E84">
        <v>1</v>
      </c>
      <c r="F84" t="s">
        <v>142</v>
      </c>
    </row>
    <row r="85" spans="1:6" x14ac:dyDescent="0.25">
      <c r="A85" t="s">
        <v>715</v>
      </c>
      <c r="B85" t="s">
        <v>131</v>
      </c>
      <c r="C85" t="s">
        <v>132</v>
      </c>
      <c r="D85" t="str">
        <f>HYPERLINK("http://service.sap.com/sap/support/notes/1773528","1773528")</f>
        <v>1773528</v>
      </c>
      <c r="E85">
        <v>3</v>
      </c>
      <c r="F85" t="s">
        <v>143</v>
      </c>
    </row>
    <row r="86" spans="1:6" x14ac:dyDescent="0.25">
      <c r="A86" t="s">
        <v>715</v>
      </c>
      <c r="B86" t="s">
        <v>144</v>
      </c>
      <c r="C86" t="s">
        <v>145</v>
      </c>
      <c r="D86" t="str">
        <f>HYPERLINK("http://service.sap.com/sap/support/notes/1543659","1543659")</f>
        <v>1543659</v>
      </c>
      <c r="E86">
        <v>2</v>
      </c>
      <c r="F86" t="s">
        <v>146</v>
      </c>
    </row>
    <row r="87" spans="1:6" x14ac:dyDescent="0.25">
      <c r="A87" t="s">
        <v>715</v>
      </c>
      <c r="B87" t="s">
        <v>144</v>
      </c>
      <c r="C87" t="s">
        <v>145</v>
      </c>
      <c r="D87" t="str">
        <f>HYPERLINK("http://service.sap.com/sap/support/notes/1762986","1762986")</f>
        <v>1762986</v>
      </c>
      <c r="E87">
        <v>7</v>
      </c>
      <c r="F87" t="s">
        <v>147</v>
      </c>
    </row>
    <row r="88" spans="1:6" x14ac:dyDescent="0.25">
      <c r="A88" t="s">
        <v>715</v>
      </c>
      <c r="B88" t="s">
        <v>144</v>
      </c>
      <c r="C88" t="s">
        <v>145</v>
      </c>
      <c r="D88" t="str">
        <f>HYPERLINK("http://service.sap.com/sap/support/notes/1766196","1766196")</f>
        <v>1766196</v>
      </c>
      <c r="E88">
        <v>2</v>
      </c>
      <c r="F88" t="s">
        <v>148</v>
      </c>
    </row>
    <row r="89" spans="1:6" x14ac:dyDescent="0.25">
      <c r="A89" t="s">
        <v>715</v>
      </c>
      <c r="B89" t="s">
        <v>144</v>
      </c>
      <c r="C89" t="s">
        <v>145</v>
      </c>
      <c r="D89" t="str">
        <f>HYPERLINK("http://service.sap.com/sap/support/notes/1772737","1772737")</f>
        <v>1772737</v>
      </c>
      <c r="E89">
        <v>3</v>
      </c>
      <c r="F89" t="s">
        <v>149</v>
      </c>
    </row>
    <row r="90" spans="1:6" x14ac:dyDescent="0.25">
      <c r="A90" t="s">
        <v>715</v>
      </c>
      <c r="B90" t="s">
        <v>150</v>
      </c>
      <c r="C90" t="s">
        <v>151</v>
      </c>
    </row>
    <row r="91" spans="1:6" x14ac:dyDescent="0.25">
      <c r="A91" t="s">
        <v>715</v>
      </c>
      <c r="B91" t="s">
        <v>152</v>
      </c>
      <c r="C91" t="s">
        <v>153</v>
      </c>
      <c r="D91" t="str">
        <f>HYPERLINK("http://service.sap.com/sap/support/notes/1640390","1640390")</f>
        <v>1640390</v>
      </c>
      <c r="E91">
        <v>2</v>
      </c>
      <c r="F91" t="s">
        <v>154</v>
      </c>
    </row>
    <row r="92" spans="1:6" x14ac:dyDescent="0.25">
      <c r="A92" t="s">
        <v>715</v>
      </c>
      <c r="B92" t="s">
        <v>155</v>
      </c>
      <c r="C92" t="s">
        <v>156</v>
      </c>
      <c r="D92" t="str">
        <f>HYPERLINK("http://service.sap.com/sap/support/notes/1732937","1732937")</f>
        <v>1732937</v>
      </c>
      <c r="E92">
        <v>1</v>
      </c>
      <c r="F92" t="s">
        <v>157</v>
      </c>
    </row>
    <row r="93" spans="1:6" x14ac:dyDescent="0.25">
      <c r="A93" t="s">
        <v>715</v>
      </c>
      <c r="B93" t="s">
        <v>155</v>
      </c>
      <c r="C93" t="s">
        <v>156</v>
      </c>
      <c r="D93" t="str">
        <f>HYPERLINK("http://service.sap.com/sap/support/notes/1747736","1747736")</f>
        <v>1747736</v>
      </c>
      <c r="E93">
        <v>2</v>
      </c>
      <c r="F93" t="s">
        <v>158</v>
      </c>
    </row>
    <row r="94" spans="1:6" x14ac:dyDescent="0.25">
      <c r="A94" t="s">
        <v>715</v>
      </c>
      <c r="B94" t="s">
        <v>159</v>
      </c>
      <c r="C94" t="s">
        <v>160</v>
      </c>
      <c r="D94" t="str">
        <f>HYPERLINK("http://service.sap.com/sap/support/notes/1745497","1745497")</f>
        <v>1745497</v>
      </c>
      <c r="E94">
        <v>2</v>
      </c>
      <c r="F94" t="s">
        <v>161</v>
      </c>
    </row>
    <row r="95" spans="1:6" x14ac:dyDescent="0.25">
      <c r="A95" t="s">
        <v>715</v>
      </c>
      <c r="B95" t="s">
        <v>159</v>
      </c>
      <c r="C95" t="s">
        <v>160</v>
      </c>
      <c r="D95" t="str">
        <f>HYPERLINK("http://service.sap.com/sap/support/notes/1761234","1761234")</f>
        <v>1761234</v>
      </c>
      <c r="E95">
        <v>3</v>
      </c>
      <c r="F95" t="s">
        <v>162</v>
      </c>
    </row>
    <row r="96" spans="1:6" x14ac:dyDescent="0.25">
      <c r="A96" t="s">
        <v>715</v>
      </c>
      <c r="B96" t="s">
        <v>159</v>
      </c>
      <c r="C96" t="s">
        <v>160</v>
      </c>
      <c r="D96" t="str">
        <f>HYPERLINK("http://service.sap.com/sap/support/notes/1766763","1766763")</f>
        <v>1766763</v>
      </c>
      <c r="E96">
        <v>2</v>
      </c>
      <c r="F96" t="s">
        <v>163</v>
      </c>
    </row>
    <row r="97" spans="1:6" x14ac:dyDescent="0.25">
      <c r="A97" t="s">
        <v>715</v>
      </c>
      <c r="B97" t="s">
        <v>159</v>
      </c>
      <c r="C97" t="s">
        <v>160</v>
      </c>
      <c r="D97" t="str">
        <f>HYPERLINK("http://service.sap.com/sap/support/notes/1767965","1767965")</f>
        <v>1767965</v>
      </c>
      <c r="E97">
        <v>1</v>
      </c>
      <c r="F97" t="s">
        <v>164</v>
      </c>
    </row>
    <row r="98" spans="1:6" x14ac:dyDescent="0.25">
      <c r="A98" t="s">
        <v>715</v>
      </c>
      <c r="B98" t="s">
        <v>165</v>
      </c>
      <c r="C98" t="s">
        <v>31</v>
      </c>
      <c r="D98" t="str">
        <f>HYPERLINK("http://service.sap.com/sap/support/notes/1751881","1751881")</f>
        <v>1751881</v>
      </c>
      <c r="E98">
        <v>2</v>
      </c>
      <c r="F98" t="s">
        <v>166</v>
      </c>
    </row>
    <row r="99" spans="1:6" x14ac:dyDescent="0.25">
      <c r="A99" t="s">
        <v>715</v>
      </c>
      <c r="B99" t="s">
        <v>165</v>
      </c>
      <c r="C99" t="s">
        <v>31</v>
      </c>
      <c r="D99" t="str">
        <f>HYPERLINK("http://service.sap.com/sap/support/notes/1751931","1751931")</f>
        <v>1751931</v>
      </c>
      <c r="E99">
        <v>3</v>
      </c>
      <c r="F99" t="s">
        <v>167</v>
      </c>
    </row>
    <row r="100" spans="1:6" x14ac:dyDescent="0.25">
      <c r="A100" t="s">
        <v>715</v>
      </c>
      <c r="B100" t="s">
        <v>165</v>
      </c>
      <c r="C100" t="s">
        <v>31</v>
      </c>
      <c r="D100" t="str">
        <f>HYPERLINK("http://service.sap.com/sap/support/notes/1769323","1769323")</f>
        <v>1769323</v>
      </c>
      <c r="E100">
        <v>3</v>
      </c>
      <c r="F100" t="s">
        <v>168</v>
      </c>
    </row>
    <row r="101" spans="1:6" x14ac:dyDescent="0.25">
      <c r="A101" t="s">
        <v>715</v>
      </c>
      <c r="B101" t="s">
        <v>169</v>
      </c>
      <c r="C101" t="s">
        <v>34</v>
      </c>
      <c r="D101" t="str">
        <f>HYPERLINK("http://service.sap.com/sap/support/notes/1748133","1748133")</f>
        <v>1748133</v>
      </c>
      <c r="E101">
        <v>5</v>
      </c>
      <c r="F101" t="s">
        <v>170</v>
      </c>
    </row>
    <row r="102" spans="1:6" x14ac:dyDescent="0.25">
      <c r="A102" t="s">
        <v>715</v>
      </c>
      <c r="B102" t="s">
        <v>169</v>
      </c>
      <c r="C102" t="s">
        <v>34</v>
      </c>
      <c r="D102" t="str">
        <f>HYPERLINK("http://service.sap.com/sap/support/notes/1753497","1753497")</f>
        <v>1753497</v>
      </c>
      <c r="E102">
        <v>2</v>
      </c>
      <c r="F102" t="s">
        <v>171</v>
      </c>
    </row>
    <row r="103" spans="1:6" x14ac:dyDescent="0.25">
      <c r="A103" t="s">
        <v>715</v>
      </c>
      <c r="B103" t="s">
        <v>169</v>
      </c>
      <c r="C103" t="s">
        <v>34</v>
      </c>
      <c r="D103" t="str">
        <f>HYPERLINK("http://service.sap.com/sap/support/notes/1773264","1773264")</f>
        <v>1773264</v>
      </c>
      <c r="E103">
        <v>1</v>
      </c>
      <c r="F103" t="s">
        <v>172</v>
      </c>
    </row>
    <row r="104" spans="1:6" x14ac:dyDescent="0.25">
      <c r="A104" t="s">
        <v>715</v>
      </c>
      <c r="B104" t="s">
        <v>169</v>
      </c>
      <c r="C104" t="s">
        <v>34</v>
      </c>
      <c r="D104" t="str">
        <f>HYPERLINK("http://service.sap.com/sap/support/notes/1773788","1773788")</f>
        <v>1773788</v>
      </c>
      <c r="E104">
        <v>1</v>
      </c>
      <c r="F104" t="s">
        <v>173</v>
      </c>
    </row>
    <row r="105" spans="1:6" x14ac:dyDescent="0.25">
      <c r="A105" t="s">
        <v>715</v>
      </c>
      <c r="B105" t="s">
        <v>169</v>
      </c>
      <c r="C105" t="s">
        <v>34</v>
      </c>
      <c r="D105" t="str">
        <f>HYPERLINK("http://service.sap.com/sap/support/notes/1774302","1774302")</f>
        <v>1774302</v>
      </c>
      <c r="E105">
        <v>1</v>
      </c>
      <c r="F105" t="s">
        <v>174</v>
      </c>
    </row>
    <row r="106" spans="1:6" x14ac:dyDescent="0.25">
      <c r="A106" t="s">
        <v>715</v>
      </c>
      <c r="B106" t="s">
        <v>175</v>
      </c>
      <c r="C106" t="s">
        <v>176</v>
      </c>
    </row>
    <row r="107" spans="1:6" x14ac:dyDescent="0.25">
      <c r="A107" t="s">
        <v>715</v>
      </c>
      <c r="B107" t="s">
        <v>177</v>
      </c>
      <c r="C107" t="s">
        <v>178</v>
      </c>
      <c r="D107" t="str">
        <f>HYPERLINK("http://service.sap.com/sap/support/notes/1769713","1769713")</f>
        <v>1769713</v>
      </c>
      <c r="E107">
        <v>4</v>
      </c>
      <c r="F107" t="s">
        <v>179</v>
      </c>
    </row>
    <row r="108" spans="1:6" x14ac:dyDescent="0.25">
      <c r="A108" t="s">
        <v>715</v>
      </c>
      <c r="B108" t="s">
        <v>180</v>
      </c>
      <c r="C108" t="s">
        <v>181</v>
      </c>
      <c r="D108" t="str">
        <f>HYPERLINK("http://service.sap.com/sap/support/notes/1769011","1769011")</f>
        <v>1769011</v>
      </c>
      <c r="E108">
        <v>4</v>
      </c>
      <c r="F108" t="s">
        <v>182</v>
      </c>
    </row>
    <row r="109" spans="1:6" x14ac:dyDescent="0.25">
      <c r="A109" t="s">
        <v>715</v>
      </c>
      <c r="B109" t="s">
        <v>183</v>
      </c>
      <c r="C109" t="s">
        <v>184</v>
      </c>
    </row>
    <row r="110" spans="1:6" x14ac:dyDescent="0.25">
      <c r="A110" t="s">
        <v>715</v>
      </c>
      <c r="B110" t="s">
        <v>185</v>
      </c>
      <c r="C110" t="s">
        <v>186</v>
      </c>
      <c r="D110" t="str">
        <f>HYPERLINK("http://service.sap.com/sap/support/notes/1691251","1691251")</f>
        <v>1691251</v>
      </c>
      <c r="E110">
        <v>2</v>
      </c>
      <c r="F110" t="s">
        <v>187</v>
      </c>
    </row>
    <row r="111" spans="1:6" x14ac:dyDescent="0.25">
      <c r="A111" t="s">
        <v>715</v>
      </c>
      <c r="B111" t="s">
        <v>185</v>
      </c>
      <c r="C111" t="s">
        <v>186</v>
      </c>
      <c r="D111" t="str">
        <f>HYPERLINK("http://service.sap.com/sap/support/notes/1734092","1734092")</f>
        <v>1734092</v>
      </c>
      <c r="E111">
        <v>5</v>
      </c>
      <c r="F111" t="s">
        <v>188</v>
      </c>
    </row>
    <row r="112" spans="1:6" x14ac:dyDescent="0.25">
      <c r="A112" t="s">
        <v>715</v>
      </c>
      <c r="B112" t="s">
        <v>185</v>
      </c>
      <c r="C112" t="s">
        <v>186</v>
      </c>
      <c r="D112" t="str">
        <f>HYPERLINK("http://service.sap.com/sap/support/notes/1757155","1757155")</f>
        <v>1757155</v>
      </c>
      <c r="E112">
        <v>2</v>
      </c>
      <c r="F112" t="s">
        <v>189</v>
      </c>
    </row>
    <row r="113" spans="1:6" x14ac:dyDescent="0.25">
      <c r="A113" t="s">
        <v>715</v>
      </c>
      <c r="B113" t="s">
        <v>185</v>
      </c>
      <c r="C113" t="s">
        <v>186</v>
      </c>
      <c r="D113" t="str">
        <f>HYPERLINK("http://service.sap.com/sap/support/notes/1770938","1770938")</f>
        <v>1770938</v>
      </c>
      <c r="E113">
        <v>2</v>
      </c>
      <c r="F113" t="s">
        <v>190</v>
      </c>
    </row>
    <row r="114" spans="1:6" x14ac:dyDescent="0.25">
      <c r="A114" t="s">
        <v>715</v>
      </c>
      <c r="B114" t="s">
        <v>191</v>
      </c>
      <c r="C114" t="s">
        <v>192</v>
      </c>
      <c r="D114" t="str">
        <f>HYPERLINK("http://service.sap.com/sap/support/notes/1768990","1768990")</f>
        <v>1768990</v>
      </c>
      <c r="E114">
        <v>1</v>
      </c>
      <c r="F114" t="s">
        <v>193</v>
      </c>
    </row>
    <row r="115" spans="1:6" x14ac:dyDescent="0.25">
      <c r="A115" t="s">
        <v>715</v>
      </c>
      <c r="B115" t="s">
        <v>191</v>
      </c>
      <c r="C115" t="s">
        <v>192</v>
      </c>
      <c r="D115" t="str">
        <f>HYPERLINK("http://service.sap.com/sap/support/notes/1773628","1773628")</f>
        <v>1773628</v>
      </c>
      <c r="E115">
        <v>1</v>
      </c>
      <c r="F115" t="s">
        <v>194</v>
      </c>
    </row>
    <row r="116" spans="1:6" x14ac:dyDescent="0.25">
      <c r="A116" t="s">
        <v>715</v>
      </c>
      <c r="B116" t="s">
        <v>195</v>
      </c>
      <c r="C116" t="s">
        <v>196</v>
      </c>
    </row>
    <row r="117" spans="1:6" x14ac:dyDescent="0.25">
      <c r="A117" t="s">
        <v>715</v>
      </c>
      <c r="B117" t="s">
        <v>197</v>
      </c>
      <c r="C117" t="s">
        <v>198</v>
      </c>
      <c r="D117" t="str">
        <f>HYPERLINK("http://service.sap.com/sap/support/notes/1757923","1757923")</f>
        <v>1757923</v>
      </c>
      <c r="E117">
        <v>2</v>
      </c>
      <c r="F117" t="s">
        <v>199</v>
      </c>
    </row>
    <row r="118" spans="1:6" x14ac:dyDescent="0.25">
      <c r="A118" t="s">
        <v>715</v>
      </c>
      <c r="B118" t="s">
        <v>197</v>
      </c>
      <c r="C118" t="s">
        <v>198</v>
      </c>
      <c r="D118" t="str">
        <f>HYPERLINK("http://service.sap.com/sap/support/notes/1772312","1772312")</f>
        <v>1772312</v>
      </c>
      <c r="E118">
        <v>1</v>
      </c>
      <c r="F118" t="s">
        <v>200</v>
      </c>
    </row>
    <row r="119" spans="1:6" x14ac:dyDescent="0.25">
      <c r="A119" t="s">
        <v>715</v>
      </c>
      <c r="B119" t="s">
        <v>201</v>
      </c>
      <c r="C119" t="s">
        <v>202</v>
      </c>
      <c r="D119" t="str">
        <f>HYPERLINK("http://service.sap.com/sap/support/notes/1766868","1766868")</f>
        <v>1766868</v>
      </c>
      <c r="E119">
        <v>3</v>
      </c>
      <c r="F119" t="s">
        <v>203</v>
      </c>
    </row>
    <row r="120" spans="1:6" x14ac:dyDescent="0.25">
      <c r="A120" t="s">
        <v>715</v>
      </c>
      <c r="B120" t="s">
        <v>204</v>
      </c>
      <c r="C120" t="s">
        <v>205</v>
      </c>
      <c r="D120" t="str">
        <f>HYPERLINK("http://service.sap.com/sap/support/notes/1768119","1768119")</f>
        <v>1768119</v>
      </c>
      <c r="E120">
        <v>1</v>
      </c>
      <c r="F120" t="s">
        <v>206</v>
      </c>
    </row>
    <row r="121" spans="1:6" x14ac:dyDescent="0.25">
      <c r="A121" t="s">
        <v>715</v>
      </c>
      <c r="B121" t="s">
        <v>204</v>
      </c>
      <c r="C121" t="s">
        <v>205</v>
      </c>
      <c r="D121" t="str">
        <f>HYPERLINK("http://service.sap.com/sap/support/notes/1768233","1768233")</f>
        <v>1768233</v>
      </c>
      <c r="E121">
        <v>1</v>
      </c>
      <c r="F121" t="s">
        <v>207</v>
      </c>
    </row>
    <row r="122" spans="1:6" x14ac:dyDescent="0.25">
      <c r="A122" t="s">
        <v>715</v>
      </c>
      <c r="B122" t="s">
        <v>204</v>
      </c>
      <c r="C122" t="s">
        <v>205</v>
      </c>
      <c r="D122" t="str">
        <f>HYPERLINK("http://service.sap.com/sap/support/notes/1768404","1768404")</f>
        <v>1768404</v>
      </c>
      <c r="E122">
        <v>1</v>
      </c>
      <c r="F122" t="s">
        <v>208</v>
      </c>
    </row>
    <row r="123" spans="1:6" x14ac:dyDescent="0.25">
      <c r="A123" t="s">
        <v>715</v>
      </c>
      <c r="B123" t="s">
        <v>204</v>
      </c>
      <c r="C123" t="s">
        <v>205</v>
      </c>
      <c r="D123" t="str">
        <f>HYPERLINK("http://service.sap.com/sap/support/notes/1770017","1770017")</f>
        <v>1770017</v>
      </c>
      <c r="E123">
        <v>1</v>
      </c>
      <c r="F123" t="s">
        <v>209</v>
      </c>
    </row>
    <row r="124" spans="1:6" x14ac:dyDescent="0.25">
      <c r="A124" t="s">
        <v>715</v>
      </c>
      <c r="B124" t="s">
        <v>204</v>
      </c>
      <c r="C124" t="s">
        <v>205</v>
      </c>
      <c r="D124" t="str">
        <f>HYPERLINK("http://service.sap.com/sap/support/notes/1774250","1774250")</f>
        <v>1774250</v>
      </c>
      <c r="E124">
        <v>2</v>
      </c>
      <c r="F124" t="s">
        <v>210</v>
      </c>
    </row>
    <row r="125" spans="1:6" x14ac:dyDescent="0.25">
      <c r="A125" t="s">
        <v>715</v>
      </c>
      <c r="B125" t="s">
        <v>211</v>
      </c>
      <c r="C125" t="s">
        <v>128</v>
      </c>
      <c r="D125" t="str">
        <f>HYPERLINK("http://service.sap.com/sap/support/notes/1767559","1767559")</f>
        <v>1767559</v>
      </c>
      <c r="E125">
        <v>1</v>
      </c>
      <c r="F125" t="s">
        <v>212</v>
      </c>
    </row>
    <row r="126" spans="1:6" x14ac:dyDescent="0.25">
      <c r="A126" t="s">
        <v>715</v>
      </c>
      <c r="B126" t="s">
        <v>211</v>
      </c>
      <c r="C126" t="s">
        <v>128</v>
      </c>
      <c r="D126" t="str">
        <f>HYPERLINK("http://service.sap.com/sap/support/notes/1767910","1767910")</f>
        <v>1767910</v>
      </c>
      <c r="E126">
        <v>1</v>
      </c>
      <c r="F126" t="s">
        <v>213</v>
      </c>
    </row>
    <row r="127" spans="1:6" x14ac:dyDescent="0.25">
      <c r="A127" t="s">
        <v>715</v>
      </c>
      <c r="B127" t="s">
        <v>211</v>
      </c>
      <c r="C127" t="s">
        <v>128</v>
      </c>
      <c r="D127" t="str">
        <f>HYPERLINK("http://service.sap.com/sap/support/notes/1769542","1769542")</f>
        <v>1769542</v>
      </c>
      <c r="E127">
        <v>1</v>
      </c>
      <c r="F127" t="s">
        <v>214</v>
      </c>
    </row>
    <row r="128" spans="1:6" x14ac:dyDescent="0.25">
      <c r="A128" t="s">
        <v>715</v>
      </c>
      <c r="B128" t="s">
        <v>211</v>
      </c>
      <c r="C128" t="s">
        <v>128</v>
      </c>
      <c r="D128" t="str">
        <f>HYPERLINK("http://service.sap.com/sap/support/notes/1770444","1770444")</f>
        <v>1770444</v>
      </c>
      <c r="E128">
        <v>1</v>
      </c>
      <c r="F128" t="s">
        <v>215</v>
      </c>
    </row>
    <row r="129" spans="1:6" x14ac:dyDescent="0.25">
      <c r="A129" t="s">
        <v>715</v>
      </c>
      <c r="B129" t="s">
        <v>211</v>
      </c>
      <c r="C129" t="s">
        <v>128</v>
      </c>
      <c r="D129" t="str">
        <f>HYPERLINK("http://service.sap.com/sap/support/notes/1771072","1771072")</f>
        <v>1771072</v>
      </c>
      <c r="E129">
        <v>2</v>
      </c>
      <c r="F129" t="s">
        <v>216</v>
      </c>
    </row>
    <row r="130" spans="1:6" x14ac:dyDescent="0.25">
      <c r="A130" t="s">
        <v>715</v>
      </c>
      <c r="B130" t="s">
        <v>211</v>
      </c>
      <c r="C130" t="s">
        <v>128</v>
      </c>
      <c r="D130" t="str">
        <f>HYPERLINK("http://service.sap.com/sap/support/notes/1775014","1775014")</f>
        <v>1775014</v>
      </c>
      <c r="E130">
        <v>1</v>
      </c>
      <c r="F130" t="s">
        <v>217</v>
      </c>
    </row>
    <row r="131" spans="1:6" x14ac:dyDescent="0.25">
      <c r="A131" t="s">
        <v>715</v>
      </c>
      <c r="B131" t="s">
        <v>218</v>
      </c>
      <c r="C131" t="s">
        <v>219</v>
      </c>
      <c r="D131" t="str">
        <f>HYPERLINK("http://service.sap.com/sap/support/notes/1769200","1769200")</f>
        <v>1769200</v>
      </c>
      <c r="E131">
        <v>3</v>
      </c>
      <c r="F131" t="s">
        <v>220</v>
      </c>
    </row>
    <row r="132" spans="1:6" x14ac:dyDescent="0.25">
      <c r="A132" t="s">
        <v>715</v>
      </c>
      <c r="B132" t="s">
        <v>221</v>
      </c>
      <c r="C132" t="s">
        <v>222</v>
      </c>
      <c r="D132" t="str">
        <f>HYPERLINK("http://service.sap.com/sap/support/notes/1758391","1758391")</f>
        <v>1758391</v>
      </c>
      <c r="E132">
        <v>2</v>
      </c>
      <c r="F132" t="s">
        <v>223</v>
      </c>
    </row>
    <row r="133" spans="1:6" x14ac:dyDescent="0.25">
      <c r="A133" t="s">
        <v>715</v>
      </c>
      <c r="B133" t="s">
        <v>224</v>
      </c>
      <c r="C133" t="s">
        <v>156</v>
      </c>
    </row>
    <row r="134" spans="1:6" x14ac:dyDescent="0.25">
      <c r="A134" t="s">
        <v>715</v>
      </c>
      <c r="B134" t="s">
        <v>225</v>
      </c>
      <c r="C134" t="s">
        <v>226</v>
      </c>
      <c r="D134" t="str">
        <f>HYPERLINK("http://service.sap.com/sap/support/notes/1756965","1756965")</f>
        <v>1756965</v>
      </c>
      <c r="E134">
        <v>5</v>
      </c>
      <c r="F134" t="s">
        <v>227</v>
      </c>
    </row>
    <row r="135" spans="1:6" x14ac:dyDescent="0.25">
      <c r="A135" t="s">
        <v>715</v>
      </c>
      <c r="B135" t="s">
        <v>225</v>
      </c>
      <c r="C135" t="s">
        <v>226</v>
      </c>
      <c r="D135" t="str">
        <f>HYPERLINK("http://service.sap.com/sap/support/notes/1773587","1773587")</f>
        <v>1773587</v>
      </c>
      <c r="E135">
        <v>2</v>
      </c>
      <c r="F135" t="s">
        <v>228</v>
      </c>
    </row>
    <row r="136" spans="1:6" x14ac:dyDescent="0.25">
      <c r="A136" t="s">
        <v>715</v>
      </c>
      <c r="B136" t="s">
        <v>229</v>
      </c>
      <c r="C136" t="s">
        <v>230</v>
      </c>
      <c r="D136" t="str">
        <f>HYPERLINK("http://service.sap.com/sap/support/notes/1722317","1722317")</f>
        <v>1722317</v>
      </c>
      <c r="E136">
        <v>2</v>
      </c>
      <c r="F136" t="s">
        <v>231</v>
      </c>
    </row>
    <row r="137" spans="1:6" x14ac:dyDescent="0.25">
      <c r="A137" t="s">
        <v>715</v>
      </c>
      <c r="B137" t="s">
        <v>229</v>
      </c>
      <c r="C137" t="s">
        <v>230</v>
      </c>
      <c r="D137" t="str">
        <f>HYPERLINK("http://service.sap.com/sap/support/notes/1748928","1748928")</f>
        <v>1748928</v>
      </c>
      <c r="E137">
        <v>2</v>
      </c>
      <c r="F137" t="s">
        <v>232</v>
      </c>
    </row>
    <row r="138" spans="1:6" x14ac:dyDescent="0.25">
      <c r="A138" t="s">
        <v>715</v>
      </c>
      <c r="B138" t="s">
        <v>229</v>
      </c>
      <c r="C138" t="s">
        <v>230</v>
      </c>
      <c r="D138" t="str">
        <f>HYPERLINK("http://service.sap.com/sap/support/notes/1749352","1749352")</f>
        <v>1749352</v>
      </c>
      <c r="E138">
        <v>2</v>
      </c>
      <c r="F138" t="s">
        <v>233</v>
      </c>
    </row>
    <row r="139" spans="1:6" x14ac:dyDescent="0.25">
      <c r="A139" t="s">
        <v>715</v>
      </c>
      <c r="B139" t="s">
        <v>229</v>
      </c>
      <c r="C139" t="s">
        <v>230</v>
      </c>
      <c r="D139" t="str">
        <f>HYPERLINK("http://service.sap.com/sap/support/notes/1750412","1750412")</f>
        <v>1750412</v>
      </c>
      <c r="E139">
        <v>3</v>
      </c>
      <c r="F139" t="s">
        <v>234</v>
      </c>
    </row>
    <row r="140" spans="1:6" x14ac:dyDescent="0.25">
      <c r="A140" t="s">
        <v>715</v>
      </c>
      <c r="B140" t="s">
        <v>229</v>
      </c>
      <c r="C140" t="s">
        <v>230</v>
      </c>
      <c r="D140" t="str">
        <f>HYPERLINK("http://service.sap.com/sap/support/notes/1750475","1750475")</f>
        <v>1750475</v>
      </c>
      <c r="E140">
        <v>6</v>
      </c>
      <c r="F140" t="s">
        <v>235</v>
      </c>
    </row>
    <row r="141" spans="1:6" x14ac:dyDescent="0.25">
      <c r="A141" t="s">
        <v>715</v>
      </c>
      <c r="B141" t="s">
        <v>229</v>
      </c>
      <c r="C141" t="s">
        <v>230</v>
      </c>
      <c r="D141" t="str">
        <f>HYPERLINK("http://service.sap.com/sap/support/notes/1757231","1757231")</f>
        <v>1757231</v>
      </c>
      <c r="E141">
        <v>3</v>
      </c>
      <c r="F141" t="s">
        <v>236</v>
      </c>
    </row>
    <row r="142" spans="1:6" x14ac:dyDescent="0.25">
      <c r="A142" t="s">
        <v>715</v>
      </c>
      <c r="B142" t="s">
        <v>229</v>
      </c>
      <c r="C142" t="s">
        <v>230</v>
      </c>
      <c r="D142" t="str">
        <f>HYPERLINK("http://service.sap.com/sap/support/notes/1758317","1758317")</f>
        <v>1758317</v>
      </c>
      <c r="E142">
        <v>3</v>
      </c>
      <c r="F142" t="s">
        <v>237</v>
      </c>
    </row>
    <row r="143" spans="1:6" x14ac:dyDescent="0.25">
      <c r="A143" t="s">
        <v>715</v>
      </c>
      <c r="B143" t="s">
        <v>229</v>
      </c>
      <c r="C143" t="s">
        <v>230</v>
      </c>
      <c r="D143" t="str">
        <f>HYPERLINK("http://service.sap.com/sap/support/notes/1759330","1759330")</f>
        <v>1759330</v>
      </c>
      <c r="E143">
        <v>4</v>
      </c>
      <c r="F143" t="s">
        <v>238</v>
      </c>
    </row>
    <row r="144" spans="1:6" x14ac:dyDescent="0.25">
      <c r="A144" t="s">
        <v>715</v>
      </c>
      <c r="B144" t="s">
        <v>229</v>
      </c>
      <c r="C144" t="s">
        <v>230</v>
      </c>
      <c r="D144" t="str">
        <f>HYPERLINK("http://service.sap.com/sap/support/notes/1759796","1759796")</f>
        <v>1759796</v>
      </c>
      <c r="E144">
        <v>2</v>
      </c>
      <c r="F144" t="s">
        <v>239</v>
      </c>
    </row>
    <row r="145" spans="1:6" x14ac:dyDescent="0.25">
      <c r="A145" t="s">
        <v>715</v>
      </c>
      <c r="B145" t="s">
        <v>229</v>
      </c>
      <c r="C145" t="s">
        <v>230</v>
      </c>
      <c r="D145" t="str">
        <f>HYPERLINK("http://service.sap.com/sap/support/notes/1761281","1761281")</f>
        <v>1761281</v>
      </c>
      <c r="E145">
        <v>5</v>
      </c>
      <c r="F145" t="s">
        <v>240</v>
      </c>
    </row>
    <row r="146" spans="1:6" x14ac:dyDescent="0.25">
      <c r="A146" t="s">
        <v>715</v>
      </c>
      <c r="B146" t="s">
        <v>229</v>
      </c>
      <c r="C146" t="s">
        <v>230</v>
      </c>
      <c r="D146" t="str">
        <f>HYPERLINK("http://service.sap.com/sap/support/notes/1761928","1761928")</f>
        <v>1761928</v>
      </c>
      <c r="E146">
        <v>2</v>
      </c>
      <c r="F146" t="s">
        <v>241</v>
      </c>
    </row>
    <row r="147" spans="1:6" x14ac:dyDescent="0.25">
      <c r="A147" t="s">
        <v>715</v>
      </c>
      <c r="B147" t="s">
        <v>229</v>
      </c>
      <c r="C147" t="s">
        <v>230</v>
      </c>
      <c r="D147" t="str">
        <f>HYPERLINK("http://service.sap.com/sap/support/notes/1764519","1764519")</f>
        <v>1764519</v>
      </c>
      <c r="E147">
        <v>2</v>
      </c>
      <c r="F147" t="s">
        <v>242</v>
      </c>
    </row>
    <row r="148" spans="1:6" x14ac:dyDescent="0.25">
      <c r="A148" t="s">
        <v>715</v>
      </c>
      <c r="B148" t="s">
        <v>229</v>
      </c>
      <c r="C148" t="s">
        <v>230</v>
      </c>
      <c r="D148" t="str">
        <f>HYPERLINK("http://service.sap.com/sap/support/notes/1767604","1767604")</f>
        <v>1767604</v>
      </c>
      <c r="E148">
        <v>1</v>
      </c>
      <c r="F148" t="s">
        <v>243</v>
      </c>
    </row>
    <row r="149" spans="1:6" x14ac:dyDescent="0.25">
      <c r="A149" t="s">
        <v>715</v>
      </c>
      <c r="B149" t="s">
        <v>229</v>
      </c>
      <c r="C149" t="s">
        <v>230</v>
      </c>
      <c r="D149" t="str">
        <f>HYPERLINK("http://service.sap.com/sap/support/notes/1767617","1767617")</f>
        <v>1767617</v>
      </c>
      <c r="E149">
        <v>2</v>
      </c>
      <c r="F149" t="s">
        <v>244</v>
      </c>
    </row>
    <row r="150" spans="1:6" x14ac:dyDescent="0.25">
      <c r="A150" t="s">
        <v>715</v>
      </c>
      <c r="B150" t="s">
        <v>229</v>
      </c>
      <c r="C150" t="s">
        <v>230</v>
      </c>
      <c r="D150" t="str">
        <f>HYPERLINK("http://service.sap.com/sap/support/notes/1767665","1767665")</f>
        <v>1767665</v>
      </c>
      <c r="E150">
        <v>2</v>
      </c>
      <c r="F150" t="s">
        <v>245</v>
      </c>
    </row>
    <row r="151" spans="1:6" x14ac:dyDescent="0.25">
      <c r="A151" t="s">
        <v>715</v>
      </c>
      <c r="B151" t="s">
        <v>229</v>
      </c>
      <c r="C151" t="s">
        <v>230</v>
      </c>
      <c r="D151" t="str">
        <f>HYPERLINK("http://service.sap.com/sap/support/notes/1769840","1769840")</f>
        <v>1769840</v>
      </c>
      <c r="E151">
        <v>1</v>
      </c>
      <c r="F151" t="s">
        <v>246</v>
      </c>
    </row>
    <row r="152" spans="1:6" x14ac:dyDescent="0.25">
      <c r="A152" t="s">
        <v>715</v>
      </c>
      <c r="B152" t="s">
        <v>229</v>
      </c>
      <c r="C152" t="s">
        <v>230</v>
      </c>
      <c r="D152" t="str">
        <f>HYPERLINK("http://service.sap.com/sap/support/notes/1769865","1769865")</f>
        <v>1769865</v>
      </c>
      <c r="E152">
        <v>6</v>
      </c>
      <c r="F152" t="s">
        <v>247</v>
      </c>
    </row>
    <row r="153" spans="1:6" x14ac:dyDescent="0.25">
      <c r="A153" t="s">
        <v>715</v>
      </c>
      <c r="B153" t="s">
        <v>229</v>
      </c>
      <c r="C153" t="s">
        <v>230</v>
      </c>
      <c r="D153" t="str">
        <f>HYPERLINK("http://service.sap.com/sap/support/notes/1769952","1769952")</f>
        <v>1769952</v>
      </c>
      <c r="E153">
        <v>1</v>
      </c>
      <c r="F153" t="s">
        <v>248</v>
      </c>
    </row>
    <row r="154" spans="1:6" x14ac:dyDescent="0.25">
      <c r="A154" t="s">
        <v>715</v>
      </c>
      <c r="B154" t="s">
        <v>229</v>
      </c>
      <c r="C154" t="s">
        <v>230</v>
      </c>
      <c r="D154" t="str">
        <f>HYPERLINK("http://service.sap.com/sap/support/notes/1769987","1769987")</f>
        <v>1769987</v>
      </c>
      <c r="E154">
        <v>3</v>
      </c>
      <c r="F154" t="s">
        <v>249</v>
      </c>
    </row>
    <row r="155" spans="1:6" x14ac:dyDescent="0.25">
      <c r="A155" t="s">
        <v>715</v>
      </c>
      <c r="B155" t="s">
        <v>229</v>
      </c>
      <c r="C155" t="s">
        <v>230</v>
      </c>
      <c r="D155" t="str">
        <f>HYPERLINK("http://service.sap.com/sap/support/notes/1769990","1769990")</f>
        <v>1769990</v>
      </c>
      <c r="E155">
        <v>3</v>
      </c>
      <c r="F155" t="s">
        <v>250</v>
      </c>
    </row>
    <row r="156" spans="1:6" x14ac:dyDescent="0.25">
      <c r="A156" t="s">
        <v>715</v>
      </c>
      <c r="B156" t="s">
        <v>229</v>
      </c>
      <c r="C156" t="s">
        <v>230</v>
      </c>
      <c r="D156" t="str">
        <f>HYPERLINK("http://service.sap.com/sap/support/notes/1770413","1770413")</f>
        <v>1770413</v>
      </c>
      <c r="E156">
        <v>2</v>
      </c>
      <c r="F156" t="s">
        <v>251</v>
      </c>
    </row>
    <row r="157" spans="1:6" x14ac:dyDescent="0.25">
      <c r="A157" t="s">
        <v>715</v>
      </c>
      <c r="B157" t="s">
        <v>229</v>
      </c>
      <c r="C157" t="s">
        <v>230</v>
      </c>
      <c r="D157" t="str">
        <f>HYPERLINK("http://service.sap.com/sap/support/notes/1770520","1770520")</f>
        <v>1770520</v>
      </c>
      <c r="E157">
        <v>3</v>
      </c>
      <c r="F157" t="s">
        <v>252</v>
      </c>
    </row>
    <row r="158" spans="1:6" x14ac:dyDescent="0.25">
      <c r="A158" t="s">
        <v>715</v>
      </c>
      <c r="B158" t="s">
        <v>229</v>
      </c>
      <c r="C158" t="s">
        <v>230</v>
      </c>
      <c r="D158" t="str">
        <f>HYPERLINK("http://service.sap.com/sap/support/notes/1770555","1770555")</f>
        <v>1770555</v>
      </c>
      <c r="E158">
        <v>2</v>
      </c>
      <c r="F158" t="s">
        <v>253</v>
      </c>
    </row>
    <row r="159" spans="1:6" x14ac:dyDescent="0.25">
      <c r="A159" t="s">
        <v>715</v>
      </c>
      <c r="B159" t="s">
        <v>229</v>
      </c>
      <c r="C159" t="s">
        <v>230</v>
      </c>
      <c r="D159" t="str">
        <f>HYPERLINK("http://service.sap.com/sap/support/notes/1771381","1771381")</f>
        <v>1771381</v>
      </c>
      <c r="E159">
        <v>3</v>
      </c>
      <c r="F159" t="s">
        <v>254</v>
      </c>
    </row>
    <row r="160" spans="1:6" x14ac:dyDescent="0.25">
      <c r="A160" t="s">
        <v>715</v>
      </c>
      <c r="B160" t="s">
        <v>229</v>
      </c>
      <c r="C160" t="s">
        <v>230</v>
      </c>
      <c r="D160" t="str">
        <f>HYPERLINK("http://service.sap.com/sap/support/notes/1771417","1771417")</f>
        <v>1771417</v>
      </c>
      <c r="E160">
        <v>1</v>
      </c>
      <c r="F160" t="s">
        <v>255</v>
      </c>
    </row>
    <row r="161" spans="1:6" x14ac:dyDescent="0.25">
      <c r="A161" t="s">
        <v>715</v>
      </c>
      <c r="B161" t="s">
        <v>229</v>
      </c>
      <c r="C161" t="s">
        <v>230</v>
      </c>
      <c r="D161" t="str">
        <f>HYPERLINK("http://service.sap.com/sap/support/notes/1771473","1771473")</f>
        <v>1771473</v>
      </c>
      <c r="E161">
        <v>2</v>
      </c>
      <c r="F161" t="s">
        <v>256</v>
      </c>
    </row>
    <row r="162" spans="1:6" x14ac:dyDescent="0.25">
      <c r="A162" t="s">
        <v>715</v>
      </c>
      <c r="B162" t="s">
        <v>229</v>
      </c>
      <c r="C162" t="s">
        <v>230</v>
      </c>
      <c r="D162" t="str">
        <f>HYPERLINK("http://service.sap.com/sap/support/notes/1771791","1771791")</f>
        <v>1771791</v>
      </c>
      <c r="E162">
        <v>2</v>
      </c>
      <c r="F162" t="s">
        <v>257</v>
      </c>
    </row>
    <row r="163" spans="1:6" x14ac:dyDescent="0.25">
      <c r="A163" t="s">
        <v>715</v>
      </c>
      <c r="B163" t="s">
        <v>229</v>
      </c>
      <c r="C163" t="s">
        <v>230</v>
      </c>
      <c r="D163" t="str">
        <f>HYPERLINK("http://service.sap.com/sap/support/notes/1773069","1773069")</f>
        <v>1773069</v>
      </c>
      <c r="E163">
        <v>2</v>
      </c>
      <c r="F163" t="s">
        <v>258</v>
      </c>
    </row>
    <row r="164" spans="1:6" x14ac:dyDescent="0.25">
      <c r="A164" t="s">
        <v>715</v>
      </c>
      <c r="B164" t="s">
        <v>229</v>
      </c>
      <c r="C164" t="s">
        <v>230</v>
      </c>
      <c r="D164" t="str">
        <f>HYPERLINK("http://service.sap.com/sap/support/notes/1773182","1773182")</f>
        <v>1773182</v>
      </c>
      <c r="E164">
        <v>1</v>
      </c>
      <c r="F164" t="s">
        <v>259</v>
      </c>
    </row>
    <row r="165" spans="1:6" x14ac:dyDescent="0.25">
      <c r="A165" t="s">
        <v>715</v>
      </c>
      <c r="B165" t="s">
        <v>260</v>
      </c>
      <c r="C165" t="s">
        <v>37</v>
      </c>
      <c r="D165" t="str">
        <f>HYPERLINK("http://service.sap.com/sap/support/notes/1765370","1765370")</f>
        <v>1765370</v>
      </c>
      <c r="E165">
        <v>3</v>
      </c>
      <c r="F165" t="s">
        <v>261</v>
      </c>
    </row>
    <row r="166" spans="1:6" x14ac:dyDescent="0.25">
      <c r="A166" t="s">
        <v>715</v>
      </c>
      <c r="B166" t="s">
        <v>260</v>
      </c>
      <c r="C166" t="s">
        <v>37</v>
      </c>
      <c r="D166" t="str">
        <f>HYPERLINK("http://service.sap.com/sap/support/notes/1773382","1773382")</f>
        <v>1773382</v>
      </c>
      <c r="E166">
        <v>1</v>
      </c>
      <c r="F166" t="s">
        <v>262</v>
      </c>
    </row>
    <row r="167" spans="1:6" x14ac:dyDescent="0.25">
      <c r="A167" t="s">
        <v>715</v>
      </c>
      <c r="B167" t="s">
        <v>263</v>
      </c>
      <c r="C167" t="s">
        <v>41</v>
      </c>
      <c r="D167" t="str">
        <f>HYPERLINK("http://service.sap.com/sap/support/notes/1660048","1660048")</f>
        <v>1660048</v>
      </c>
      <c r="E167">
        <v>3</v>
      </c>
      <c r="F167" t="s">
        <v>264</v>
      </c>
    </row>
    <row r="168" spans="1:6" x14ac:dyDescent="0.25">
      <c r="A168" t="s">
        <v>715</v>
      </c>
      <c r="B168" t="s">
        <v>263</v>
      </c>
      <c r="C168" t="s">
        <v>41</v>
      </c>
      <c r="D168" t="str">
        <f>HYPERLINK("http://service.sap.com/sap/support/notes/1700705","1700705")</f>
        <v>1700705</v>
      </c>
      <c r="E168">
        <v>2</v>
      </c>
      <c r="F168" t="s">
        <v>265</v>
      </c>
    </row>
    <row r="169" spans="1:6" x14ac:dyDescent="0.25">
      <c r="A169" t="s">
        <v>715</v>
      </c>
      <c r="B169" t="s">
        <v>263</v>
      </c>
      <c r="C169" t="s">
        <v>41</v>
      </c>
      <c r="D169" t="str">
        <f>HYPERLINK("http://service.sap.com/sap/support/notes/1736650","1736650")</f>
        <v>1736650</v>
      </c>
      <c r="E169">
        <v>1</v>
      </c>
      <c r="F169" t="s">
        <v>266</v>
      </c>
    </row>
    <row r="170" spans="1:6" x14ac:dyDescent="0.25">
      <c r="A170" t="s">
        <v>715</v>
      </c>
      <c r="B170" t="s">
        <v>263</v>
      </c>
      <c r="C170" t="s">
        <v>41</v>
      </c>
      <c r="D170" t="str">
        <f>HYPERLINK("http://service.sap.com/sap/support/notes/1746355","1746355")</f>
        <v>1746355</v>
      </c>
      <c r="E170">
        <v>7</v>
      </c>
      <c r="F170" t="s">
        <v>267</v>
      </c>
    </row>
    <row r="171" spans="1:6" x14ac:dyDescent="0.25">
      <c r="A171" t="s">
        <v>715</v>
      </c>
      <c r="B171" t="s">
        <v>263</v>
      </c>
      <c r="C171" t="s">
        <v>41</v>
      </c>
      <c r="D171" t="str">
        <f>HYPERLINK("http://service.sap.com/sap/support/notes/1753741","1753741")</f>
        <v>1753741</v>
      </c>
      <c r="E171">
        <v>3</v>
      </c>
      <c r="F171" t="s">
        <v>268</v>
      </c>
    </row>
    <row r="172" spans="1:6" x14ac:dyDescent="0.25">
      <c r="A172" t="s">
        <v>715</v>
      </c>
      <c r="B172" t="s">
        <v>263</v>
      </c>
      <c r="C172" t="s">
        <v>41</v>
      </c>
      <c r="D172" t="str">
        <f>HYPERLINK("http://service.sap.com/sap/support/notes/1762316","1762316")</f>
        <v>1762316</v>
      </c>
      <c r="E172">
        <v>1</v>
      </c>
      <c r="F172" t="s">
        <v>269</v>
      </c>
    </row>
    <row r="173" spans="1:6" x14ac:dyDescent="0.25">
      <c r="A173" t="s">
        <v>715</v>
      </c>
      <c r="B173" t="s">
        <v>263</v>
      </c>
      <c r="C173" t="s">
        <v>41</v>
      </c>
      <c r="D173" t="str">
        <f>HYPERLINK("http://service.sap.com/sap/support/notes/1768090","1768090")</f>
        <v>1768090</v>
      </c>
      <c r="E173">
        <v>2</v>
      </c>
      <c r="F173" t="s">
        <v>270</v>
      </c>
    </row>
    <row r="174" spans="1:6" x14ac:dyDescent="0.25">
      <c r="A174" t="s">
        <v>715</v>
      </c>
      <c r="B174" t="s">
        <v>263</v>
      </c>
      <c r="C174" t="s">
        <v>41</v>
      </c>
      <c r="D174" t="str">
        <f>HYPERLINK("http://service.sap.com/sap/support/notes/1768538","1768538")</f>
        <v>1768538</v>
      </c>
      <c r="E174">
        <v>2</v>
      </c>
      <c r="F174" t="s">
        <v>271</v>
      </c>
    </row>
    <row r="175" spans="1:6" x14ac:dyDescent="0.25">
      <c r="A175" t="s">
        <v>715</v>
      </c>
      <c r="B175" t="s">
        <v>263</v>
      </c>
      <c r="C175" t="s">
        <v>41</v>
      </c>
      <c r="D175" t="str">
        <f>HYPERLINK("http://service.sap.com/sap/support/notes/1768628","1768628")</f>
        <v>1768628</v>
      </c>
      <c r="E175">
        <v>3</v>
      </c>
      <c r="F175" t="s">
        <v>272</v>
      </c>
    </row>
    <row r="176" spans="1:6" x14ac:dyDescent="0.25">
      <c r="A176" t="s">
        <v>715</v>
      </c>
      <c r="B176" t="s">
        <v>263</v>
      </c>
      <c r="C176" t="s">
        <v>41</v>
      </c>
      <c r="D176" t="str">
        <f>HYPERLINK("http://service.sap.com/sap/support/notes/1768773","1768773")</f>
        <v>1768773</v>
      </c>
      <c r="E176">
        <v>2</v>
      </c>
      <c r="F176" t="s">
        <v>273</v>
      </c>
    </row>
    <row r="177" spans="1:6" x14ac:dyDescent="0.25">
      <c r="A177" t="s">
        <v>715</v>
      </c>
      <c r="B177" t="s">
        <v>263</v>
      </c>
      <c r="C177" t="s">
        <v>41</v>
      </c>
      <c r="D177" t="str">
        <f>HYPERLINK("http://service.sap.com/sap/support/notes/1770221","1770221")</f>
        <v>1770221</v>
      </c>
      <c r="E177">
        <v>1</v>
      </c>
      <c r="F177" t="s">
        <v>274</v>
      </c>
    </row>
    <row r="178" spans="1:6" x14ac:dyDescent="0.25">
      <c r="A178" t="s">
        <v>715</v>
      </c>
      <c r="B178" t="s">
        <v>263</v>
      </c>
      <c r="C178" t="s">
        <v>41</v>
      </c>
      <c r="D178" t="str">
        <f>HYPERLINK("http://service.sap.com/sap/support/notes/1770740","1770740")</f>
        <v>1770740</v>
      </c>
      <c r="E178">
        <v>2</v>
      </c>
      <c r="F178" t="s">
        <v>275</v>
      </c>
    </row>
    <row r="179" spans="1:6" x14ac:dyDescent="0.25">
      <c r="A179" t="s">
        <v>715</v>
      </c>
      <c r="B179" t="s">
        <v>263</v>
      </c>
      <c r="C179" t="s">
        <v>41</v>
      </c>
      <c r="D179" t="str">
        <f>HYPERLINK("http://service.sap.com/sap/support/notes/1770935","1770935")</f>
        <v>1770935</v>
      </c>
      <c r="E179">
        <v>1</v>
      </c>
      <c r="F179" t="s">
        <v>276</v>
      </c>
    </row>
    <row r="180" spans="1:6" x14ac:dyDescent="0.25">
      <c r="A180" t="s">
        <v>715</v>
      </c>
      <c r="B180" t="s">
        <v>263</v>
      </c>
      <c r="C180" t="s">
        <v>41</v>
      </c>
      <c r="D180" t="str">
        <f>HYPERLINK("http://service.sap.com/sap/support/notes/1771129","1771129")</f>
        <v>1771129</v>
      </c>
      <c r="E180">
        <v>1</v>
      </c>
      <c r="F180" t="s">
        <v>277</v>
      </c>
    </row>
    <row r="181" spans="1:6" x14ac:dyDescent="0.25">
      <c r="A181" t="s">
        <v>715</v>
      </c>
      <c r="B181" t="s">
        <v>263</v>
      </c>
      <c r="C181" t="s">
        <v>41</v>
      </c>
      <c r="D181" t="str">
        <f>HYPERLINK("http://service.sap.com/sap/support/notes/1771239","1771239")</f>
        <v>1771239</v>
      </c>
      <c r="E181">
        <v>1</v>
      </c>
      <c r="F181" t="s">
        <v>278</v>
      </c>
    </row>
    <row r="182" spans="1:6" x14ac:dyDescent="0.25">
      <c r="A182" t="s">
        <v>715</v>
      </c>
      <c r="B182" t="s">
        <v>263</v>
      </c>
      <c r="C182" t="s">
        <v>41</v>
      </c>
      <c r="D182" t="str">
        <f>HYPERLINK("http://service.sap.com/sap/support/notes/1771934","1771934")</f>
        <v>1771934</v>
      </c>
      <c r="E182">
        <v>1</v>
      </c>
      <c r="F182" t="s">
        <v>279</v>
      </c>
    </row>
    <row r="183" spans="1:6" x14ac:dyDescent="0.25">
      <c r="A183" t="s">
        <v>715</v>
      </c>
      <c r="B183" t="s">
        <v>263</v>
      </c>
      <c r="C183" t="s">
        <v>41</v>
      </c>
      <c r="D183" t="str">
        <f>HYPERLINK("http://service.sap.com/sap/support/notes/1772559","1772559")</f>
        <v>1772559</v>
      </c>
      <c r="E183">
        <v>2</v>
      </c>
      <c r="F183" t="s">
        <v>280</v>
      </c>
    </row>
    <row r="184" spans="1:6" x14ac:dyDescent="0.25">
      <c r="A184" t="s">
        <v>715</v>
      </c>
      <c r="B184" t="s">
        <v>263</v>
      </c>
      <c r="C184" t="s">
        <v>41</v>
      </c>
      <c r="D184" t="str">
        <f>HYPERLINK("http://service.sap.com/sap/support/notes/1773002","1773002")</f>
        <v>1773002</v>
      </c>
      <c r="E184">
        <v>2</v>
      </c>
      <c r="F184" t="s">
        <v>281</v>
      </c>
    </row>
    <row r="185" spans="1:6" x14ac:dyDescent="0.25">
      <c r="A185" t="s">
        <v>715</v>
      </c>
      <c r="B185" t="s">
        <v>263</v>
      </c>
      <c r="C185" t="s">
        <v>41</v>
      </c>
      <c r="D185" t="str">
        <f>HYPERLINK("http://service.sap.com/sap/support/notes/1775366","1775366")</f>
        <v>1775366</v>
      </c>
      <c r="E185">
        <v>1</v>
      </c>
      <c r="F185" t="s">
        <v>282</v>
      </c>
    </row>
    <row r="186" spans="1:6" x14ac:dyDescent="0.25">
      <c r="A186" t="s">
        <v>715</v>
      </c>
      <c r="B186" t="s">
        <v>263</v>
      </c>
      <c r="C186" t="s">
        <v>41</v>
      </c>
      <c r="D186" t="str">
        <f>HYPERLINK("http://service.sap.com/sap/support/notes/1775841","1775841")</f>
        <v>1775841</v>
      </c>
      <c r="E186">
        <v>5</v>
      </c>
      <c r="F186" t="s">
        <v>283</v>
      </c>
    </row>
    <row r="187" spans="1:6" x14ac:dyDescent="0.25">
      <c r="A187" t="s">
        <v>715</v>
      </c>
      <c r="B187" t="s">
        <v>263</v>
      </c>
      <c r="C187" t="s">
        <v>41</v>
      </c>
      <c r="D187" t="str">
        <f>HYPERLINK("http://service.sap.com/sap/support/notes/1776430","1776430")</f>
        <v>1776430</v>
      </c>
      <c r="E187">
        <v>1</v>
      </c>
      <c r="F187" t="s">
        <v>284</v>
      </c>
    </row>
    <row r="188" spans="1:6" x14ac:dyDescent="0.25">
      <c r="A188" t="s">
        <v>715</v>
      </c>
      <c r="B188" t="s">
        <v>263</v>
      </c>
      <c r="C188" t="s">
        <v>41</v>
      </c>
      <c r="D188" t="str">
        <f>HYPERLINK("http://service.sap.com/sap/support/notes/1778203","1778203")</f>
        <v>1778203</v>
      </c>
      <c r="F188" t="s">
        <v>285</v>
      </c>
    </row>
    <row r="189" spans="1:6" x14ac:dyDescent="0.25">
      <c r="A189" t="s">
        <v>715</v>
      </c>
      <c r="B189" t="s">
        <v>286</v>
      </c>
      <c r="C189" t="s">
        <v>287</v>
      </c>
      <c r="D189" t="str">
        <f>HYPERLINK("http://service.sap.com/sap/support/notes/1766837","1766837")</f>
        <v>1766837</v>
      </c>
      <c r="E189">
        <v>6</v>
      </c>
      <c r="F189" t="s">
        <v>288</v>
      </c>
    </row>
    <row r="190" spans="1:6" x14ac:dyDescent="0.25">
      <c r="A190" t="s">
        <v>715</v>
      </c>
      <c r="B190" t="s">
        <v>286</v>
      </c>
      <c r="C190" t="s">
        <v>287</v>
      </c>
      <c r="D190" t="str">
        <f>HYPERLINK("http://service.sap.com/sap/support/notes/1770061","1770061")</f>
        <v>1770061</v>
      </c>
      <c r="E190">
        <v>1</v>
      </c>
      <c r="F190" t="s">
        <v>289</v>
      </c>
    </row>
    <row r="191" spans="1:6" x14ac:dyDescent="0.25">
      <c r="A191" t="s">
        <v>715</v>
      </c>
      <c r="B191" t="s">
        <v>286</v>
      </c>
      <c r="C191" t="s">
        <v>287</v>
      </c>
      <c r="D191" t="str">
        <f>HYPERLINK("http://service.sap.com/sap/support/notes/1771062","1771062")</f>
        <v>1771062</v>
      </c>
      <c r="E191">
        <v>7</v>
      </c>
      <c r="F191" t="s">
        <v>290</v>
      </c>
    </row>
    <row r="192" spans="1:6" x14ac:dyDescent="0.25">
      <c r="A192" t="s">
        <v>715</v>
      </c>
      <c r="B192" t="s">
        <v>286</v>
      </c>
      <c r="C192" t="s">
        <v>287</v>
      </c>
      <c r="D192" t="str">
        <f>HYPERLINK("http://service.sap.com/sap/support/notes/1773071","1773071")</f>
        <v>1773071</v>
      </c>
      <c r="E192">
        <v>5</v>
      </c>
      <c r="F192" t="s">
        <v>291</v>
      </c>
    </row>
    <row r="193" spans="1:6" x14ac:dyDescent="0.25">
      <c r="A193" t="s">
        <v>715</v>
      </c>
      <c r="B193" t="s">
        <v>292</v>
      </c>
      <c r="C193" t="s">
        <v>196</v>
      </c>
    </row>
    <row r="194" spans="1:6" x14ac:dyDescent="0.25">
      <c r="A194" t="s">
        <v>715</v>
      </c>
      <c r="B194" t="s">
        <v>293</v>
      </c>
      <c r="C194" t="s">
        <v>294</v>
      </c>
      <c r="D194" t="str">
        <f>HYPERLINK("http://service.sap.com/sap/support/notes/1757646","1757646")</f>
        <v>1757646</v>
      </c>
      <c r="E194">
        <v>1</v>
      </c>
      <c r="F194" t="s">
        <v>295</v>
      </c>
    </row>
    <row r="195" spans="1:6" x14ac:dyDescent="0.25">
      <c r="A195" t="s">
        <v>715</v>
      </c>
      <c r="B195" t="s">
        <v>296</v>
      </c>
      <c r="C195" t="s">
        <v>297</v>
      </c>
      <c r="D195" t="str">
        <f>HYPERLINK("http://service.sap.com/sap/support/notes/1702101","1702101")</f>
        <v>1702101</v>
      </c>
      <c r="E195">
        <v>6</v>
      </c>
      <c r="F195" t="s">
        <v>298</v>
      </c>
    </row>
    <row r="196" spans="1:6" x14ac:dyDescent="0.25">
      <c r="A196" t="s">
        <v>715</v>
      </c>
      <c r="B196" t="s">
        <v>299</v>
      </c>
      <c r="C196" t="s">
        <v>128</v>
      </c>
      <c r="D196" t="str">
        <f>HYPERLINK("http://service.sap.com/sap/support/notes/1767860","1767860")</f>
        <v>1767860</v>
      </c>
      <c r="E196">
        <v>4</v>
      </c>
      <c r="F196" t="s">
        <v>300</v>
      </c>
    </row>
    <row r="197" spans="1:6" x14ac:dyDescent="0.25">
      <c r="A197" t="s">
        <v>715</v>
      </c>
      <c r="B197" t="s">
        <v>301</v>
      </c>
      <c r="C197" t="s">
        <v>156</v>
      </c>
    </row>
    <row r="198" spans="1:6" x14ac:dyDescent="0.25">
      <c r="A198" t="s">
        <v>715</v>
      </c>
      <c r="B198" t="s">
        <v>302</v>
      </c>
      <c r="C198" t="s">
        <v>303</v>
      </c>
      <c r="D198" t="str">
        <f>HYPERLINK("http://service.sap.com/sap/support/notes/1762748","1762748")</f>
        <v>1762748</v>
      </c>
      <c r="E198">
        <v>2</v>
      </c>
      <c r="F198" t="s">
        <v>304</v>
      </c>
    </row>
    <row r="199" spans="1:6" x14ac:dyDescent="0.25">
      <c r="A199" t="s">
        <v>715</v>
      </c>
      <c r="B199" t="s">
        <v>302</v>
      </c>
      <c r="C199" t="s">
        <v>303</v>
      </c>
      <c r="D199" t="str">
        <f>HYPERLINK("http://service.sap.com/sap/support/notes/1766335","1766335")</f>
        <v>1766335</v>
      </c>
      <c r="E199">
        <v>6</v>
      </c>
      <c r="F199" t="s">
        <v>305</v>
      </c>
    </row>
    <row r="200" spans="1:6" x14ac:dyDescent="0.25">
      <c r="A200" t="s">
        <v>715</v>
      </c>
      <c r="B200" t="s">
        <v>306</v>
      </c>
      <c r="C200" t="s">
        <v>307</v>
      </c>
      <c r="D200" t="str">
        <f>HYPERLINK("http://service.sap.com/sap/support/notes/1765391","1765391")</f>
        <v>1765391</v>
      </c>
      <c r="E200">
        <v>2</v>
      </c>
      <c r="F200" t="s">
        <v>308</v>
      </c>
    </row>
    <row r="201" spans="1:6" x14ac:dyDescent="0.25">
      <c r="A201" t="s">
        <v>715</v>
      </c>
      <c r="B201" t="s">
        <v>306</v>
      </c>
      <c r="C201" t="s">
        <v>307</v>
      </c>
      <c r="D201" t="str">
        <f>HYPERLINK("http://service.sap.com/sap/support/notes/1772785","1772785")</f>
        <v>1772785</v>
      </c>
      <c r="E201">
        <v>1</v>
      </c>
      <c r="F201" t="s">
        <v>309</v>
      </c>
    </row>
    <row r="202" spans="1:6" x14ac:dyDescent="0.25">
      <c r="A202" t="s">
        <v>715</v>
      </c>
      <c r="B202" t="s">
        <v>310</v>
      </c>
      <c r="C202" t="s">
        <v>311</v>
      </c>
      <c r="D202" t="str">
        <f>HYPERLINK("http://service.sap.com/sap/support/notes/1772787","1772787")</f>
        <v>1772787</v>
      </c>
      <c r="E202">
        <v>1</v>
      </c>
      <c r="F202" t="s">
        <v>312</v>
      </c>
    </row>
    <row r="203" spans="1:6" x14ac:dyDescent="0.25">
      <c r="A203" t="s">
        <v>715</v>
      </c>
      <c r="B203" t="s">
        <v>313</v>
      </c>
      <c r="C203" t="s">
        <v>314</v>
      </c>
      <c r="D203" t="str">
        <f>HYPERLINK("http://service.sap.com/sap/support/notes/1731844","1731844")</f>
        <v>1731844</v>
      </c>
      <c r="E203">
        <v>2</v>
      </c>
      <c r="F203" t="s">
        <v>315</v>
      </c>
    </row>
    <row r="204" spans="1:6" x14ac:dyDescent="0.25">
      <c r="A204" t="s">
        <v>715</v>
      </c>
      <c r="B204" t="s">
        <v>313</v>
      </c>
      <c r="C204" t="s">
        <v>314</v>
      </c>
      <c r="D204" t="str">
        <f>HYPERLINK("http://service.sap.com/sap/support/notes/1763252","1763252")</f>
        <v>1763252</v>
      </c>
      <c r="E204">
        <v>1</v>
      </c>
      <c r="F204" t="s">
        <v>316</v>
      </c>
    </row>
    <row r="205" spans="1:6" x14ac:dyDescent="0.25">
      <c r="A205" t="s">
        <v>715</v>
      </c>
      <c r="B205" t="s">
        <v>313</v>
      </c>
      <c r="C205" t="s">
        <v>314</v>
      </c>
      <c r="D205" t="str">
        <f>HYPERLINK("http://service.sap.com/sap/support/notes/1767906","1767906")</f>
        <v>1767906</v>
      </c>
      <c r="E205">
        <v>1</v>
      </c>
      <c r="F205" t="s">
        <v>317</v>
      </c>
    </row>
    <row r="206" spans="1:6" x14ac:dyDescent="0.25">
      <c r="A206" t="s">
        <v>715</v>
      </c>
      <c r="B206" t="s">
        <v>313</v>
      </c>
      <c r="C206" t="s">
        <v>314</v>
      </c>
      <c r="D206" t="str">
        <f>HYPERLINK("http://service.sap.com/sap/support/notes/1772516","1772516")</f>
        <v>1772516</v>
      </c>
      <c r="E206">
        <v>1</v>
      </c>
      <c r="F206" t="s">
        <v>318</v>
      </c>
    </row>
    <row r="207" spans="1:6" x14ac:dyDescent="0.25">
      <c r="A207" t="s">
        <v>715</v>
      </c>
      <c r="B207" t="s">
        <v>319</v>
      </c>
      <c r="C207" t="s">
        <v>320</v>
      </c>
      <c r="D207" t="str">
        <f>HYPERLINK("http://service.sap.com/sap/support/notes/1751681","1751681")</f>
        <v>1751681</v>
      </c>
      <c r="E207">
        <v>1</v>
      </c>
      <c r="F207" t="s">
        <v>321</v>
      </c>
    </row>
    <row r="208" spans="1:6" x14ac:dyDescent="0.25">
      <c r="A208" t="s">
        <v>715</v>
      </c>
      <c r="B208" t="s">
        <v>319</v>
      </c>
      <c r="C208" t="s">
        <v>320</v>
      </c>
      <c r="D208" t="str">
        <f>HYPERLINK("http://service.sap.com/sap/support/notes/1762530","1762530")</f>
        <v>1762530</v>
      </c>
      <c r="E208">
        <v>1</v>
      </c>
      <c r="F208" t="s">
        <v>322</v>
      </c>
    </row>
    <row r="209" spans="1:6" x14ac:dyDescent="0.25">
      <c r="A209" t="s">
        <v>715</v>
      </c>
      <c r="B209" t="s">
        <v>319</v>
      </c>
      <c r="C209" t="s">
        <v>320</v>
      </c>
      <c r="D209" t="str">
        <f>HYPERLINK("http://service.sap.com/sap/support/notes/1769693","1769693")</f>
        <v>1769693</v>
      </c>
      <c r="E209">
        <v>1</v>
      </c>
      <c r="F209" t="s">
        <v>323</v>
      </c>
    </row>
    <row r="210" spans="1:6" x14ac:dyDescent="0.25">
      <c r="A210" t="s">
        <v>715</v>
      </c>
      <c r="B210" t="s">
        <v>319</v>
      </c>
      <c r="C210" t="s">
        <v>320</v>
      </c>
      <c r="D210" t="str">
        <f>HYPERLINK("http://service.sap.com/sap/support/notes/1772337","1772337")</f>
        <v>1772337</v>
      </c>
      <c r="E210">
        <v>1</v>
      </c>
      <c r="F210" t="s">
        <v>324</v>
      </c>
    </row>
    <row r="211" spans="1:6" x14ac:dyDescent="0.25">
      <c r="A211" t="s">
        <v>715</v>
      </c>
      <c r="B211" t="s">
        <v>319</v>
      </c>
      <c r="C211" t="s">
        <v>320</v>
      </c>
      <c r="D211" t="str">
        <f>HYPERLINK("http://service.sap.com/sap/support/notes/1774193","1774193")</f>
        <v>1774193</v>
      </c>
      <c r="E211">
        <v>1</v>
      </c>
      <c r="F211" t="s">
        <v>325</v>
      </c>
    </row>
    <row r="212" spans="1:6" x14ac:dyDescent="0.25">
      <c r="A212" t="s">
        <v>715</v>
      </c>
      <c r="B212" t="s">
        <v>319</v>
      </c>
      <c r="C212" t="s">
        <v>320</v>
      </c>
      <c r="D212" t="str">
        <f>HYPERLINK("http://service.sap.com/sap/support/notes/1775115","1775115")</f>
        <v>1775115</v>
      </c>
      <c r="E212">
        <v>2</v>
      </c>
      <c r="F212" t="s">
        <v>326</v>
      </c>
    </row>
    <row r="213" spans="1:6" x14ac:dyDescent="0.25">
      <c r="A213" t="s">
        <v>715</v>
      </c>
      <c r="B213" t="s">
        <v>327</v>
      </c>
      <c r="C213" t="s">
        <v>328</v>
      </c>
      <c r="D213" t="str">
        <f>HYPERLINK("http://service.sap.com/sap/support/notes/1688445","1688445")</f>
        <v>1688445</v>
      </c>
      <c r="E213">
        <v>3</v>
      </c>
      <c r="F213" t="s">
        <v>329</v>
      </c>
    </row>
    <row r="214" spans="1:6" x14ac:dyDescent="0.25">
      <c r="A214" t="s">
        <v>715</v>
      </c>
      <c r="B214" t="s">
        <v>327</v>
      </c>
      <c r="C214" t="s">
        <v>328</v>
      </c>
      <c r="D214" t="str">
        <f>HYPERLINK("http://service.sap.com/sap/support/notes/1690344","1690344")</f>
        <v>1690344</v>
      </c>
      <c r="E214">
        <v>5</v>
      </c>
      <c r="F214" t="s">
        <v>330</v>
      </c>
    </row>
    <row r="215" spans="1:6" x14ac:dyDescent="0.25">
      <c r="A215" t="s">
        <v>715</v>
      </c>
      <c r="B215" t="s">
        <v>327</v>
      </c>
      <c r="C215" t="s">
        <v>328</v>
      </c>
      <c r="D215" t="str">
        <f>HYPERLINK("http://service.sap.com/sap/support/notes/1717615","1717615")</f>
        <v>1717615</v>
      </c>
      <c r="E215">
        <v>4</v>
      </c>
      <c r="F215" t="s">
        <v>331</v>
      </c>
    </row>
    <row r="216" spans="1:6" x14ac:dyDescent="0.25">
      <c r="A216" t="s">
        <v>715</v>
      </c>
      <c r="B216" t="s">
        <v>327</v>
      </c>
      <c r="C216" t="s">
        <v>328</v>
      </c>
      <c r="D216" t="str">
        <f>HYPERLINK("http://service.sap.com/sap/support/notes/1743161","1743161")</f>
        <v>1743161</v>
      </c>
      <c r="E216">
        <v>3</v>
      </c>
      <c r="F216" t="s">
        <v>332</v>
      </c>
    </row>
    <row r="217" spans="1:6" x14ac:dyDescent="0.25">
      <c r="A217" t="s">
        <v>715</v>
      </c>
      <c r="B217" t="s">
        <v>327</v>
      </c>
      <c r="C217" t="s">
        <v>328</v>
      </c>
      <c r="D217" t="str">
        <f>HYPERLINK("http://service.sap.com/sap/support/notes/1743776","1743776")</f>
        <v>1743776</v>
      </c>
      <c r="E217">
        <v>4</v>
      </c>
      <c r="F217" t="s">
        <v>333</v>
      </c>
    </row>
    <row r="218" spans="1:6" x14ac:dyDescent="0.25">
      <c r="A218" t="s">
        <v>715</v>
      </c>
      <c r="B218" t="s">
        <v>327</v>
      </c>
      <c r="C218" t="s">
        <v>328</v>
      </c>
      <c r="D218" t="str">
        <f>HYPERLINK("http://service.sap.com/sap/support/notes/1751905","1751905")</f>
        <v>1751905</v>
      </c>
      <c r="E218">
        <v>1</v>
      </c>
      <c r="F218" t="s">
        <v>334</v>
      </c>
    </row>
    <row r="219" spans="1:6" x14ac:dyDescent="0.25">
      <c r="A219" t="s">
        <v>715</v>
      </c>
      <c r="B219" t="s">
        <v>327</v>
      </c>
      <c r="C219" t="s">
        <v>328</v>
      </c>
      <c r="D219" t="str">
        <f>HYPERLINK("http://service.sap.com/sap/support/notes/1768175","1768175")</f>
        <v>1768175</v>
      </c>
      <c r="E219">
        <v>1</v>
      </c>
      <c r="F219" t="s">
        <v>335</v>
      </c>
    </row>
    <row r="220" spans="1:6" x14ac:dyDescent="0.25">
      <c r="A220" t="s">
        <v>715</v>
      </c>
      <c r="B220" t="s">
        <v>327</v>
      </c>
      <c r="C220" t="s">
        <v>328</v>
      </c>
      <c r="D220" t="str">
        <f>HYPERLINK("http://service.sap.com/sap/support/notes/1773690","1773690")</f>
        <v>1773690</v>
      </c>
      <c r="E220">
        <v>1</v>
      </c>
      <c r="F220" t="s">
        <v>336</v>
      </c>
    </row>
    <row r="221" spans="1:6" x14ac:dyDescent="0.25">
      <c r="A221" t="s">
        <v>715</v>
      </c>
      <c r="B221" t="s">
        <v>337</v>
      </c>
      <c r="C221" t="s">
        <v>48</v>
      </c>
      <c r="D221" t="str">
        <f>HYPERLINK("http://service.sap.com/sap/support/notes/1769545","1769545")</f>
        <v>1769545</v>
      </c>
      <c r="E221">
        <v>1</v>
      </c>
      <c r="F221" t="s">
        <v>338</v>
      </c>
    </row>
    <row r="222" spans="1:6" x14ac:dyDescent="0.25">
      <c r="A222" t="s">
        <v>715</v>
      </c>
      <c r="B222" t="s">
        <v>337</v>
      </c>
      <c r="C222" t="s">
        <v>48</v>
      </c>
      <c r="D222" t="str">
        <f>HYPERLINK("http://service.sap.com/sap/support/notes/1773335","1773335")</f>
        <v>1773335</v>
      </c>
      <c r="E222">
        <v>1</v>
      </c>
      <c r="F222" t="s">
        <v>339</v>
      </c>
    </row>
    <row r="223" spans="1:6" x14ac:dyDescent="0.25">
      <c r="A223" t="s">
        <v>715</v>
      </c>
      <c r="B223" t="s">
        <v>340</v>
      </c>
      <c r="C223" t="s">
        <v>52</v>
      </c>
      <c r="D223" t="str">
        <f>HYPERLINK("http://service.sap.com/sap/support/notes/1767841","1767841")</f>
        <v>1767841</v>
      </c>
      <c r="E223">
        <v>1</v>
      </c>
      <c r="F223" t="s">
        <v>341</v>
      </c>
    </row>
    <row r="224" spans="1:6" x14ac:dyDescent="0.25">
      <c r="A224" t="s">
        <v>715</v>
      </c>
      <c r="B224" t="s">
        <v>340</v>
      </c>
      <c r="C224" t="s">
        <v>52</v>
      </c>
      <c r="D224" t="str">
        <f>HYPERLINK("http://service.sap.com/sap/support/notes/1769079","1769079")</f>
        <v>1769079</v>
      </c>
      <c r="E224">
        <v>1</v>
      </c>
      <c r="F224" t="s">
        <v>342</v>
      </c>
    </row>
    <row r="225" spans="1:6" x14ac:dyDescent="0.25">
      <c r="A225" t="s">
        <v>715</v>
      </c>
      <c r="B225" t="s">
        <v>340</v>
      </c>
      <c r="C225" t="s">
        <v>52</v>
      </c>
      <c r="D225" t="str">
        <f>HYPERLINK("http://service.sap.com/sap/support/notes/1777696","1777696")</f>
        <v>1777696</v>
      </c>
      <c r="E225">
        <v>2</v>
      </c>
      <c r="F225" t="s">
        <v>343</v>
      </c>
    </row>
    <row r="226" spans="1:6" x14ac:dyDescent="0.25">
      <c r="A226" t="s">
        <v>715</v>
      </c>
      <c r="B226" t="s">
        <v>344</v>
      </c>
      <c r="C226" t="s">
        <v>345</v>
      </c>
      <c r="D226" t="str">
        <f>HYPERLINK("http://service.sap.com/sap/support/notes/1719812","1719812")</f>
        <v>1719812</v>
      </c>
      <c r="E226">
        <v>2</v>
      </c>
      <c r="F226" t="s">
        <v>346</v>
      </c>
    </row>
    <row r="227" spans="1:6" x14ac:dyDescent="0.25">
      <c r="A227" t="s">
        <v>715</v>
      </c>
      <c r="B227" t="s">
        <v>344</v>
      </c>
      <c r="C227" t="s">
        <v>345</v>
      </c>
      <c r="D227" t="str">
        <f>HYPERLINK("http://service.sap.com/sap/support/notes/1749551","1749551")</f>
        <v>1749551</v>
      </c>
      <c r="E227">
        <v>2</v>
      </c>
      <c r="F227" t="s">
        <v>347</v>
      </c>
    </row>
    <row r="228" spans="1:6" x14ac:dyDescent="0.25">
      <c r="A228" t="s">
        <v>715</v>
      </c>
      <c r="B228" t="s">
        <v>344</v>
      </c>
      <c r="C228" t="s">
        <v>345</v>
      </c>
      <c r="D228" t="str">
        <f>HYPERLINK("http://service.sap.com/sap/support/notes/1763353","1763353")</f>
        <v>1763353</v>
      </c>
      <c r="E228">
        <v>7</v>
      </c>
      <c r="F228" t="s">
        <v>348</v>
      </c>
    </row>
    <row r="229" spans="1:6" x14ac:dyDescent="0.25">
      <c r="A229" t="s">
        <v>715</v>
      </c>
      <c r="B229" t="s">
        <v>344</v>
      </c>
      <c r="C229" t="s">
        <v>345</v>
      </c>
      <c r="D229" t="str">
        <f>HYPERLINK("http://service.sap.com/sap/support/notes/1763557","1763557")</f>
        <v>1763557</v>
      </c>
      <c r="E229">
        <v>2</v>
      </c>
      <c r="F229" t="s">
        <v>349</v>
      </c>
    </row>
    <row r="230" spans="1:6" x14ac:dyDescent="0.25">
      <c r="A230" t="s">
        <v>715</v>
      </c>
      <c r="B230" t="s">
        <v>350</v>
      </c>
      <c r="C230" t="s">
        <v>351</v>
      </c>
      <c r="D230" t="str">
        <f>HYPERLINK("http://service.sap.com/sap/support/notes/1765902","1765902")</f>
        <v>1765902</v>
      </c>
      <c r="E230">
        <v>1</v>
      </c>
      <c r="F230" t="s">
        <v>352</v>
      </c>
    </row>
    <row r="231" spans="1:6" x14ac:dyDescent="0.25">
      <c r="A231" t="s">
        <v>715</v>
      </c>
      <c r="B231" t="s">
        <v>350</v>
      </c>
      <c r="C231" t="s">
        <v>351</v>
      </c>
      <c r="D231" t="str">
        <f>HYPERLINK("http://service.sap.com/sap/support/notes/1768909","1768909")</f>
        <v>1768909</v>
      </c>
      <c r="E231">
        <v>2</v>
      </c>
      <c r="F231" t="s">
        <v>353</v>
      </c>
    </row>
    <row r="232" spans="1:6" x14ac:dyDescent="0.25">
      <c r="A232" t="s">
        <v>715</v>
      </c>
      <c r="B232" t="s">
        <v>350</v>
      </c>
      <c r="C232" t="s">
        <v>351</v>
      </c>
      <c r="D232" t="str">
        <f>HYPERLINK("http://service.sap.com/sap/support/notes/1770011","1770011")</f>
        <v>1770011</v>
      </c>
      <c r="E232">
        <v>1</v>
      </c>
      <c r="F232" t="s">
        <v>354</v>
      </c>
    </row>
    <row r="233" spans="1:6" x14ac:dyDescent="0.25">
      <c r="A233" t="s">
        <v>715</v>
      </c>
      <c r="B233" t="s">
        <v>350</v>
      </c>
      <c r="C233" t="s">
        <v>351</v>
      </c>
      <c r="D233" t="str">
        <f>HYPERLINK("http://service.sap.com/sap/support/notes/1774595","1774595")</f>
        <v>1774595</v>
      </c>
      <c r="E233">
        <v>2</v>
      </c>
      <c r="F233" t="s">
        <v>355</v>
      </c>
    </row>
    <row r="234" spans="1:6" x14ac:dyDescent="0.25">
      <c r="A234" t="s">
        <v>715</v>
      </c>
      <c r="B234" t="s">
        <v>356</v>
      </c>
      <c r="C234" t="s">
        <v>55</v>
      </c>
      <c r="D234" t="str">
        <f>HYPERLINK("http://service.sap.com/sap/support/notes/1746825","1746825")</f>
        <v>1746825</v>
      </c>
      <c r="E234">
        <v>1</v>
      </c>
      <c r="F234" t="s">
        <v>357</v>
      </c>
    </row>
    <row r="235" spans="1:6" x14ac:dyDescent="0.25">
      <c r="A235" t="s">
        <v>715</v>
      </c>
      <c r="B235" t="s">
        <v>356</v>
      </c>
      <c r="C235" t="s">
        <v>55</v>
      </c>
      <c r="D235" t="str">
        <f>HYPERLINK("http://service.sap.com/sap/support/notes/1772849","1772849")</f>
        <v>1772849</v>
      </c>
      <c r="E235">
        <v>1</v>
      </c>
      <c r="F235" t="s">
        <v>358</v>
      </c>
    </row>
    <row r="236" spans="1:6" x14ac:dyDescent="0.25">
      <c r="A236" t="s">
        <v>715</v>
      </c>
      <c r="B236" t="s">
        <v>356</v>
      </c>
      <c r="C236" t="s">
        <v>55</v>
      </c>
      <c r="D236" t="str">
        <f>HYPERLINK("http://service.sap.com/sap/support/notes/1772850","1772850")</f>
        <v>1772850</v>
      </c>
      <c r="E236">
        <v>1</v>
      </c>
      <c r="F236" t="s">
        <v>359</v>
      </c>
    </row>
    <row r="237" spans="1:6" x14ac:dyDescent="0.25">
      <c r="A237" t="s">
        <v>715</v>
      </c>
      <c r="B237" t="s">
        <v>356</v>
      </c>
      <c r="C237" t="s">
        <v>55</v>
      </c>
      <c r="D237" t="str">
        <f>HYPERLINK("http://service.sap.com/sap/support/notes/1777840","1777840")</f>
        <v>1777840</v>
      </c>
      <c r="E237">
        <v>2</v>
      </c>
      <c r="F237" t="s">
        <v>360</v>
      </c>
    </row>
    <row r="238" spans="1:6" x14ac:dyDescent="0.25">
      <c r="A238" t="s">
        <v>715</v>
      </c>
      <c r="B238" t="s">
        <v>356</v>
      </c>
      <c r="C238" t="s">
        <v>55</v>
      </c>
      <c r="D238" t="str">
        <f>HYPERLINK("http://service.sap.com/sap/support/notes/1778329","1778329")</f>
        <v>1778329</v>
      </c>
      <c r="E238">
        <v>2</v>
      </c>
      <c r="F238" t="s">
        <v>361</v>
      </c>
    </row>
    <row r="239" spans="1:6" x14ac:dyDescent="0.25">
      <c r="A239" t="s">
        <v>715</v>
      </c>
      <c r="B239" t="s">
        <v>362</v>
      </c>
      <c r="C239" t="s">
        <v>363</v>
      </c>
      <c r="D239" t="str">
        <f>HYPERLINK("http://service.sap.com/sap/support/notes/1735156","1735156")</f>
        <v>1735156</v>
      </c>
      <c r="E239">
        <v>6</v>
      </c>
      <c r="F239" t="s">
        <v>364</v>
      </c>
    </row>
    <row r="240" spans="1:6" x14ac:dyDescent="0.25">
      <c r="A240" t="s">
        <v>715</v>
      </c>
      <c r="B240" t="s">
        <v>362</v>
      </c>
      <c r="C240" t="s">
        <v>363</v>
      </c>
      <c r="D240" t="str">
        <f>HYPERLINK("http://service.sap.com/sap/support/notes/1769097","1769097")</f>
        <v>1769097</v>
      </c>
      <c r="E240">
        <v>2</v>
      </c>
      <c r="F240" t="s">
        <v>365</v>
      </c>
    </row>
    <row r="241" spans="1:6" x14ac:dyDescent="0.25">
      <c r="A241" t="s">
        <v>715</v>
      </c>
      <c r="B241" t="s">
        <v>362</v>
      </c>
      <c r="C241" t="s">
        <v>363</v>
      </c>
      <c r="D241" t="str">
        <f>HYPERLINK("http://service.sap.com/sap/support/notes/1769240","1769240")</f>
        <v>1769240</v>
      </c>
      <c r="E241">
        <v>1</v>
      </c>
      <c r="F241" t="s">
        <v>366</v>
      </c>
    </row>
    <row r="242" spans="1:6" x14ac:dyDescent="0.25">
      <c r="A242" t="s">
        <v>715</v>
      </c>
      <c r="B242" t="s">
        <v>362</v>
      </c>
      <c r="C242" t="s">
        <v>363</v>
      </c>
      <c r="D242" t="str">
        <f>HYPERLINK("http://service.sap.com/sap/support/notes/1770886","1770886")</f>
        <v>1770886</v>
      </c>
      <c r="E242">
        <v>1</v>
      </c>
      <c r="F242" t="s">
        <v>367</v>
      </c>
    </row>
    <row r="243" spans="1:6" x14ac:dyDescent="0.25">
      <c r="A243" t="s">
        <v>715</v>
      </c>
      <c r="B243" t="s">
        <v>362</v>
      </c>
      <c r="C243" t="s">
        <v>363</v>
      </c>
      <c r="D243" t="str">
        <f>HYPERLINK("http://service.sap.com/sap/support/notes/1771720","1771720")</f>
        <v>1771720</v>
      </c>
      <c r="E243">
        <v>2</v>
      </c>
      <c r="F243" t="s">
        <v>368</v>
      </c>
    </row>
    <row r="244" spans="1:6" x14ac:dyDescent="0.25">
      <c r="A244" t="s">
        <v>715</v>
      </c>
      <c r="B244" t="s">
        <v>362</v>
      </c>
      <c r="C244" t="s">
        <v>363</v>
      </c>
      <c r="D244" t="str">
        <f>HYPERLINK("http://service.sap.com/sap/support/notes/1771862","1771862")</f>
        <v>1771862</v>
      </c>
      <c r="E244">
        <v>1</v>
      </c>
      <c r="F244" t="s">
        <v>369</v>
      </c>
    </row>
    <row r="245" spans="1:6" x14ac:dyDescent="0.25">
      <c r="A245" t="s">
        <v>715</v>
      </c>
      <c r="B245" t="s">
        <v>362</v>
      </c>
      <c r="C245" t="s">
        <v>363</v>
      </c>
      <c r="D245" t="str">
        <f>HYPERLINK("http://service.sap.com/sap/support/notes/1772308","1772308")</f>
        <v>1772308</v>
      </c>
      <c r="E245">
        <v>1</v>
      </c>
      <c r="F245" t="s">
        <v>370</v>
      </c>
    </row>
    <row r="246" spans="1:6" x14ac:dyDescent="0.25">
      <c r="A246" t="s">
        <v>715</v>
      </c>
      <c r="B246" t="s">
        <v>362</v>
      </c>
      <c r="C246" t="s">
        <v>363</v>
      </c>
      <c r="D246" t="str">
        <f>HYPERLINK("http://service.sap.com/sap/support/notes/1772554","1772554")</f>
        <v>1772554</v>
      </c>
      <c r="E246">
        <v>3</v>
      </c>
      <c r="F246" t="s">
        <v>371</v>
      </c>
    </row>
    <row r="247" spans="1:6" x14ac:dyDescent="0.25">
      <c r="A247" t="s">
        <v>715</v>
      </c>
      <c r="B247" t="s">
        <v>362</v>
      </c>
      <c r="C247" t="s">
        <v>363</v>
      </c>
      <c r="D247" t="str">
        <f>HYPERLINK("http://service.sap.com/sap/support/notes/1772931","1772931")</f>
        <v>1772931</v>
      </c>
      <c r="E247">
        <v>2</v>
      </c>
      <c r="F247" t="s">
        <v>372</v>
      </c>
    </row>
    <row r="248" spans="1:6" x14ac:dyDescent="0.25">
      <c r="A248" t="s">
        <v>715</v>
      </c>
      <c r="B248" t="s">
        <v>362</v>
      </c>
      <c r="C248" t="s">
        <v>363</v>
      </c>
      <c r="D248" t="str">
        <f>HYPERLINK("http://service.sap.com/sap/support/notes/1773281","1773281")</f>
        <v>1773281</v>
      </c>
      <c r="E248">
        <v>2</v>
      </c>
      <c r="F248" t="s">
        <v>373</v>
      </c>
    </row>
    <row r="249" spans="1:6" x14ac:dyDescent="0.25">
      <c r="A249" t="s">
        <v>715</v>
      </c>
      <c r="B249" t="s">
        <v>362</v>
      </c>
      <c r="C249" t="s">
        <v>363</v>
      </c>
      <c r="D249" t="str">
        <f>HYPERLINK("http://service.sap.com/sap/support/notes/1775597","1775597")</f>
        <v>1775597</v>
      </c>
      <c r="E249">
        <v>2</v>
      </c>
      <c r="F249" t="s">
        <v>374</v>
      </c>
    </row>
    <row r="250" spans="1:6" x14ac:dyDescent="0.25">
      <c r="A250" t="s">
        <v>715</v>
      </c>
      <c r="B250" t="s">
        <v>362</v>
      </c>
      <c r="C250" t="s">
        <v>363</v>
      </c>
      <c r="D250" t="str">
        <f>HYPERLINK("http://service.sap.com/sap/support/notes/1776407","1776407")</f>
        <v>1776407</v>
      </c>
      <c r="E250">
        <v>1</v>
      </c>
      <c r="F250" t="s">
        <v>375</v>
      </c>
    </row>
    <row r="251" spans="1:6" x14ac:dyDescent="0.25">
      <c r="A251" t="s">
        <v>715</v>
      </c>
      <c r="B251" t="s">
        <v>362</v>
      </c>
      <c r="C251" t="s">
        <v>363</v>
      </c>
      <c r="D251" t="str">
        <f>HYPERLINK("http://service.sap.com/sap/support/notes/1776977","1776977")</f>
        <v>1776977</v>
      </c>
      <c r="E251">
        <v>1</v>
      </c>
      <c r="F251" t="s">
        <v>376</v>
      </c>
    </row>
    <row r="252" spans="1:6" x14ac:dyDescent="0.25">
      <c r="A252" t="s">
        <v>715</v>
      </c>
      <c r="B252" t="s">
        <v>362</v>
      </c>
      <c r="C252" t="s">
        <v>363</v>
      </c>
      <c r="D252" t="str">
        <f>HYPERLINK("http://service.sap.com/sap/support/notes/1776990","1776990")</f>
        <v>1776990</v>
      </c>
      <c r="E252">
        <v>3</v>
      </c>
      <c r="F252" t="s">
        <v>377</v>
      </c>
    </row>
    <row r="253" spans="1:6" x14ac:dyDescent="0.25">
      <c r="A253" t="s">
        <v>715</v>
      </c>
      <c r="B253" t="s">
        <v>362</v>
      </c>
      <c r="C253" t="s">
        <v>363</v>
      </c>
      <c r="D253" t="str">
        <f>HYPERLINK("http://service.sap.com/sap/support/notes/1777354","1777354")</f>
        <v>1777354</v>
      </c>
      <c r="E253">
        <v>1</v>
      </c>
      <c r="F253" t="s">
        <v>378</v>
      </c>
    </row>
    <row r="254" spans="1:6" x14ac:dyDescent="0.25">
      <c r="A254" t="s">
        <v>715</v>
      </c>
      <c r="B254" t="s">
        <v>379</v>
      </c>
      <c r="C254" t="s">
        <v>380</v>
      </c>
      <c r="D254" t="str">
        <f>HYPERLINK("http://service.sap.com/sap/support/notes/1764422","1764422")</f>
        <v>1764422</v>
      </c>
      <c r="E254">
        <v>4</v>
      </c>
      <c r="F254" t="s">
        <v>381</v>
      </c>
    </row>
    <row r="255" spans="1:6" x14ac:dyDescent="0.25">
      <c r="A255" t="s">
        <v>715</v>
      </c>
      <c r="B255" t="s">
        <v>379</v>
      </c>
      <c r="C255" t="s">
        <v>380</v>
      </c>
      <c r="D255" t="str">
        <f>HYPERLINK("http://service.sap.com/sap/support/notes/1770980","1770980")</f>
        <v>1770980</v>
      </c>
      <c r="E255">
        <v>3</v>
      </c>
      <c r="F255" t="s">
        <v>382</v>
      </c>
    </row>
    <row r="256" spans="1:6" x14ac:dyDescent="0.25">
      <c r="A256" t="s">
        <v>715</v>
      </c>
      <c r="B256" t="s">
        <v>379</v>
      </c>
      <c r="C256" t="s">
        <v>380</v>
      </c>
      <c r="D256" t="str">
        <f>HYPERLINK("http://service.sap.com/sap/support/notes/1772184","1772184")</f>
        <v>1772184</v>
      </c>
      <c r="E256">
        <v>9</v>
      </c>
      <c r="F256" t="s">
        <v>383</v>
      </c>
    </row>
    <row r="257" spans="1:6" x14ac:dyDescent="0.25">
      <c r="A257" t="s">
        <v>715</v>
      </c>
      <c r="B257" t="s">
        <v>384</v>
      </c>
      <c r="C257" t="s">
        <v>385</v>
      </c>
      <c r="D257" t="str">
        <f>HYPERLINK("http://service.sap.com/sap/support/notes/1558429","1558429")</f>
        <v>1558429</v>
      </c>
      <c r="F257" t="s">
        <v>386</v>
      </c>
    </row>
    <row r="258" spans="1:6" x14ac:dyDescent="0.25">
      <c r="A258" t="s">
        <v>715</v>
      </c>
      <c r="B258" t="s">
        <v>384</v>
      </c>
      <c r="C258" t="s">
        <v>385</v>
      </c>
      <c r="D258" t="str">
        <f>HYPERLINK("http://service.sap.com/sap/support/notes/1724017","1724017")</f>
        <v>1724017</v>
      </c>
      <c r="E258">
        <v>1</v>
      </c>
      <c r="F258" t="s">
        <v>387</v>
      </c>
    </row>
    <row r="259" spans="1:6" x14ac:dyDescent="0.25">
      <c r="A259" t="s">
        <v>715</v>
      </c>
      <c r="B259" t="s">
        <v>384</v>
      </c>
      <c r="C259" t="s">
        <v>385</v>
      </c>
      <c r="D259" t="str">
        <f>HYPERLINK("http://service.sap.com/sap/support/notes/1737859","1737859")</f>
        <v>1737859</v>
      </c>
      <c r="E259">
        <v>3</v>
      </c>
      <c r="F259" t="s">
        <v>388</v>
      </c>
    </row>
    <row r="260" spans="1:6" x14ac:dyDescent="0.25">
      <c r="A260" t="s">
        <v>715</v>
      </c>
      <c r="B260" t="s">
        <v>384</v>
      </c>
      <c r="C260" t="s">
        <v>385</v>
      </c>
      <c r="D260" t="str">
        <f>HYPERLINK("http://service.sap.com/sap/support/notes/1749872","1749872")</f>
        <v>1749872</v>
      </c>
      <c r="E260">
        <v>2</v>
      </c>
      <c r="F260" t="s">
        <v>389</v>
      </c>
    </row>
    <row r="261" spans="1:6" x14ac:dyDescent="0.25">
      <c r="A261" t="s">
        <v>715</v>
      </c>
      <c r="B261" t="s">
        <v>384</v>
      </c>
      <c r="C261" t="s">
        <v>385</v>
      </c>
      <c r="D261" t="str">
        <f>HYPERLINK("http://service.sap.com/sap/support/notes/1760440","1760440")</f>
        <v>1760440</v>
      </c>
      <c r="E261">
        <v>2</v>
      </c>
      <c r="F261" t="s">
        <v>390</v>
      </c>
    </row>
    <row r="262" spans="1:6" x14ac:dyDescent="0.25">
      <c r="A262" t="s">
        <v>715</v>
      </c>
      <c r="B262" t="s">
        <v>384</v>
      </c>
      <c r="C262" t="s">
        <v>385</v>
      </c>
      <c r="D262" t="str">
        <f>HYPERLINK("http://service.sap.com/sap/support/notes/1760971","1760971")</f>
        <v>1760971</v>
      </c>
      <c r="E262">
        <v>1</v>
      </c>
      <c r="F262" t="s">
        <v>391</v>
      </c>
    </row>
    <row r="263" spans="1:6" x14ac:dyDescent="0.25">
      <c r="A263" t="s">
        <v>715</v>
      </c>
      <c r="B263" t="s">
        <v>384</v>
      </c>
      <c r="C263" t="s">
        <v>385</v>
      </c>
      <c r="D263" t="str">
        <f>HYPERLINK("http://service.sap.com/sap/support/notes/1763277","1763277")</f>
        <v>1763277</v>
      </c>
      <c r="E263">
        <v>2</v>
      </c>
      <c r="F263" t="s">
        <v>392</v>
      </c>
    </row>
    <row r="264" spans="1:6" x14ac:dyDescent="0.25">
      <c r="A264" t="s">
        <v>715</v>
      </c>
      <c r="B264" t="s">
        <v>384</v>
      </c>
      <c r="C264" t="s">
        <v>385</v>
      </c>
      <c r="D264" t="str">
        <f>HYPERLINK("http://service.sap.com/sap/support/notes/1769106","1769106")</f>
        <v>1769106</v>
      </c>
      <c r="E264">
        <v>5</v>
      </c>
      <c r="F264" t="s">
        <v>393</v>
      </c>
    </row>
    <row r="265" spans="1:6" x14ac:dyDescent="0.25">
      <c r="A265" t="s">
        <v>715</v>
      </c>
      <c r="B265" t="s">
        <v>384</v>
      </c>
      <c r="C265" t="s">
        <v>385</v>
      </c>
      <c r="D265" t="str">
        <f>HYPERLINK("http://service.sap.com/sap/support/notes/1776800","1776800")</f>
        <v>1776800</v>
      </c>
      <c r="F265" t="s">
        <v>394</v>
      </c>
    </row>
    <row r="266" spans="1:6" x14ac:dyDescent="0.25">
      <c r="A266" t="s">
        <v>715</v>
      </c>
      <c r="B266" t="s">
        <v>395</v>
      </c>
      <c r="C266" t="s">
        <v>396</v>
      </c>
      <c r="D266" t="str">
        <f>HYPERLINK("http://service.sap.com/sap/support/notes/1714979","1714979")</f>
        <v>1714979</v>
      </c>
      <c r="E266">
        <v>3</v>
      </c>
      <c r="F266" t="s">
        <v>397</v>
      </c>
    </row>
    <row r="267" spans="1:6" x14ac:dyDescent="0.25">
      <c r="A267" t="s">
        <v>715</v>
      </c>
      <c r="B267" t="s">
        <v>395</v>
      </c>
      <c r="C267" t="s">
        <v>396</v>
      </c>
      <c r="D267" t="str">
        <f>HYPERLINK("http://service.sap.com/sap/support/notes/1752086","1752086")</f>
        <v>1752086</v>
      </c>
      <c r="E267">
        <v>2</v>
      </c>
      <c r="F267" t="s">
        <v>398</v>
      </c>
    </row>
    <row r="268" spans="1:6" x14ac:dyDescent="0.25">
      <c r="A268" t="s">
        <v>715</v>
      </c>
      <c r="B268" t="s">
        <v>395</v>
      </c>
      <c r="C268" t="s">
        <v>396</v>
      </c>
      <c r="D268" t="str">
        <f>HYPERLINK("http://service.sap.com/sap/support/notes/1765183","1765183")</f>
        <v>1765183</v>
      </c>
      <c r="E268">
        <v>1</v>
      </c>
      <c r="F268" t="s">
        <v>399</v>
      </c>
    </row>
    <row r="269" spans="1:6" x14ac:dyDescent="0.25">
      <c r="A269" t="s">
        <v>715</v>
      </c>
      <c r="B269" t="s">
        <v>395</v>
      </c>
      <c r="C269" t="s">
        <v>396</v>
      </c>
      <c r="D269" t="str">
        <f>HYPERLINK("http://service.sap.com/sap/support/notes/1773521","1773521")</f>
        <v>1773521</v>
      </c>
      <c r="E269">
        <v>1</v>
      </c>
      <c r="F269" t="s">
        <v>400</v>
      </c>
    </row>
    <row r="270" spans="1:6" x14ac:dyDescent="0.25">
      <c r="A270" t="s">
        <v>715</v>
      </c>
      <c r="B270" t="s">
        <v>395</v>
      </c>
      <c r="C270" t="s">
        <v>396</v>
      </c>
      <c r="D270" t="str">
        <f>HYPERLINK("http://service.sap.com/sap/support/notes/1777338","1777338")</f>
        <v>1777338</v>
      </c>
      <c r="E270">
        <v>1</v>
      </c>
      <c r="F270" t="s">
        <v>401</v>
      </c>
    </row>
    <row r="271" spans="1:6" x14ac:dyDescent="0.25">
      <c r="A271" t="s">
        <v>715</v>
      </c>
      <c r="B271" t="s">
        <v>402</v>
      </c>
      <c r="C271" t="s">
        <v>403</v>
      </c>
      <c r="D271" t="str">
        <f>HYPERLINK("http://service.sap.com/sap/support/notes/1763018","1763018")</f>
        <v>1763018</v>
      </c>
      <c r="E271">
        <v>1</v>
      </c>
      <c r="F271" t="s">
        <v>404</v>
      </c>
    </row>
    <row r="272" spans="1:6" x14ac:dyDescent="0.25">
      <c r="A272" t="s">
        <v>715</v>
      </c>
      <c r="B272" t="s">
        <v>402</v>
      </c>
      <c r="C272" t="s">
        <v>403</v>
      </c>
      <c r="D272" t="str">
        <f>HYPERLINK("http://service.sap.com/sap/support/notes/1771645","1771645")</f>
        <v>1771645</v>
      </c>
      <c r="E272">
        <v>2</v>
      </c>
      <c r="F272" t="s">
        <v>405</v>
      </c>
    </row>
    <row r="273" spans="1:6" x14ac:dyDescent="0.25">
      <c r="A273" t="s">
        <v>715</v>
      </c>
      <c r="B273" t="s">
        <v>406</v>
      </c>
      <c r="C273" t="s">
        <v>407</v>
      </c>
      <c r="D273" t="str">
        <f>HYPERLINK("http://service.sap.com/sap/support/notes/1753483","1753483")</f>
        <v>1753483</v>
      </c>
      <c r="E273">
        <v>2</v>
      </c>
      <c r="F273" t="s">
        <v>408</v>
      </c>
    </row>
    <row r="274" spans="1:6" x14ac:dyDescent="0.25">
      <c r="A274" t="s">
        <v>715</v>
      </c>
      <c r="B274" t="s">
        <v>409</v>
      </c>
      <c r="C274" t="s">
        <v>410</v>
      </c>
      <c r="D274" t="str">
        <f>HYPERLINK("http://service.sap.com/sap/support/notes/1676486","1676486")</f>
        <v>1676486</v>
      </c>
      <c r="E274">
        <v>2</v>
      </c>
      <c r="F274" t="s">
        <v>411</v>
      </c>
    </row>
    <row r="275" spans="1:6" x14ac:dyDescent="0.25">
      <c r="A275" t="s">
        <v>715</v>
      </c>
      <c r="B275" t="s">
        <v>409</v>
      </c>
      <c r="C275" t="s">
        <v>410</v>
      </c>
      <c r="D275" t="str">
        <f>HYPERLINK("http://service.sap.com/sap/support/notes/1705124","1705124")</f>
        <v>1705124</v>
      </c>
      <c r="E275">
        <v>10</v>
      </c>
      <c r="F275" t="s">
        <v>412</v>
      </c>
    </row>
    <row r="276" spans="1:6" x14ac:dyDescent="0.25">
      <c r="A276" t="s">
        <v>715</v>
      </c>
      <c r="B276" t="s">
        <v>409</v>
      </c>
      <c r="C276" t="s">
        <v>410</v>
      </c>
      <c r="D276" t="str">
        <f>HYPERLINK("http://service.sap.com/sap/support/notes/1747476","1747476")</f>
        <v>1747476</v>
      </c>
      <c r="E276">
        <v>10</v>
      </c>
      <c r="F276" t="s">
        <v>413</v>
      </c>
    </row>
    <row r="277" spans="1:6" x14ac:dyDescent="0.25">
      <c r="A277" t="s">
        <v>715</v>
      </c>
      <c r="B277" t="s">
        <v>409</v>
      </c>
      <c r="C277" t="s">
        <v>410</v>
      </c>
      <c r="D277" t="str">
        <f>HYPERLINK("http://service.sap.com/sap/support/notes/1748002","1748002")</f>
        <v>1748002</v>
      </c>
      <c r="E277">
        <v>2</v>
      </c>
      <c r="F277" t="s">
        <v>414</v>
      </c>
    </row>
    <row r="278" spans="1:6" x14ac:dyDescent="0.25">
      <c r="A278" t="s">
        <v>715</v>
      </c>
      <c r="B278" t="s">
        <v>409</v>
      </c>
      <c r="C278" t="s">
        <v>410</v>
      </c>
      <c r="D278" t="str">
        <f>HYPERLINK("http://service.sap.com/sap/support/notes/1761409","1761409")</f>
        <v>1761409</v>
      </c>
      <c r="E278">
        <v>3</v>
      </c>
      <c r="F278" t="s">
        <v>415</v>
      </c>
    </row>
    <row r="279" spans="1:6" x14ac:dyDescent="0.25">
      <c r="A279" t="s">
        <v>715</v>
      </c>
      <c r="B279" t="s">
        <v>409</v>
      </c>
      <c r="C279" t="s">
        <v>410</v>
      </c>
      <c r="D279" t="str">
        <f>HYPERLINK("http://service.sap.com/sap/support/notes/1766537","1766537")</f>
        <v>1766537</v>
      </c>
      <c r="E279">
        <v>17</v>
      </c>
      <c r="F279" t="s">
        <v>416</v>
      </c>
    </row>
    <row r="280" spans="1:6" x14ac:dyDescent="0.25">
      <c r="A280" t="s">
        <v>715</v>
      </c>
      <c r="B280" t="s">
        <v>409</v>
      </c>
      <c r="C280" t="s">
        <v>410</v>
      </c>
      <c r="D280" t="str">
        <f>HYPERLINK("http://service.sap.com/sap/support/notes/1772520","1772520")</f>
        <v>1772520</v>
      </c>
      <c r="E280">
        <v>1</v>
      </c>
      <c r="F280" t="s">
        <v>417</v>
      </c>
    </row>
    <row r="281" spans="1:6" x14ac:dyDescent="0.25">
      <c r="A281" t="s">
        <v>715</v>
      </c>
      <c r="B281" t="s">
        <v>418</v>
      </c>
      <c r="C281" t="s">
        <v>61</v>
      </c>
      <c r="D281" t="str">
        <f>HYPERLINK("http://service.sap.com/sap/support/notes/1775503","1775503")</f>
        <v>1775503</v>
      </c>
      <c r="E281">
        <v>1</v>
      </c>
      <c r="F281" t="s">
        <v>419</v>
      </c>
    </row>
    <row r="282" spans="1:6" x14ac:dyDescent="0.25">
      <c r="A282" t="s">
        <v>715</v>
      </c>
      <c r="B282" t="s">
        <v>420</v>
      </c>
      <c r="C282" t="s">
        <v>421</v>
      </c>
      <c r="D282" t="str">
        <f>HYPERLINK("http://service.sap.com/sap/support/notes/1737325","1737325")</f>
        <v>1737325</v>
      </c>
      <c r="E282">
        <v>1</v>
      </c>
      <c r="F282" t="s">
        <v>422</v>
      </c>
    </row>
    <row r="283" spans="1:6" x14ac:dyDescent="0.25">
      <c r="A283" t="s">
        <v>715</v>
      </c>
      <c r="B283" t="s">
        <v>423</v>
      </c>
      <c r="C283" t="s">
        <v>424</v>
      </c>
      <c r="D283" t="str">
        <f>HYPERLINK("http://service.sap.com/sap/support/notes/1753279","1753279")</f>
        <v>1753279</v>
      </c>
      <c r="E283">
        <v>2</v>
      </c>
      <c r="F283" t="s">
        <v>425</v>
      </c>
    </row>
    <row r="284" spans="1:6" x14ac:dyDescent="0.25">
      <c r="A284" t="s">
        <v>715</v>
      </c>
      <c r="B284" t="s">
        <v>423</v>
      </c>
      <c r="C284" t="s">
        <v>424</v>
      </c>
      <c r="D284" t="str">
        <f>HYPERLINK("http://service.sap.com/sap/support/notes/1766473","1766473")</f>
        <v>1766473</v>
      </c>
      <c r="E284">
        <v>1</v>
      </c>
      <c r="F284" t="s">
        <v>426</v>
      </c>
    </row>
    <row r="285" spans="1:6" x14ac:dyDescent="0.25">
      <c r="A285" t="s">
        <v>715</v>
      </c>
      <c r="B285" t="s">
        <v>423</v>
      </c>
      <c r="C285" t="s">
        <v>424</v>
      </c>
      <c r="D285" t="str">
        <f>HYPERLINK("http://service.sap.com/sap/support/notes/1769996","1769996")</f>
        <v>1769996</v>
      </c>
      <c r="E285">
        <v>6</v>
      </c>
      <c r="F285" t="s">
        <v>427</v>
      </c>
    </row>
    <row r="286" spans="1:6" x14ac:dyDescent="0.25">
      <c r="A286" t="s">
        <v>715</v>
      </c>
      <c r="B286" t="s">
        <v>423</v>
      </c>
      <c r="C286" t="s">
        <v>424</v>
      </c>
      <c r="D286" t="str">
        <f>HYPERLINK("http://service.sap.com/sap/support/notes/1774844","1774844")</f>
        <v>1774844</v>
      </c>
      <c r="E286">
        <v>1</v>
      </c>
      <c r="F286" t="s">
        <v>428</v>
      </c>
    </row>
    <row r="287" spans="1:6" x14ac:dyDescent="0.25">
      <c r="A287" t="s">
        <v>715</v>
      </c>
      <c r="B287" t="s">
        <v>423</v>
      </c>
      <c r="C287" t="s">
        <v>424</v>
      </c>
      <c r="D287" t="str">
        <f>HYPERLINK("http://service.sap.com/sap/support/notes/1777207","1777207")</f>
        <v>1777207</v>
      </c>
      <c r="E287">
        <v>1</v>
      </c>
      <c r="F287" t="s">
        <v>429</v>
      </c>
    </row>
    <row r="288" spans="1:6" x14ac:dyDescent="0.25">
      <c r="A288" t="s">
        <v>715</v>
      </c>
      <c r="B288" t="s">
        <v>430</v>
      </c>
      <c r="C288" t="s">
        <v>431</v>
      </c>
      <c r="D288" t="str">
        <f>HYPERLINK("http://service.sap.com/sap/support/notes/1744975","1744975")</f>
        <v>1744975</v>
      </c>
      <c r="E288">
        <v>2</v>
      </c>
      <c r="F288" t="s">
        <v>432</v>
      </c>
    </row>
    <row r="289" spans="1:6" x14ac:dyDescent="0.25">
      <c r="A289" t="s">
        <v>715</v>
      </c>
      <c r="B289" t="s">
        <v>430</v>
      </c>
      <c r="C289" t="s">
        <v>431</v>
      </c>
      <c r="D289" t="str">
        <f>HYPERLINK("http://service.sap.com/sap/support/notes/1753960","1753960")</f>
        <v>1753960</v>
      </c>
      <c r="E289">
        <v>4</v>
      </c>
      <c r="F289" t="s">
        <v>433</v>
      </c>
    </row>
    <row r="290" spans="1:6" x14ac:dyDescent="0.25">
      <c r="A290" t="s">
        <v>715</v>
      </c>
      <c r="B290" t="s">
        <v>430</v>
      </c>
      <c r="C290" t="s">
        <v>431</v>
      </c>
      <c r="D290" t="str">
        <f>HYPERLINK("http://service.sap.com/sap/support/notes/1757572","1757572")</f>
        <v>1757572</v>
      </c>
      <c r="E290">
        <v>4</v>
      </c>
      <c r="F290" t="s">
        <v>434</v>
      </c>
    </row>
    <row r="291" spans="1:6" x14ac:dyDescent="0.25">
      <c r="A291" t="s">
        <v>715</v>
      </c>
      <c r="B291" t="s">
        <v>430</v>
      </c>
      <c r="C291" t="s">
        <v>431</v>
      </c>
      <c r="D291" t="str">
        <f>HYPERLINK("http://service.sap.com/sap/support/notes/1760728","1760728")</f>
        <v>1760728</v>
      </c>
      <c r="E291">
        <v>3</v>
      </c>
      <c r="F291" t="s">
        <v>435</v>
      </c>
    </row>
    <row r="292" spans="1:6" x14ac:dyDescent="0.25">
      <c r="A292" t="s">
        <v>715</v>
      </c>
      <c r="B292" t="s">
        <v>430</v>
      </c>
      <c r="C292" t="s">
        <v>431</v>
      </c>
      <c r="D292" t="str">
        <f>HYPERLINK("http://service.sap.com/sap/support/notes/1767543","1767543")</f>
        <v>1767543</v>
      </c>
      <c r="E292">
        <v>2</v>
      </c>
      <c r="F292" t="s">
        <v>436</v>
      </c>
    </row>
    <row r="293" spans="1:6" x14ac:dyDescent="0.25">
      <c r="A293" t="s">
        <v>715</v>
      </c>
      <c r="B293" t="s">
        <v>437</v>
      </c>
      <c r="C293" t="s">
        <v>438</v>
      </c>
      <c r="D293" t="str">
        <f>HYPERLINK("http://service.sap.com/sap/support/notes/1774433","1774433")</f>
        <v>1774433</v>
      </c>
      <c r="E293">
        <v>1</v>
      </c>
      <c r="F293" t="s">
        <v>439</v>
      </c>
    </row>
    <row r="294" spans="1:6" x14ac:dyDescent="0.25">
      <c r="A294" t="s">
        <v>715</v>
      </c>
      <c r="B294" t="s">
        <v>440</v>
      </c>
      <c r="C294" t="s">
        <v>128</v>
      </c>
      <c r="D294" t="str">
        <f>HYPERLINK("http://service.sap.com/sap/support/notes/1763782","1763782")</f>
        <v>1763782</v>
      </c>
      <c r="E294">
        <v>1</v>
      </c>
      <c r="F294" t="s">
        <v>441</v>
      </c>
    </row>
    <row r="295" spans="1:6" x14ac:dyDescent="0.25">
      <c r="A295" t="s">
        <v>715</v>
      </c>
      <c r="B295" t="s">
        <v>440</v>
      </c>
      <c r="C295" t="s">
        <v>128</v>
      </c>
      <c r="D295" t="str">
        <f>HYPERLINK("http://service.sap.com/sap/support/notes/1765921","1765921")</f>
        <v>1765921</v>
      </c>
      <c r="E295">
        <v>2</v>
      </c>
      <c r="F295" t="s">
        <v>442</v>
      </c>
    </row>
    <row r="296" spans="1:6" x14ac:dyDescent="0.25">
      <c r="A296" t="s">
        <v>715</v>
      </c>
      <c r="B296" t="s">
        <v>443</v>
      </c>
      <c r="C296" t="s">
        <v>444</v>
      </c>
      <c r="D296" t="str">
        <f>HYPERLINK("http://service.sap.com/sap/support/notes/1764146","1764146")</f>
        <v>1764146</v>
      </c>
      <c r="E296">
        <v>3</v>
      </c>
      <c r="F296" t="s">
        <v>445</v>
      </c>
    </row>
    <row r="297" spans="1:6" x14ac:dyDescent="0.25">
      <c r="A297" t="s">
        <v>715</v>
      </c>
      <c r="B297" t="s">
        <v>443</v>
      </c>
      <c r="C297" t="s">
        <v>444</v>
      </c>
      <c r="D297" t="str">
        <f>HYPERLINK("http://service.sap.com/sap/support/notes/1765729","1765729")</f>
        <v>1765729</v>
      </c>
      <c r="E297">
        <v>1</v>
      </c>
      <c r="F297" t="s">
        <v>446</v>
      </c>
    </row>
    <row r="298" spans="1:6" x14ac:dyDescent="0.25">
      <c r="A298" t="s">
        <v>715</v>
      </c>
      <c r="B298" t="s">
        <v>443</v>
      </c>
      <c r="C298" t="s">
        <v>444</v>
      </c>
      <c r="D298" t="str">
        <f>HYPERLINK("http://service.sap.com/sap/support/notes/1771599","1771599")</f>
        <v>1771599</v>
      </c>
      <c r="E298">
        <v>2</v>
      </c>
      <c r="F298" t="s">
        <v>447</v>
      </c>
    </row>
    <row r="299" spans="1:6" x14ac:dyDescent="0.25">
      <c r="A299" t="s">
        <v>715</v>
      </c>
      <c r="B299" t="s">
        <v>443</v>
      </c>
      <c r="C299" t="s">
        <v>444</v>
      </c>
      <c r="D299" t="str">
        <f>HYPERLINK("http://service.sap.com/sap/support/notes/1772977","1772977")</f>
        <v>1772977</v>
      </c>
      <c r="E299">
        <v>1</v>
      </c>
      <c r="F299" t="s">
        <v>448</v>
      </c>
    </row>
    <row r="300" spans="1:6" x14ac:dyDescent="0.25">
      <c r="A300" t="s">
        <v>715</v>
      </c>
      <c r="B300" t="s">
        <v>443</v>
      </c>
      <c r="C300" t="s">
        <v>444</v>
      </c>
      <c r="D300" t="str">
        <f>HYPERLINK("http://service.sap.com/sap/support/notes/1777908","1777908")</f>
        <v>1777908</v>
      </c>
      <c r="E300">
        <v>1</v>
      </c>
      <c r="F300" t="s">
        <v>449</v>
      </c>
    </row>
    <row r="301" spans="1:6" x14ac:dyDescent="0.25">
      <c r="A301" t="s">
        <v>715</v>
      </c>
      <c r="B301" t="s">
        <v>450</v>
      </c>
      <c r="C301" t="s">
        <v>451</v>
      </c>
      <c r="D301" t="str">
        <f>HYPERLINK("http://service.sap.com/sap/support/notes/1765190","1765190")</f>
        <v>1765190</v>
      </c>
      <c r="E301">
        <v>1</v>
      </c>
      <c r="F301" t="s">
        <v>452</v>
      </c>
    </row>
    <row r="302" spans="1:6" x14ac:dyDescent="0.25">
      <c r="A302" t="s">
        <v>715</v>
      </c>
      <c r="B302" t="s">
        <v>453</v>
      </c>
      <c r="C302" t="s">
        <v>74</v>
      </c>
    </row>
    <row r="303" spans="1:6" x14ac:dyDescent="0.25">
      <c r="A303" t="s">
        <v>715</v>
      </c>
      <c r="B303" t="s">
        <v>454</v>
      </c>
      <c r="C303" t="s">
        <v>455</v>
      </c>
      <c r="D303" t="str">
        <f>HYPERLINK("http://service.sap.com/sap/support/notes/1770507","1770507")</f>
        <v>1770507</v>
      </c>
      <c r="E303">
        <v>1</v>
      </c>
      <c r="F303" t="s">
        <v>456</v>
      </c>
    </row>
    <row r="304" spans="1:6" x14ac:dyDescent="0.25">
      <c r="A304" t="s">
        <v>715</v>
      </c>
      <c r="B304" t="s">
        <v>457</v>
      </c>
      <c r="C304" t="s">
        <v>458</v>
      </c>
      <c r="D304" t="str">
        <f>HYPERLINK("http://service.sap.com/sap/support/notes/1749999","1749999")</f>
        <v>1749999</v>
      </c>
      <c r="E304">
        <v>3</v>
      </c>
      <c r="F304" t="s">
        <v>459</v>
      </c>
    </row>
    <row r="305" spans="1:6" x14ac:dyDescent="0.25">
      <c r="A305" t="s">
        <v>715</v>
      </c>
      <c r="B305" t="s">
        <v>457</v>
      </c>
      <c r="C305" t="s">
        <v>458</v>
      </c>
      <c r="D305" t="str">
        <f>HYPERLINK("http://service.sap.com/sap/support/notes/1753834","1753834")</f>
        <v>1753834</v>
      </c>
      <c r="E305">
        <v>2</v>
      </c>
      <c r="F305" t="s">
        <v>460</v>
      </c>
    </row>
    <row r="306" spans="1:6" x14ac:dyDescent="0.25">
      <c r="A306" t="s">
        <v>715</v>
      </c>
      <c r="B306" t="s">
        <v>461</v>
      </c>
      <c r="C306" t="s">
        <v>462</v>
      </c>
      <c r="D306" t="str">
        <f>HYPERLINK("http://service.sap.com/sap/support/notes/1749565","1749565")</f>
        <v>1749565</v>
      </c>
      <c r="E306">
        <v>2</v>
      </c>
      <c r="F306" t="s">
        <v>463</v>
      </c>
    </row>
    <row r="307" spans="1:6" x14ac:dyDescent="0.25">
      <c r="A307" t="s">
        <v>715</v>
      </c>
      <c r="B307" t="s">
        <v>464</v>
      </c>
      <c r="C307" t="s">
        <v>465</v>
      </c>
      <c r="D307" t="str">
        <f>HYPERLINK("http://service.sap.com/sap/support/notes/1763654","1763654")</f>
        <v>1763654</v>
      </c>
      <c r="E307">
        <v>2</v>
      </c>
      <c r="F307" t="s">
        <v>466</v>
      </c>
    </row>
    <row r="308" spans="1:6" x14ac:dyDescent="0.25">
      <c r="A308" t="s">
        <v>715</v>
      </c>
      <c r="B308" t="s">
        <v>464</v>
      </c>
      <c r="C308" t="s">
        <v>465</v>
      </c>
      <c r="D308" t="str">
        <f>HYPERLINK("http://service.sap.com/sap/support/notes/1770193","1770193")</f>
        <v>1770193</v>
      </c>
      <c r="E308">
        <v>2</v>
      </c>
      <c r="F308" t="s">
        <v>467</v>
      </c>
    </row>
    <row r="309" spans="1:6" x14ac:dyDescent="0.25">
      <c r="A309" t="s">
        <v>715</v>
      </c>
      <c r="B309" t="s">
        <v>464</v>
      </c>
      <c r="C309" t="s">
        <v>465</v>
      </c>
      <c r="D309" t="str">
        <f>HYPERLINK("http://service.sap.com/sap/support/notes/1770610","1770610")</f>
        <v>1770610</v>
      </c>
      <c r="E309">
        <v>1</v>
      </c>
      <c r="F309" t="s">
        <v>468</v>
      </c>
    </row>
    <row r="310" spans="1:6" x14ac:dyDescent="0.25">
      <c r="A310" t="s">
        <v>715</v>
      </c>
      <c r="B310" t="s">
        <v>464</v>
      </c>
      <c r="C310" t="s">
        <v>465</v>
      </c>
      <c r="D310" t="str">
        <f>HYPERLINK("http://service.sap.com/sap/support/notes/1772035","1772035")</f>
        <v>1772035</v>
      </c>
      <c r="E310">
        <v>1</v>
      </c>
      <c r="F310" t="s">
        <v>469</v>
      </c>
    </row>
    <row r="311" spans="1:6" x14ac:dyDescent="0.25">
      <c r="A311" t="s">
        <v>715</v>
      </c>
      <c r="B311" t="s">
        <v>464</v>
      </c>
      <c r="C311" t="s">
        <v>465</v>
      </c>
      <c r="D311" t="str">
        <f>HYPERLINK("http://service.sap.com/sap/support/notes/1772523","1772523")</f>
        <v>1772523</v>
      </c>
      <c r="E311">
        <v>1</v>
      </c>
      <c r="F311" t="s">
        <v>470</v>
      </c>
    </row>
    <row r="312" spans="1:6" x14ac:dyDescent="0.25">
      <c r="A312" t="s">
        <v>716</v>
      </c>
      <c r="B312" t="s">
        <v>472</v>
      </c>
      <c r="C312" t="s">
        <v>473</v>
      </c>
    </row>
    <row r="313" spans="1:6" x14ac:dyDescent="0.25">
      <c r="A313" t="s">
        <v>716</v>
      </c>
      <c r="B313" t="s">
        <v>474</v>
      </c>
      <c r="C313" t="s">
        <v>475</v>
      </c>
    </row>
    <row r="314" spans="1:6" x14ac:dyDescent="0.25">
      <c r="A314" t="s">
        <v>716</v>
      </c>
      <c r="B314" t="s">
        <v>476</v>
      </c>
      <c r="C314" t="s">
        <v>477</v>
      </c>
      <c r="D314" t="str">
        <f>HYPERLINK("http://service.sap.com/sap/support/notes/1727144","1727144")</f>
        <v>1727144</v>
      </c>
      <c r="E314">
        <v>2</v>
      </c>
      <c r="F314" t="s">
        <v>717</v>
      </c>
    </row>
    <row r="315" spans="1:6" x14ac:dyDescent="0.25">
      <c r="A315" t="s">
        <v>716</v>
      </c>
      <c r="B315" t="s">
        <v>476</v>
      </c>
      <c r="C315" t="s">
        <v>477</v>
      </c>
      <c r="D315" t="str">
        <f>HYPERLINK("http://service.sap.com/sap/support/notes/1735432","1735432")</f>
        <v>1735432</v>
      </c>
      <c r="E315">
        <v>2</v>
      </c>
      <c r="F315" t="s">
        <v>718</v>
      </c>
    </row>
    <row r="316" spans="1:6" x14ac:dyDescent="0.25">
      <c r="A316" t="s">
        <v>716</v>
      </c>
      <c r="B316" t="s">
        <v>5</v>
      </c>
      <c r="C316" t="s">
        <v>6</v>
      </c>
    </row>
    <row r="317" spans="1:6" x14ac:dyDescent="0.25">
      <c r="A317" t="s">
        <v>716</v>
      </c>
      <c r="B317" t="s">
        <v>7</v>
      </c>
      <c r="C317" t="s">
        <v>8</v>
      </c>
    </row>
    <row r="318" spans="1:6" x14ac:dyDescent="0.25">
      <c r="A318" t="s">
        <v>716</v>
      </c>
      <c r="B318" t="s">
        <v>12</v>
      </c>
      <c r="C318" t="s">
        <v>480</v>
      </c>
      <c r="D318" t="str">
        <f>HYPERLINK("http://service.sap.com/sap/support/notes/1789084","1789084")</f>
        <v>1789084</v>
      </c>
      <c r="E318">
        <v>1</v>
      </c>
      <c r="F318" t="s">
        <v>719</v>
      </c>
    </row>
    <row r="319" spans="1:6" x14ac:dyDescent="0.25">
      <c r="A319" t="s">
        <v>716</v>
      </c>
      <c r="B319" t="s">
        <v>481</v>
      </c>
      <c r="C319" t="s">
        <v>482</v>
      </c>
    </row>
    <row r="320" spans="1:6" x14ac:dyDescent="0.25">
      <c r="A320" t="s">
        <v>716</v>
      </c>
      <c r="B320" t="s">
        <v>483</v>
      </c>
      <c r="C320" t="s">
        <v>484</v>
      </c>
    </row>
    <row r="321" spans="1:6" x14ac:dyDescent="0.25">
      <c r="A321" t="s">
        <v>716</v>
      </c>
      <c r="B321" t="s">
        <v>485</v>
      </c>
      <c r="C321" t="s">
        <v>486</v>
      </c>
      <c r="D321" t="str">
        <f>HYPERLINK("http://service.sap.com/sap/support/notes/1662551","1662551")</f>
        <v>1662551</v>
      </c>
      <c r="E321">
        <v>2</v>
      </c>
      <c r="F321" t="s">
        <v>720</v>
      </c>
    </row>
    <row r="322" spans="1:6" x14ac:dyDescent="0.25">
      <c r="A322" t="s">
        <v>716</v>
      </c>
      <c r="B322" t="s">
        <v>490</v>
      </c>
      <c r="C322" t="s">
        <v>491</v>
      </c>
      <c r="D322" t="str">
        <f>HYPERLINK("http://service.sap.com/sap/support/notes/1708905","1708905")</f>
        <v>1708905</v>
      </c>
      <c r="E322">
        <v>1</v>
      </c>
      <c r="F322" t="s">
        <v>721</v>
      </c>
    </row>
    <row r="323" spans="1:6" x14ac:dyDescent="0.25">
      <c r="A323" t="s">
        <v>716</v>
      </c>
      <c r="B323" t="s">
        <v>722</v>
      </c>
      <c r="C323" t="s">
        <v>723</v>
      </c>
    </row>
    <row r="324" spans="1:6" x14ac:dyDescent="0.25">
      <c r="A324" t="s">
        <v>716</v>
      </c>
      <c r="B324" t="s">
        <v>724</v>
      </c>
      <c r="C324" t="s">
        <v>725</v>
      </c>
      <c r="D324" t="str">
        <f>HYPERLINK("http://service.sap.com/sap/support/notes/1725913","1725913")</f>
        <v>1725913</v>
      </c>
      <c r="E324">
        <v>2</v>
      </c>
      <c r="F324" t="s">
        <v>726</v>
      </c>
    </row>
    <row r="325" spans="1:6" x14ac:dyDescent="0.25">
      <c r="A325" t="s">
        <v>716</v>
      </c>
      <c r="B325" t="s">
        <v>24</v>
      </c>
      <c r="C325" t="s">
        <v>10</v>
      </c>
    </row>
    <row r="326" spans="1:6" x14ac:dyDescent="0.25">
      <c r="A326" t="s">
        <v>716</v>
      </c>
      <c r="B326" t="s">
        <v>499</v>
      </c>
      <c r="C326" t="s">
        <v>500</v>
      </c>
      <c r="D326" t="str">
        <f>HYPERLINK("http://service.sap.com/sap/support/notes/1692540","1692540")</f>
        <v>1692540</v>
      </c>
      <c r="E326">
        <v>2</v>
      </c>
      <c r="F326" t="s">
        <v>727</v>
      </c>
    </row>
    <row r="327" spans="1:6" x14ac:dyDescent="0.25">
      <c r="A327" t="s">
        <v>716</v>
      </c>
      <c r="B327" t="s">
        <v>499</v>
      </c>
      <c r="C327" t="s">
        <v>500</v>
      </c>
      <c r="D327" t="str">
        <f>HYPERLINK("http://service.sap.com/sap/support/notes/1706161","1706161")</f>
        <v>1706161</v>
      </c>
      <c r="E327">
        <v>1</v>
      </c>
      <c r="F327" t="s">
        <v>728</v>
      </c>
    </row>
    <row r="328" spans="1:6" x14ac:dyDescent="0.25">
      <c r="A328" t="s">
        <v>716</v>
      </c>
      <c r="B328" t="s">
        <v>499</v>
      </c>
      <c r="C328" t="s">
        <v>500</v>
      </c>
      <c r="D328" t="str">
        <f>HYPERLINK("http://service.sap.com/sap/support/notes/1775069","1775069")</f>
        <v>1775069</v>
      </c>
      <c r="E328">
        <v>1</v>
      </c>
      <c r="F328" t="s">
        <v>729</v>
      </c>
    </row>
    <row r="329" spans="1:6" x14ac:dyDescent="0.25">
      <c r="A329" t="s">
        <v>716</v>
      </c>
      <c r="B329" t="s">
        <v>503</v>
      </c>
      <c r="C329" t="s">
        <v>504</v>
      </c>
      <c r="D329" t="str">
        <f>HYPERLINK("http://service.sap.com/sap/support/notes/1673785","1673785")</f>
        <v>1673785</v>
      </c>
      <c r="E329">
        <v>2</v>
      </c>
      <c r="F329" t="s">
        <v>730</v>
      </c>
    </row>
    <row r="330" spans="1:6" x14ac:dyDescent="0.25">
      <c r="A330" t="s">
        <v>716</v>
      </c>
      <c r="B330" t="s">
        <v>503</v>
      </c>
      <c r="C330" t="s">
        <v>504</v>
      </c>
      <c r="D330" t="str">
        <f>HYPERLINK("http://service.sap.com/sap/support/notes/1689280","1689280")</f>
        <v>1689280</v>
      </c>
      <c r="E330">
        <v>1</v>
      </c>
      <c r="F330" t="s">
        <v>731</v>
      </c>
    </row>
    <row r="331" spans="1:6" x14ac:dyDescent="0.25">
      <c r="A331" t="s">
        <v>716</v>
      </c>
      <c r="B331" t="s">
        <v>503</v>
      </c>
      <c r="C331" t="s">
        <v>504</v>
      </c>
      <c r="D331" t="str">
        <f>HYPERLINK("http://service.sap.com/sap/support/notes/1746506","1746506")</f>
        <v>1746506</v>
      </c>
      <c r="E331">
        <v>1</v>
      </c>
      <c r="F331" t="s">
        <v>732</v>
      </c>
    </row>
    <row r="332" spans="1:6" x14ac:dyDescent="0.25">
      <c r="A332" t="s">
        <v>716</v>
      </c>
      <c r="B332" t="s">
        <v>503</v>
      </c>
      <c r="C332" t="s">
        <v>504</v>
      </c>
      <c r="D332" t="str">
        <f>HYPERLINK("http://service.sap.com/sap/support/notes/1756418","1756418")</f>
        <v>1756418</v>
      </c>
      <c r="E332">
        <v>2</v>
      </c>
      <c r="F332" t="s">
        <v>733</v>
      </c>
    </row>
    <row r="333" spans="1:6" x14ac:dyDescent="0.25">
      <c r="A333" t="s">
        <v>716</v>
      </c>
      <c r="B333" t="s">
        <v>503</v>
      </c>
      <c r="C333" t="s">
        <v>504</v>
      </c>
      <c r="D333" t="str">
        <f>HYPERLINK("http://service.sap.com/sap/support/notes/1787880","1787880")</f>
        <v>1787880</v>
      </c>
      <c r="E333">
        <v>1</v>
      </c>
      <c r="F333" t="s">
        <v>734</v>
      </c>
    </row>
    <row r="334" spans="1:6" x14ac:dyDescent="0.25">
      <c r="A334" t="s">
        <v>716</v>
      </c>
      <c r="B334" t="s">
        <v>505</v>
      </c>
      <c r="C334" t="s">
        <v>506</v>
      </c>
      <c r="D334" t="str">
        <f>HYPERLINK("http://service.sap.com/sap/support/notes/1620786","1620786")</f>
        <v>1620786</v>
      </c>
      <c r="E334">
        <v>6</v>
      </c>
      <c r="F334" t="s">
        <v>735</v>
      </c>
    </row>
    <row r="335" spans="1:6" x14ac:dyDescent="0.25">
      <c r="A335" t="s">
        <v>716</v>
      </c>
      <c r="B335" t="s">
        <v>508</v>
      </c>
      <c r="C335" t="s">
        <v>509</v>
      </c>
      <c r="D335" t="str">
        <f>HYPERLINK("http://service.sap.com/sap/support/notes/1730581","1730581")</f>
        <v>1730581</v>
      </c>
      <c r="E335">
        <v>1</v>
      </c>
      <c r="F335" t="s">
        <v>736</v>
      </c>
    </row>
    <row r="336" spans="1:6" x14ac:dyDescent="0.25">
      <c r="A336" t="s">
        <v>716</v>
      </c>
      <c r="B336" t="s">
        <v>508</v>
      </c>
      <c r="C336" t="s">
        <v>509</v>
      </c>
      <c r="D336" t="str">
        <f>HYPERLINK("http://service.sap.com/sap/support/notes/1787717","1787717")</f>
        <v>1787717</v>
      </c>
      <c r="E336">
        <v>1</v>
      </c>
      <c r="F336" t="s">
        <v>737</v>
      </c>
    </row>
    <row r="337" spans="1:6" x14ac:dyDescent="0.25">
      <c r="A337" t="s">
        <v>716</v>
      </c>
      <c r="B337" t="s">
        <v>508</v>
      </c>
      <c r="C337" t="s">
        <v>509</v>
      </c>
      <c r="D337" t="str">
        <f>HYPERLINK("http://service.sap.com/sap/support/notes/1788870","1788870")</f>
        <v>1788870</v>
      </c>
      <c r="E337">
        <v>1</v>
      </c>
      <c r="F337" t="s">
        <v>738</v>
      </c>
    </row>
    <row r="338" spans="1:6" x14ac:dyDescent="0.25">
      <c r="A338" t="s">
        <v>716</v>
      </c>
      <c r="B338" t="s">
        <v>510</v>
      </c>
      <c r="C338" t="s">
        <v>511</v>
      </c>
      <c r="D338" t="str">
        <f>HYPERLINK("http://service.sap.com/sap/support/notes/1586150","1586150")</f>
        <v>1586150</v>
      </c>
      <c r="E338">
        <v>2</v>
      </c>
      <c r="F338" t="s">
        <v>739</v>
      </c>
    </row>
    <row r="339" spans="1:6" x14ac:dyDescent="0.25">
      <c r="A339" t="s">
        <v>716</v>
      </c>
      <c r="B339" t="s">
        <v>510</v>
      </c>
      <c r="C339" t="s">
        <v>511</v>
      </c>
      <c r="D339" t="str">
        <f>HYPERLINK("http://service.sap.com/sap/support/notes/1721986","1721986")</f>
        <v>1721986</v>
      </c>
      <c r="E339">
        <v>1</v>
      </c>
      <c r="F339" t="s">
        <v>740</v>
      </c>
    </row>
    <row r="340" spans="1:6" x14ac:dyDescent="0.25">
      <c r="A340" t="s">
        <v>716</v>
      </c>
      <c r="B340" t="s">
        <v>510</v>
      </c>
      <c r="C340" t="s">
        <v>511</v>
      </c>
      <c r="D340" t="str">
        <f>HYPERLINK("http://service.sap.com/sap/support/notes/1739016","1739016")</f>
        <v>1739016</v>
      </c>
      <c r="E340">
        <v>2</v>
      </c>
      <c r="F340" t="s">
        <v>741</v>
      </c>
    </row>
    <row r="341" spans="1:6" x14ac:dyDescent="0.25">
      <c r="A341" t="s">
        <v>716</v>
      </c>
      <c r="B341" t="s">
        <v>510</v>
      </c>
      <c r="C341" t="s">
        <v>511</v>
      </c>
      <c r="D341" t="str">
        <f>HYPERLINK("http://service.sap.com/sap/support/notes/1745106","1745106")</f>
        <v>1745106</v>
      </c>
      <c r="E341">
        <v>1</v>
      </c>
      <c r="F341" t="s">
        <v>742</v>
      </c>
    </row>
    <row r="342" spans="1:6" x14ac:dyDescent="0.25">
      <c r="A342" t="s">
        <v>716</v>
      </c>
      <c r="B342" t="s">
        <v>510</v>
      </c>
      <c r="C342" t="s">
        <v>511</v>
      </c>
      <c r="D342" t="str">
        <f>HYPERLINK("http://service.sap.com/sap/support/notes/1746810","1746810")</f>
        <v>1746810</v>
      </c>
      <c r="E342">
        <v>2</v>
      </c>
      <c r="F342" t="s">
        <v>743</v>
      </c>
    </row>
    <row r="343" spans="1:6" x14ac:dyDescent="0.25">
      <c r="A343" t="s">
        <v>716</v>
      </c>
      <c r="B343" t="s">
        <v>510</v>
      </c>
      <c r="C343" t="s">
        <v>511</v>
      </c>
      <c r="D343" t="str">
        <f>HYPERLINK("http://service.sap.com/sap/support/notes/1774474","1774474")</f>
        <v>1774474</v>
      </c>
      <c r="E343">
        <v>2</v>
      </c>
      <c r="F343" t="s">
        <v>744</v>
      </c>
    </row>
    <row r="344" spans="1:6" x14ac:dyDescent="0.25">
      <c r="A344" t="s">
        <v>716</v>
      </c>
      <c r="B344" t="s">
        <v>510</v>
      </c>
      <c r="C344" t="s">
        <v>511</v>
      </c>
      <c r="D344" t="str">
        <f>HYPERLINK("http://service.sap.com/sap/support/notes/1778589","1778589")</f>
        <v>1778589</v>
      </c>
      <c r="E344">
        <v>1</v>
      </c>
      <c r="F344" t="s">
        <v>745</v>
      </c>
    </row>
    <row r="345" spans="1:6" x14ac:dyDescent="0.25">
      <c r="A345" t="s">
        <v>716</v>
      </c>
      <c r="B345" t="s">
        <v>510</v>
      </c>
      <c r="C345" t="s">
        <v>511</v>
      </c>
      <c r="D345" t="str">
        <f>HYPERLINK("http://service.sap.com/sap/support/notes/1783813","1783813")</f>
        <v>1783813</v>
      </c>
      <c r="E345">
        <v>2</v>
      </c>
      <c r="F345" t="s">
        <v>746</v>
      </c>
    </row>
    <row r="346" spans="1:6" x14ac:dyDescent="0.25">
      <c r="A346" t="s">
        <v>716</v>
      </c>
      <c r="B346" t="s">
        <v>510</v>
      </c>
      <c r="C346" t="s">
        <v>511</v>
      </c>
      <c r="D346" t="str">
        <f>HYPERLINK("http://service.sap.com/sap/support/notes/1788333","1788333")</f>
        <v>1788333</v>
      </c>
      <c r="E346">
        <v>2</v>
      </c>
      <c r="F346" t="s">
        <v>747</v>
      </c>
    </row>
    <row r="347" spans="1:6" x14ac:dyDescent="0.25">
      <c r="A347" t="s">
        <v>716</v>
      </c>
      <c r="B347" t="s">
        <v>512</v>
      </c>
      <c r="C347" t="s">
        <v>513</v>
      </c>
      <c r="D347" t="str">
        <f>HYPERLINK("http://service.sap.com/sap/support/notes/649274","649274")</f>
        <v>649274</v>
      </c>
      <c r="E347">
        <v>3</v>
      </c>
      <c r="F347" t="s">
        <v>748</v>
      </c>
    </row>
    <row r="348" spans="1:6" x14ac:dyDescent="0.25">
      <c r="A348" t="s">
        <v>716</v>
      </c>
      <c r="B348" t="s">
        <v>512</v>
      </c>
      <c r="C348" t="s">
        <v>513</v>
      </c>
      <c r="D348" t="str">
        <f>HYPERLINK("http://service.sap.com/sap/support/notes/762157","762157")</f>
        <v>762157</v>
      </c>
      <c r="E348">
        <v>3</v>
      </c>
      <c r="F348" t="s">
        <v>749</v>
      </c>
    </row>
    <row r="349" spans="1:6" x14ac:dyDescent="0.25">
      <c r="A349" t="s">
        <v>716</v>
      </c>
      <c r="B349" t="s">
        <v>512</v>
      </c>
      <c r="C349" t="s">
        <v>513</v>
      </c>
      <c r="D349" t="str">
        <f>HYPERLINK("http://service.sap.com/sap/support/notes/1726108","1726108")</f>
        <v>1726108</v>
      </c>
      <c r="E349">
        <v>1</v>
      </c>
      <c r="F349" t="s">
        <v>750</v>
      </c>
    </row>
    <row r="350" spans="1:6" x14ac:dyDescent="0.25">
      <c r="A350" t="s">
        <v>716</v>
      </c>
      <c r="B350" t="s">
        <v>512</v>
      </c>
      <c r="C350" t="s">
        <v>513</v>
      </c>
      <c r="D350" t="str">
        <f>HYPERLINK("http://service.sap.com/sap/support/notes/1728374","1728374")</f>
        <v>1728374</v>
      </c>
      <c r="E350">
        <v>1</v>
      </c>
      <c r="F350" t="s">
        <v>751</v>
      </c>
    </row>
    <row r="351" spans="1:6" x14ac:dyDescent="0.25">
      <c r="A351" t="s">
        <v>716</v>
      </c>
      <c r="B351" t="s">
        <v>512</v>
      </c>
      <c r="C351" t="s">
        <v>513</v>
      </c>
      <c r="D351" t="str">
        <f>HYPERLINK("http://service.sap.com/sap/support/notes/1733512","1733512")</f>
        <v>1733512</v>
      </c>
      <c r="E351">
        <v>2</v>
      </c>
      <c r="F351" t="s">
        <v>752</v>
      </c>
    </row>
    <row r="352" spans="1:6" x14ac:dyDescent="0.25">
      <c r="A352" t="s">
        <v>716</v>
      </c>
      <c r="B352" t="s">
        <v>512</v>
      </c>
      <c r="C352" t="s">
        <v>513</v>
      </c>
      <c r="D352" t="str">
        <f>HYPERLINK("http://service.sap.com/sap/support/notes/1733623","1733623")</f>
        <v>1733623</v>
      </c>
      <c r="E352">
        <v>1</v>
      </c>
      <c r="F352" t="s">
        <v>753</v>
      </c>
    </row>
    <row r="353" spans="1:6" x14ac:dyDescent="0.25">
      <c r="A353" t="s">
        <v>716</v>
      </c>
      <c r="B353" t="s">
        <v>512</v>
      </c>
      <c r="C353" t="s">
        <v>513</v>
      </c>
      <c r="D353" t="str">
        <f>HYPERLINK("http://service.sap.com/sap/support/notes/1734196","1734196")</f>
        <v>1734196</v>
      </c>
      <c r="E353">
        <v>1</v>
      </c>
      <c r="F353" t="s">
        <v>754</v>
      </c>
    </row>
    <row r="354" spans="1:6" x14ac:dyDescent="0.25">
      <c r="A354" t="s">
        <v>716</v>
      </c>
      <c r="B354" t="s">
        <v>512</v>
      </c>
      <c r="C354" t="s">
        <v>513</v>
      </c>
      <c r="D354" t="str">
        <f>HYPERLINK("http://service.sap.com/sap/support/notes/1739579","1739579")</f>
        <v>1739579</v>
      </c>
      <c r="E354">
        <v>1</v>
      </c>
      <c r="F354" t="s">
        <v>755</v>
      </c>
    </row>
    <row r="355" spans="1:6" x14ac:dyDescent="0.25">
      <c r="A355" t="s">
        <v>716</v>
      </c>
      <c r="B355" t="s">
        <v>512</v>
      </c>
      <c r="C355" t="s">
        <v>513</v>
      </c>
      <c r="D355" t="str">
        <f>HYPERLINK("http://service.sap.com/sap/support/notes/1741641","1741641")</f>
        <v>1741641</v>
      </c>
      <c r="E355">
        <v>1</v>
      </c>
      <c r="F355" t="s">
        <v>756</v>
      </c>
    </row>
    <row r="356" spans="1:6" x14ac:dyDescent="0.25">
      <c r="A356" t="s">
        <v>716</v>
      </c>
      <c r="B356" t="s">
        <v>512</v>
      </c>
      <c r="C356" t="s">
        <v>513</v>
      </c>
      <c r="D356" t="str">
        <f>HYPERLINK("http://service.sap.com/sap/support/notes/1747087","1747087")</f>
        <v>1747087</v>
      </c>
      <c r="E356">
        <v>1</v>
      </c>
      <c r="F356" t="s">
        <v>757</v>
      </c>
    </row>
    <row r="357" spans="1:6" x14ac:dyDescent="0.25">
      <c r="A357" t="s">
        <v>716</v>
      </c>
      <c r="B357" t="s">
        <v>512</v>
      </c>
      <c r="C357" t="s">
        <v>513</v>
      </c>
      <c r="D357" t="str">
        <f>HYPERLINK("http://service.sap.com/sap/support/notes/1747263","1747263")</f>
        <v>1747263</v>
      </c>
      <c r="E357">
        <v>1</v>
      </c>
      <c r="F357" t="s">
        <v>758</v>
      </c>
    </row>
    <row r="358" spans="1:6" x14ac:dyDescent="0.25">
      <c r="A358" t="s">
        <v>716</v>
      </c>
      <c r="B358" t="s">
        <v>512</v>
      </c>
      <c r="C358" t="s">
        <v>513</v>
      </c>
      <c r="D358" t="str">
        <f>HYPERLINK("http://service.sap.com/sap/support/notes/1751876","1751876")</f>
        <v>1751876</v>
      </c>
      <c r="E358">
        <v>1</v>
      </c>
      <c r="F358" t="s">
        <v>759</v>
      </c>
    </row>
    <row r="359" spans="1:6" x14ac:dyDescent="0.25">
      <c r="A359" t="s">
        <v>716</v>
      </c>
      <c r="B359" t="s">
        <v>512</v>
      </c>
      <c r="C359" t="s">
        <v>513</v>
      </c>
      <c r="D359" t="str">
        <f>HYPERLINK("http://service.sap.com/sap/support/notes/1768416","1768416")</f>
        <v>1768416</v>
      </c>
      <c r="E359">
        <v>3</v>
      </c>
      <c r="F359" t="s">
        <v>760</v>
      </c>
    </row>
    <row r="360" spans="1:6" x14ac:dyDescent="0.25">
      <c r="A360" t="s">
        <v>716</v>
      </c>
      <c r="B360" t="s">
        <v>512</v>
      </c>
      <c r="C360" t="s">
        <v>513</v>
      </c>
      <c r="D360" t="str">
        <f>HYPERLINK("http://service.sap.com/sap/support/notes/1772320","1772320")</f>
        <v>1772320</v>
      </c>
      <c r="E360">
        <v>1</v>
      </c>
      <c r="F360" t="s">
        <v>761</v>
      </c>
    </row>
    <row r="361" spans="1:6" x14ac:dyDescent="0.25">
      <c r="A361" t="s">
        <v>716</v>
      </c>
      <c r="B361" t="s">
        <v>512</v>
      </c>
      <c r="C361" t="s">
        <v>513</v>
      </c>
      <c r="D361" t="str">
        <f>HYPERLINK("http://service.sap.com/sap/support/notes/1774565","1774565")</f>
        <v>1774565</v>
      </c>
      <c r="E361">
        <v>2</v>
      </c>
      <c r="F361" t="s">
        <v>762</v>
      </c>
    </row>
    <row r="362" spans="1:6" x14ac:dyDescent="0.25">
      <c r="A362" t="s">
        <v>716</v>
      </c>
      <c r="B362" t="s">
        <v>512</v>
      </c>
      <c r="C362" t="s">
        <v>513</v>
      </c>
      <c r="D362" t="str">
        <f>HYPERLINK("http://service.sap.com/sap/support/notes/1777834","1777834")</f>
        <v>1777834</v>
      </c>
      <c r="E362">
        <v>1</v>
      </c>
      <c r="F362" t="s">
        <v>763</v>
      </c>
    </row>
    <row r="363" spans="1:6" x14ac:dyDescent="0.25">
      <c r="A363" t="s">
        <v>716</v>
      </c>
      <c r="B363" t="s">
        <v>512</v>
      </c>
      <c r="C363" t="s">
        <v>513</v>
      </c>
      <c r="D363" t="str">
        <f>HYPERLINK("http://service.sap.com/sap/support/notes/1778357","1778357")</f>
        <v>1778357</v>
      </c>
      <c r="E363">
        <v>1</v>
      </c>
      <c r="F363" t="s">
        <v>764</v>
      </c>
    </row>
    <row r="364" spans="1:6" x14ac:dyDescent="0.25">
      <c r="A364" t="s">
        <v>716</v>
      </c>
      <c r="B364" t="s">
        <v>514</v>
      </c>
      <c r="C364" t="s">
        <v>515</v>
      </c>
      <c r="D364" t="str">
        <f>HYPERLINK("http://service.sap.com/sap/support/notes/1770225","1770225")</f>
        <v>1770225</v>
      </c>
      <c r="E364">
        <v>1</v>
      </c>
      <c r="F364" t="s">
        <v>765</v>
      </c>
    </row>
    <row r="365" spans="1:6" x14ac:dyDescent="0.25">
      <c r="A365" t="s">
        <v>716</v>
      </c>
      <c r="B365" t="s">
        <v>514</v>
      </c>
      <c r="C365" t="s">
        <v>515</v>
      </c>
      <c r="D365" t="str">
        <f>HYPERLINK("http://service.sap.com/sap/support/notes/1788872","1788872")</f>
        <v>1788872</v>
      </c>
      <c r="E365">
        <v>1</v>
      </c>
      <c r="F365" t="s">
        <v>766</v>
      </c>
    </row>
    <row r="366" spans="1:6" x14ac:dyDescent="0.25">
      <c r="A366" t="s">
        <v>716</v>
      </c>
      <c r="B366" t="s">
        <v>516</v>
      </c>
      <c r="C366" t="s">
        <v>517</v>
      </c>
      <c r="D366" t="str">
        <f>HYPERLINK("http://service.sap.com/sap/support/notes/1752994","1752994")</f>
        <v>1752994</v>
      </c>
      <c r="E366">
        <v>1</v>
      </c>
      <c r="F366" t="s">
        <v>767</v>
      </c>
    </row>
    <row r="367" spans="1:6" x14ac:dyDescent="0.25">
      <c r="A367" t="s">
        <v>716</v>
      </c>
      <c r="B367" t="s">
        <v>516</v>
      </c>
      <c r="C367" t="s">
        <v>517</v>
      </c>
      <c r="D367" t="str">
        <f>HYPERLINK("http://service.sap.com/sap/support/notes/1771278","1771278")</f>
        <v>1771278</v>
      </c>
      <c r="E367">
        <v>3</v>
      </c>
      <c r="F367" t="s">
        <v>767</v>
      </c>
    </row>
    <row r="368" spans="1:6" x14ac:dyDescent="0.25">
      <c r="A368" t="s">
        <v>716</v>
      </c>
      <c r="B368" t="s">
        <v>516</v>
      </c>
      <c r="C368" t="s">
        <v>517</v>
      </c>
      <c r="D368" t="str">
        <f>HYPERLINK("http://service.sap.com/sap/support/notes/1778463","1778463")</f>
        <v>1778463</v>
      </c>
      <c r="E368">
        <v>1</v>
      </c>
      <c r="F368" t="s">
        <v>768</v>
      </c>
    </row>
    <row r="369" spans="1:6" x14ac:dyDescent="0.25">
      <c r="A369" t="s">
        <v>716</v>
      </c>
      <c r="B369" t="s">
        <v>25</v>
      </c>
      <c r="C369" t="s">
        <v>26</v>
      </c>
    </row>
    <row r="370" spans="1:6" x14ac:dyDescent="0.25">
      <c r="A370" t="s">
        <v>716</v>
      </c>
      <c r="B370" t="s">
        <v>27</v>
      </c>
      <c r="C370" t="s">
        <v>28</v>
      </c>
      <c r="D370" t="str">
        <f>HYPERLINK("http://service.sap.com/sap/support/notes/1041427","1041427")</f>
        <v>1041427</v>
      </c>
      <c r="E370">
        <v>1</v>
      </c>
      <c r="F370" t="s">
        <v>769</v>
      </c>
    </row>
    <row r="371" spans="1:6" x14ac:dyDescent="0.25">
      <c r="A371" t="s">
        <v>716</v>
      </c>
      <c r="B371" t="s">
        <v>518</v>
      </c>
      <c r="C371" t="s">
        <v>98</v>
      </c>
      <c r="D371" t="str">
        <f>HYPERLINK("http://service.sap.com/sap/support/notes/1728078","1728078")</f>
        <v>1728078</v>
      </c>
      <c r="E371">
        <v>3</v>
      </c>
      <c r="F371" t="s">
        <v>770</v>
      </c>
    </row>
    <row r="372" spans="1:6" x14ac:dyDescent="0.25">
      <c r="A372" t="s">
        <v>716</v>
      </c>
      <c r="B372" t="s">
        <v>518</v>
      </c>
      <c r="C372" t="s">
        <v>98</v>
      </c>
      <c r="D372" t="str">
        <f>HYPERLINK("http://service.sap.com/sap/support/notes/1764737","1764737")</f>
        <v>1764737</v>
      </c>
      <c r="E372">
        <v>4</v>
      </c>
      <c r="F372" t="s">
        <v>771</v>
      </c>
    </row>
    <row r="373" spans="1:6" x14ac:dyDescent="0.25">
      <c r="A373" t="s">
        <v>716</v>
      </c>
      <c r="B373" t="s">
        <v>519</v>
      </c>
      <c r="C373" t="s">
        <v>132</v>
      </c>
      <c r="D373" t="str">
        <f>HYPERLINK("http://service.sap.com/sap/support/notes/1676908","1676908")</f>
        <v>1676908</v>
      </c>
      <c r="E373">
        <v>3</v>
      </c>
      <c r="F373" t="s">
        <v>772</v>
      </c>
    </row>
    <row r="374" spans="1:6" x14ac:dyDescent="0.25">
      <c r="A374" t="s">
        <v>716</v>
      </c>
      <c r="B374" t="s">
        <v>519</v>
      </c>
      <c r="C374" t="s">
        <v>132</v>
      </c>
      <c r="D374" t="str">
        <f>HYPERLINK("http://service.sap.com/sap/support/notes/1773020","1773020")</f>
        <v>1773020</v>
      </c>
      <c r="E374">
        <v>3</v>
      </c>
      <c r="F374" t="s">
        <v>773</v>
      </c>
    </row>
    <row r="375" spans="1:6" x14ac:dyDescent="0.25">
      <c r="A375" t="s">
        <v>716</v>
      </c>
      <c r="B375" t="s">
        <v>519</v>
      </c>
      <c r="C375" t="s">
        <v>132</v>
      </c>
      <c r="D375" t="str">
        <f>HYPERLINK("http://service.sap.com/sap/support/notes/1773938","1773938")</f>
        <v>1773938</v>
      </c>
      <c r="E375">
        <v>3</v>
      </c>
      <c r="F375" t="s">
        <v>774</v>
      </c>
    </row>
    <row r="376" spans="1:6" x14ac:dyDescent="0.25">
      <c r="A376" t="s">
        <v>716</v>
      </c>
      <c r="B376" t="s">
        <v>519</v>
      </c>
      <c r="C376" t="s">
        <v>132</v>
      </c>
      <c r="D376" t="str">
        <f>HYPERLINK("http://service.sap.com/sap/support/notes/1775187","1775187")</f>
        <v>1775187</v>
      </c>
      <c r="E376">
        <v>1</v>
      </c>
      <c r="F376" t="s">
        <v>775</v>
      </c>
    </row>
    <row r="377" spans="1:6" x14ac:dyDescent="0.25">
      <c r="A377" t="s">
        <v>716</v>
      </c>
      <c r="B377" t="s">
        <v>519</v>
      </c>
      <c r="C377" t="s">
        <v>132</v>
      </c>
      <c r="D377" t="str">
        <f>HYPERLINK("http://service.sap.com/sap/support/notes/1779574","1779574")</f>
        <v>1779574</v>
      </c>
      <c r="E377">
        <v>2</v>
      </c>
      <c r="F377" t="s">
        <v>776</v>
      </c>
    </row>
    <row r="378" spans="1:6" x14ac:dyDescent="0.25">
      <c r="A378" t="s">
        <v>716</v>
      </c>
      <c r="B378" t="s">
        <v>642</v>
      </c>
      <c r="C378" t="s">
        <v>145</v>
      </c>
      <c r="D378" t="str">
        <f>HYPERLINK("http://service.sap.com/sap/support/notes/1751751","1751751")</f>
        <v>1751751</v>
      </c>
      <c r="E378">
        <v>2</v>
      </c>
      <c r="F378" t="s">
        <v>777</v>
      </c>
    </row>
    <row r="379" spans="1:6" x14ac:dyDescent="0.25">
      <c r="A379" t="s">
        <v>716</v>
      </c>
      <c r="B379" t="s">
        <v>778</v>
      </c>
      <c r="C379" t="s">
        <v>151</v>
      </c>
      <c r="D379" t="str">
        <f>HYPERLINK("http://service.sap.com/sap/support/notes/1765682","1765682")</f>
        <v>1765682</v>
      </c>
      <c r="E379">
        <v>2</v>
      </c>
      <c r="F379" t="s">
        <v>779</v>
      </c>
    </row>
    <row r="380" spans="1:6" x14ac:dyDescent="0.25">
      <c r="A380" t="s">
        <v>716</v>
      </c>
      <c r="B380" t="s">
        <v>780</v>
      </c>
      <c r="C380" t="s">
        <v>781</v>
      </c>
      <c r="D380" t="str">
        <f>HYPERLINK("http://service.sap.com/sap/support/notes/1752961","1752961")</f>
        <v>1752961</v>
      </c>
      <c r="E380">
        <v>4</v>
      </c>
      <c r="F380" t="s">
        <v>782</v>
      </c>
    </row>
    <row r="381" spans="1:6" x14ac:dyDescent="0.25">
      <c r="A381" t="s">
        <v>716</v>
      </c>
      <c r="B381" t="s">
        <v>708</v>
      </c>
      <c r="C381" t="s">
        <v>160</v>
      </c>
      <c r="D381" t="str">
        <f>HYPERLINK("http://service.sap.com/sap/support/notes/1771987","1771987")</f>
        <v>1771987</v>
      </c>
      <c r="E381">
        <v>1</v>
      </c>
      <c r="F381" t="s">
        <v>783</v>
      </c>
    </row>
    <row r="382" spans="1:6" x14ac:dyDescent="0.25">
      <c r="A382" t="s">
        <v>716</v>
      </c>
      <c r="B382" t="s">
        <v>33</v>
      </c>
      <c r="C382" t="s">
        <v>34</v>
      </c>
      <c r="D382" t="str">
        <f>HYPERLINK("http://service.sap.com/sap/support/notes/1740696","1740696")</f>
        <v>1740696</v>
      </c>
      <c r="E382">
        <v>1</v>
      </c>
      <c r="F382" t="s">
        <v>784</v>
      </c>
    </row>
    <row r="383" spans="1:6" x14ac:dyDescent="0.25">
      <c r="A383" t="s">
        <v>716</v>
      </c>
      <c r="B383" t="s">
        <v>33</v>
      </c>
      <c r="C383" t="s">
        <v>34</v>
      </c>
      <c r="D383" t="str">
        <f>HYPERLINK("http://service.sap.com/sap/support/notes/1758557","1758557")</f>
        <v>1758557</v>
      </c>
      <c r="E383">
        <v>5</v>
      </c>
      <c r="F383" t="s">
        <v>35</v>
      </c>
    </row>
    <row r="384" spans="1:6" x14ac:dyDescent="0.25">
      <c r="A384" t="s">
        <v>716</v>
      </c>
      <c r="B384" t="s">
        <v>33</v>
      </c>
      <c r="C384" t="s">
        <v>34</v>
      </c>
      <c r="D384" t="str">
        <f>HYPERLINK("http://service.sap.com/sap/support/notes/1784312","1784312")</f>
        <v>1784312</v>
      </c>
      <c r="E384">
        <v>1</v>
      </c>
      <c r="F384" t="s">
        <v>785</v>
      </c>
    </row>
    <row r="385" spans="1:6" x14ac:dyDescent="0.25">
      <c r="A385" t="s">
        <v>716</v>
      </c>
      <c r="B385" t="s">
        <v>33</v>
      </c>
      <c r="C385" t="s">
        <v>34</v>
      </c>
      <c r="D385" t="str">
        <f>HYPERLINK("http://service.sap.com/sap/support/notes/1785397","1785397")</f>
        <v>1785397</v>
      </c>
      <c r="E385">
        <v>3</v>
      </c>
      <c r="F385" t="s">
        <v>786</v>
      </c>
    </row>
    <row r="386" spans="1:6" x14ac:dyDescent="0.25">
      <c r="A386" t="s">
        <v>716</v>
      </c>
      <c r="B386" t="s">
        <v>33</v>
      </c>
      <c r="C386" t="s">
        <v>34</v>
      </c>
      <c r="D386" t="str">
        <f>HYPERLINK("http://service.sap.com/sap/support/notes/1787613","1787613")</f>
        <v>1787613</v>
      </c>
      <c r="E386">
        <v>1</v>
      </c>
      <c r="F386" t="s">
        <v>787</v>
      </c>
    </row>
    <row r="387" spans="1:6" x14ac:dyDescent="0.25">
      <c r="A387" t="s">
        <v>716</v>
      </c>
      <c r="B387" t="s">
        <v>520</v>
      </c>
      <c r="C387" t="s">
        <v>176</v>
      </c>
      <c r="D387" t="str">
        <f>HYPERLINK("http://service.sap.com/sap/support/notes/1760406","1760406")</f>
        <v>1760406</v>
      </c>
      <c r="E387">
        <v>1</v>
      </c>
      <c r="F387" t="s">
        <v>788</v>
      </c>
    </row>
    <row r="388" spans="1:6" x14ac:dyDescent="0.25">
      <c r="A388" t="s">
        <v>716</v>
      </c>
      <c r="B388" t="s">
        <v>520</v>
      </c>
      <c r="C388" t="s">
        <v>176</v>
      </c>
      <c r="D388" t="str">
        <f>HYPERLINK("http://service.sap.com/sap/support/notes/1783847","1783847")</f>
        <v>1783847</v>
      </c>
      <c r="E388">
        <v>2</v>
      </c>
      <c r="F388" t="s">
        <v>789</v>
      </c>
    </row>
    <row r="389" spans="1:6" x14ac:dyDescent="0.25">
      <c r="A389" t="s">
        <v>716</v>
      </c>
      <c r="B389" t="s">
        <v>40</v>
      </c>
      <c r="C389" t="s">
        <v>41</v>
      </c>
      <c r="D389" t="str">
        <f>HYPERLINK("http://service.sap.com/sap/support/notes/700094","700094")</f>
        <v>700094</v>
      </c>
      <c r="E389">
        <v>8</v>
      </c>
      <c r="F389" t="s">
        <v>42</v>
      </c>
    </row>
    <row r="390" spans="1:6" x14ac:dyDescent="0.25">
      <c r="A390" t="s">
        <v>716</v>
      </c>
      <c r="B390" t="s">
        <v>40</v>
      </c>
      <c r="C390" t="s">
        <v>41</v>
      </c>
      <c r="D390" t="str">
        <f>HYPERLINK("http://service.sap.com/sap/support/notes/1709245","1709245")</f>
        <v>1709245</v>
      </c>
      <c r="E390">
        <v>2</v>
      </c>
      <c r="F390" t="s">
        <v>790</v>
      </c>
    </row>
    <row r="391" spans="1:6" x14ac:dyDescent="0.25">
      <c r="A391" t="s">
        <v>716</v>
      </c>
      <c r="B391" t="s">
        <v>40</v>
      </c>
      <c r="C391" t="s">
        <v>41</v>
      </c>
      <c r="D391" t="str">
        <f>HYPERLINK("http://service.sap.com/sap/support/notes/1733411","1733411")</f>
        <v>1733411</v>
      </c>
      <c r="E391">
        <v>2</v>
      </c>
      <c r="F391" t="s">
        <v>791</v>
      </c>
    </row>
    <row r="392" spans="1:6" x14ac:dyDescent="0.25">
      <c r="A392" t="s">
        <v>716</v>
      </c>
      <c r="B392" t="s">
        <v>40</v>
      </c>
      <c r="C392" t="s">
        <v>41</v>
      </c>
      <c r="D392" t="str">
        <f>HYPERLINK("http://service.sap.com/sap/support/notes/1741184","1741184")</f>
        <v>1741184</v>
      </c>
      <c r="E392">
        <v>1</v>
      </c>
      <c r="F392" t="s">
        <v>792</v>
      </c>
    </row>
    <row r="393" spans="1:6" x14ac:dyDescent="0.25">
      <c r="A393" t="s">
        <v>716</v>
      </c>
      <c r="B393" t="s">
        <v>40</v>
      </c>
      <c r="C393" t="s">
        <v>41</v>
      </c>
      <c r="D393" t="str">
        <f>HYPERLINK("http://service.sap.com/sap/support/notes/1760150","1760150")</f>
        <v>1760150</v>
      </c>
      <c r="E393">
        <v>1</v>
      </c>
      <c r="F393" t="s">
        <v>793</v>
      </c>
    </row>
    <row r="394" spans="1:6" x14ac:dyDescent="0.25">
      <c r="A394" t="s">
        <v>716</v>
      </c>
      <c r="B394" t="s">
        <v>43</v>
      </c>
      <c r="C394" t="s">
        <v>521</v>
      </c>
      <c r="D394" t="str">
        <f>HYPERLINK("http://service.sap.com/sap/support/notes/1767771","1767771")</f>
        <v>1767771</v>
      </c>
      <c r="E394">
        <v>2</v>
      </c>
      <c r="F394" t="s">
        <v>794</v>
      </c>
    </row>
    <row r="395" spans="1:6" x14ac:dyDescent="0.25">
      <c r="A395" t="s">
        <v>716</v>
      </c>
      <c r="B395" t="s">
        <v>43</v>
      </c>
      <c r="C395" t="s">
        <v>521</v>
      </c>
      <c r="D395" t="str">
        <f>HYPERLINK("http://service.sap.com/sap/support/notes/1777236","1777236")</f>
        <v>1777236</v>
      </c>
      <c r="E395">
        <v>2</v>
      </c>
      <c r="F395" t="s">
        <v>795</v>
      </c>
    </row>
    <row r="396" spans="1:6" x14ac:dyDescent="0.25">
      <c r="A396" t="s">
        <v>716</v>
      </c>
      <c r="B396" t="s">
        <v>43</v>
      </c>
      <c r="C396" t="s">
        <v>521</v>
      </c>
      <c r="D396" t="str">
        <f>HYPERLINK("http://service.sap.com/sap/support/notes/1783745","1783745")</f>
        <v>1783745</v>
      </c>
      <c r="E396">
        <v>2</v>
      </c>
      <c r="F396" t="s">
        <v>796</v>
      </c>
    </row>
    <row r="397" spans="1:6" x14ac:dyDescent="0.25">
      <c r="A397" t="s">
        <v>716</v>
      </c>
      <c r="B397" t="s">
        <v>43</v>
      </c>
      <c r="C397" t="s">
        <v>521</v>
      </c>
      <c r="D397" t="str">
        <f>HYPERLINK("http://service.sap.com/sap/support/notes/1783962","1783962")</f>
        <v>1783962</v>
      </c>
      <c r="E397">
        <v>1</v>
      </c>
      <c r="F397" t="s">
        <v>797</v>
      </c>
    </row>
    <row r="398" spans="1:6" x14ac:dyDescent="0.25">
      <c r="A398" t="s">
        <v>716</v>
      </c>
      <c r="B398" t="s">
        <v>43</v>
      </c>
      <c r="C398" t="s">
        <v>521</v>
      </c>
      <c r="D398" t="str">
        <f>HYPERLINK("http://service.sap.com/sap/support/notes/1784428","1784428")</f>
        <v>1784428</v>
      </c>
      <c r="E398">
        <v>4</v>
      </c>
      <c r="F398" t="s">
        <v>798</v>
      </c>
    </row>
    <row r="399" spans="1:6" x14ac:dyDescent="0.25">
      <c r="A399" t="s">
        <v>716</v>
      </c>
      <c r="B399" t="s">
        <v>522</v>
      </c>
      <c r="C399" t="s">
        <v>523</v>
      </c>
      <c r="D399" t="str">
        <f>HYPERLINK("http://service.sap.com/sap/support/notes/1675943","1675943")</f>
        <v>1675943</v>
      </c>
      <c r="E399">
        <v>2</v>
      </c>
      <c r="F399" t="s">
        <v>799</v>
      </c>
    </row>
    <row r="400" spans="1:6" x14ac:dyDescent="0.25">
      <c r="A400" t="s">
        <v>716</v>
      </c>
      <c r="B400" t="s">
        <v>522</v>
      </c>
      <c r="C400" t="s">
        <v>523</v>
      </c>
      <c r="D400" t="str">
        <f>HYPERLINK("http://service.sap.com/sap/support/notes/1749145","1749145")</f>
        <v>1749145</v>
      </c>
      <c r="E400">
        <v>2</v>
      </c>
      <c r="F400" t="s">
        <v>800</v>
      </c>
    </row>
    <row r="401" spans="1:6" x14ac:dyDescent="0.25">
      <c r="A401" t="s">
        <v>716</v>
      </c>
      <c r="B401" t="s">
        <v>801</v>
      </c>
      <c r="C401" t="s">
        <v>328</v>
      </c>
      <c r="D401" t="str">
        <f>HYPERLINK("http://service.sap.com/sap/support/notes/448307","448307")</f>
        <v>448307</v>
      </c>
      <c r="E401">
        <v>1</v>
      </c>
      <c r="F401" t="s">
        <v>802</v>
      </c>
    </row>
    <row r="402" spans="1:6" x14ac:dyDescent="0.25">
      <c r="A402" t="s">
        <v>716</v>
      </c>
      <c r="B402" t="s">
        <v>801</v>
      </c>
      <c r="C402" t="s">
        <v>328</v>
      </c>
      <c r="D402" t="str">
        <f>HYPERLINK("http://service.sap.com/sap/support/notes/1774202","1774202")</f>
        <v>1774202</v>
      </c>
      <c r="E402">
        <v>3</v>
      </c>
      <c r="F402" t="s">
        <v>803</v>
      </c>
    </row>
    <row r="403" spans="1:6" x14ac:dyDescent="0.25">
      <c r="A403" t="s">
        <v>716</v>
      </c>
      <c r="B403" t="s">
        <v>801</v>
      </c>
      <c r="C403" t="s">
        <v>328</v>
      </c>
      <c r="D403" t="str">
        <f>HYPERLINK("http://service.sap.com/sap/support/notes/1778689","1778689")</f>
        <v>1778689</v>
      </c>
      <c r="E403">
        <v>2</v>
      </c>
      <c r="F403" t="s">
        <v>804</v>
      </c>
    </row>
    <row r="404" spans="1:6" x14ac:dyDescent="0.25">
      <c r="A404" t="s">
        <v>716</v>
      </c>
      <c r="B404" t="s">
        <v>47</v>
      </c>
      <c r="C404" t="s">
        <v>48</v>
      </c>
      <c r="D404" t="str">
        <f>HYPERLINK("http://service.sap.com/sap/support/notes/1778871","1778871")</f>
        <v>1778871</v>
      </c>
      <c r="E404">
        <v>2</v>
      </c>
      <c r="F404" t="s">
        <v>805</v>
      </c>
    </row>
    <row r="405" spans="1:6" x14ac:dyDescent="0.25">
      <c r="A405" t="s">
        <v>716</v>
      </c>
      <c r="B405" t="s">
        <v>47</v>
      </c>
      <c r="C405" t="s">
        <v>48</v>
      </c>
      <c r="D405" t="str">
        <f>HYPERLINK("http://service.sap.com/sap/support/notes/1779930","1779930")</f>
        <v>1779930</v>
      </c>
      <c r="E405">
        <v>1</v>
      </c>
      <c r="F405" t="s">
        <v>806</v>
      </c>
    </row>
    <row r="406" spans="1:6" x14ac:dyDescent="0.25">
      <c r="A406" t="s">
        <v>716</v>
      </c>
      <c r="B406" t="s">
        <v>51</v>
      </c>
      <c r="C406" t="s">
        <v>52</v>
      </c>
      <c r="D406" t="str">
        <f>HYPERLINK("http://service.sap.com/sap/support/notes/1779394","1779394")</f>
        <v>1779394</v>
      </c>
      <c r="E406">
        <v>4</v>
      </c>
      <c r="F406" t="s">
        <v>807</v>
      </c>
    </row>
    <row r="407" spans="1:6" x14ac:dyDescent="0.25">
      <c r="A407" t="s">
        <v>716</v>
      </c>
      <c r="B407" t="s">
        <v>51</v>
      </c>
      <c r="C407" t="s">
        <v>52</v>
      </c>
      <c r="D407" t="str">
        <f>HYPERLINK("http://service.sap.com/sap/support/notes/1784273","1784273")</f>
        <v>1784273</v>
      </c>
      <c r="E407">
        <v>3</v>
      </c>
      <c r="F407" t="s">
        <v>808</v>
      </c>
    </row>
    <row r="408" spans="1:6" x14ac:dyDescent="0.25">
      <c r="A408" t="s">
        <v>716</v>
      </c>
      <c r="B408" t="s">
        <v>51</v>
      </c>
      <c r="C408" t="s">
        <v>52</v>
      </c>
      <c r="D408" t="str">
        <f>HYPERLINK("http://service.sap.com/sap/support/notes/1787048","1787048")</f>
        <v>1787048</v>
      </c>
      <c r="E408">
        <v>3</v>
      </c>
      <c r="F408" t="s">
        <v>809</v>
      </c>
    </row>
    <row r="409" spans="1:6" x14ac:dyDescent="0.25">
      <c r="A409" t="s">
        <v>716</v>
      </c>
      <c r="B409" t="s">
        <v>54</v>
      </c>
      <c r="C409" t="s">
        <v>55</v>
      </c>
      <c r="D409" t="str">
        <f>HYPERLINK("http://service.sap.com/sap/support/notes/1752179","1752179")</f>
        <v>1752179</v>
      </c>
      <c r="E409">
        <v>1</v>
      </c>
      <c r="F409" t="s">
        <v>810</v>
      </c>
    </row>
    <row r="410" spans="1:6" x14ac:dyDescent="0.25">
      <c r="A410" t="s">
        <v>716</v>
      </c>
      <c r="B410" t="s">
        <v>54</v>
      </c>
      <c r="C410" t="s">
        <v>55</v>
      </c>
      <c r="D410" t="str">
        <f>HYPERLINK("http://service.sap.com/sap/support/notes/1760848","1760848")</f>
        <v>1760848</v>
      </c>
      <c r="E410">
        <v>1</v>
      </c>
      <c r="F410" t="s">
        <v>57</v>
      </c>
    </row>
    <row r="411" spans="1:6" x14ac:dyDescent="0.25">
      <c r="A411" t="s">
        <v>716</v>
      </c>
      <c r="B411" t="s">
        <v>54</v>
      </c>
      <c r="C411" t="s">
        <v>55</v>
      </c>
      <c r="D411" t="str">
        <f>HYPERLINK("http://service.sap.com/sap/support/notes/1776382","1776382")</f>
        <v>1776382</v>
      </c>
      <c r="E411">
        <v>2</v>
      </c>
      <c r="F411" t="s">
        <v>811</v>
      </c>
    </row>
    <row r="412" spans="1:6" x14ac:dyDescent="0.25">
      <c r="A412" t="s">
        <v>716</v>
      </c>
      <c r="B412" t="s">
        <v>54</v>
      </c>
      <c r="C412" t="s">
        <v>55</v>
      </c>
      <c r="D412" t="str">
        <f>HYPERLINK("http://service.sap.com/sap/support/notes/1782206","1782206")</f>
        <v>1782206</v>
      </c>
      <c r="E412">
        <v>1</v>
      </c>
      <c r="F412" t="s">
        <v>812</v>
      </c>
    </row>
    <row r="413" spans="1:6" x14ac:dyDescent="0.25">
      <c r="A413" t="s">
        <v>716</v>
      </c>
      <c r="B413" t="s">
        <v>54</v>
      </c>
      <c r="C413" t="s">
        <v>55</v>
      </c>
      <c r="D413" t="str">
        <f>HYPERLINK("http://service.sap.com/sap/support/notes/1785076","1785076")</f>
        <v>1785076</v>
      </c>
      <c r="E413">
        <v>1</v>
      </c>
      <c r="F413" t="s">
        <v>813</v>
      </c>
    </row>
    <row r="414" spans="1:6" x14ac:dyDescent="0.25">
      <c r="A414" t="s">
        <v>716</v>
      </c>
      <c r="B414" t="s">
        <v>54</v>
      </c>
      <c r="C414" t="s">
        <v>55</v>
      </c>
      <c r="D414" t="str">
        <f>HYPERLINK("http://service.sap.com/sap/support/notes/1786229","1786229")</f>
        <v>1786229</v>
      </c>
      <c r="E414">
        <v>2</v>
      </c>
      <c r="F414" t="s">
        <v>814</v>
      </c>
    </row>
    <row r="415" spans="1:6" x14ac:dyDescent="0.25">
      <c r="A415" t="s">
        <v>716</v>
      </c>
      <c r="B415" t="s">
        <v>63</v>
      </c>
      <c r="C415" t="s">
        <v>527</v>
      </c>
      <c r="D415" t="str">
        <f>HYPERLINK("http://service.sap.com/sap/support/notes/960754","960754")</f>
        <v>960754</v>
      </c>
      <c r="E415">
        <v>9</v>
      </c>
      <c r="F415" t="s">
        <v>65</v>
      </c>
    </row>
    <row r="416" spans="1:6" x14ac:dyDescent="0.25">
      <c r="A416" t="s">
        <v>716</v>
      </c>
      <c r="B416" t="s">
        <v>63</v>
      </c>
      <c r="C416" t="s">
        <v>527</v>
      </c>
      <c r="D416" t="str">
        <f>HYPERLINK("http://service.sap.com/sap/support/notes/1116407","1116407")</f>
        <v>1116407</v>
      </c>
      <c r="E416">
        <v>137</v>
      </c>
      <c r="F416" t="s">
        <v>660</v>
      </c>
    </row>
    <row r="417" spans="1:6" x14ac:dyDescent="0.25">
      <c r="A417" t="s">
        <v>716</v>
      </c>
      <c r="B417" t="s">
        <v>63</v>
      </c>
      <c r="C417" t="s">
        <v>527</v>
      </c>
      <c r="D417" t="str">
        <f>HYPERLINK("http://service.sap.com/sap/support/notes/1744322","1744322")</f>
        <v>1744322</v>
      </c>
      <c r="E417">
        <v>1</v>
      </c>
      <c r="F417" t="s">
        <v>66</v>
      </c>
    </row>
    <row r="418" spans="1:6" x14ac:dyDescent="0.25">
      <c r="A418" t="s">
        <v>716</v>
      </c>
      <c r="B418" t="s">
        <v>63</v>
      </c>
      <c r="C418" t="s">
        <v>527</v>
      </c>
      <c r="D418" t="str">
        <f>HYPERLINK("http://service.sap.com/sap/support/notes/1776088","1776088")</f>
        <v>1776088</v>
      </c>
      <c r="E418">
        <v>3</v>
      </c>
      <c r="F418" t="s">
        <v>815</v>
      </c>
    </row>
    <row r="419" spans="1:6" x14ac:dyDescent="0.25">
      <c r="A419" t="s">
        <v>716</v>
      </c>
      <c r="B419" t="s">
        <v>63</v>
      </c>
      <c r="C419" t="s">
        <v>527</v>
      </c>
      <c r="D419" t="str">
        <f>HYPERLINK("http://service.sap.com/sap/support/notes/1779624","1779624")</f>
        <v>1779624</v>
      </c>
      <c r="E419">
        <v>1</v>
      </c>
      <c r="F419" t="s">
        <v>816</v>
      </c>
    </row>
    <row r="420" spans="1:6" x14ac:dyDescent="0.25">
      <c r="A420" t="s">
        <v>716</v>
      </c>
      <c r="B420" t="s">
        <v>63</v>
      </c>
      <c r="C420" t="s">
        <v>527</v>
      </c>
      <c r="D420" t="str">
        <f>HYPERLINK("http://service.sap.com/sap/support/notes/1782389","1782389")</f>
        <v>1782389</v>
      </c>
      <c r="E420">
        <v>3</v>
      </c>
      <c r="F420" t="s">
        <v>817</v>
      </c>
    </row>
    <row r="421" spans="1:6" x14ac:dyDescent="0.25">
      <c r="A421" t="s">
        <v>716</v>
      </c>
      <c r="B421" t="s">
        <v>63</v>
      </c>
      <c r="C421" t="s">
        <v>527</v>
      </c>
      <c r="D421" t="str">
        <f>HYPERLINK("http://service.sap.com/sap/support/notes/1783037","1783037")</f>
        <v>1783037</v>
      </c>
      <c r="E421">
        <v>1</v>
      </c>
      <c r="F421" t="s">
        <v>818</v>
      </c>
    </row>
    <row r="422" spans="1:6" x14ac:dyDescent="0.25">
      <c r="A422" t="s">
        <v>716</v>
      </c>
      <c r="B422" t="s">
        <v>63</v>
      </c>
      <c r="C422" t="s">
        <v>527</v>
      </c>
      <c r="D422" t="str">
        <f>HYPERLINK("http://service.sap.com/sap/support/notes/1783067","1783067")</f>
        <v>1783067</v>
      </c>
      <c r="E422">
        <v>2</v>
      </c>
      <c r="F422" t="s">
        <v>819</v>
      </c>
    </row>
    <row r="423" spans="1:6" x14ac:dyDescent="0.25">
      <c r="A423" t="s">
        <v>716</v>
      </c>
      <c r="B423" t="s">
        <v>63</v>
      </c>
      <c r="C423" t="s">
        <v>527</v>
      </c>
      <c r="D423" t="str">
        <f>HYPERLINK("http://service.sap.com/sap/support/notes/1783278","1783278")</f>
        <v>1783278</v>
      </c>
      <c r="E423">
        <v>2</v>
      </c>
      <c r="F423" t="s">
        <v>820</v>
      </c>
    </row>
    <row r="424" spans="1:6" x14ac:dyDescent="0.25">
      <c r="A424" t="s">
        <v>716</v>
      </c>
      <c r="B424" t="s">
        <v>63</v>
      </c>
      <c r="C424" t="s">
        <v>527</v>
      </c>
      <c r="D424" t="str">
        <f>HYPERLINK("http://service.sap.com/sap/support/notes/1786572","1786572")</f>
        <v>1786572</v>
      </c>
      <c r="E424">
        <v>1</v>
      </c>
      <c r="F424" t="s">
        <v>821</v>
      </c>
    </row>
    <row r="425" spans="1:6" x14ac:dyDescent="0.25">
      <c r="A425" t="s">
        <v>716</v>
      </c>
      <c r="B425" t="s">
        <v>63</v>
      </c>
      <c r="C425" t="s">
        <v>527</v>
      </c>
      <c r="D425" t="str">
        <f>HYPERLINK("http://service.sap.com/sap/support/notes/1787084","1787084")</f>
        <v>1787084</v>
      </c>
      <c r="E425">
        <v>2</v>
      </c>
      <c r="F425" t="s">
        <v>822</v>
      </c>
    </row>
    <row r="426" spans="1:6" x14ac:dyDescent="0.25">
      <c r="A426" t="s">
        <v>716</v>
      </c>
      <c r="B426" t="s">
        <v>661</v>
      </c>
      <c r="C426" t="s">
        <v>438</v>
      </c>
      <c r="D426" t="str">
        <f>HYPERLINK("http://service.sap.com/sap/support/notes/1779370","1779370")</f>
        <v>1779370</v>
      </c>
      <c r="E426">
        <v>1</v>
      </c>
      <c r="F426" t="s">
        <v>823</v>
      </c>
    </row>
    <row r="427" spans="1:6" x14ac:dyDescent="0.25">
      <c r="A427" t="s">
        <v>716</v>
      </c>
      <c r="B427" t="s">
        <v>661</v>
      </c>
      <c r="C427" t="s">
        <v>438</v>
      </c>
      <c r="D427" t="str">
        <f>HYPERLINK("http://service.sap.com/sap/support/notes/1780222","1780222")</f>
        <v>1780222</v>
      </c>
      <c r="E427">
        <v>4</v>
      </c>
      <c r="F427" t="s">
        <v>824</v>
      </c>
    </row>
    <row r="428" spans="1:6" x14ac:dyDescent="0.25">
      <c r="A428" t="s">
        <v>716</v>
      </c>
      <c r="B428" t="s">
        <v>73</v>
      </c>
      <c r="C428" t="s">
        <v>74</v>
      </c>
      <c r="D428" t="str">
        <f>HYPERLINK("http://service.sap.com/sap/support/notes/1652151","1652151")</f>
        <v>1652151</v>
      </c>
      <c r="E428">
        <v>2</v>
      </c>
      <c r="F428" t="s">
        <v>825</v>
      </c>
    </row>
    <row r="429" spans="1:6" x14ac:dyDescent="0.25">
      <c r="A429" t="s">
        <v>716</v>
      </c>
      <c r="B429" t="s">
        <v>73</v>
      </c>
      <c r="C429" t="s">
        <v>74</v>
      </c>
      <c r="D429" t="str">
        <f>HYPERLINK("http://service.sap.com/sap/support/notes/1786973","1786973")</f>
        <v>1786973</v>
      </c>
      <c r="E429">
        <v>1</v>
      </c>
      <c r="F429" t="s">
        <v>826</v>
      </c>
    </row>
    <row r="430" spans="1:6" x14ac:dyDescent="0.25">
      <c r="A430" t="s">
        <v>716</v>
      </c>
      <c r="B430" t="s">
        <v>73</v>
      </c>
      <c r="C430" t="s">
        <v>74</v>
      </c>
      <c r="D430" t="str">
        <f>HYPERLINK("http://service.sap.com/sap/support/notes/1789093","1789093")</f>
        <v>1789093</v>
      </c>
      <c r="E430">
        <v>1</v>
      </c>
      <c r="F430" t="s">
        <v>827</v>
      </c>
    </row>
    <row r="431" spans="1:6" x14ac:dyDescent="0.25">
      <c r="A431" t="s">
        <v>716</v>
      </c>
      <c r="B431" t="s">
        <v>529</v>
      </c>
      <c r="C431" t="s">
        <v>530</v>
      </c>
      <c r="D431" t="str">
        <f>HYPERLINK("http://service.sap.com/sap/support/notes/1787466","1787466")</f>
        <v>1787466</v>
      </c>
      <c r="E431">
        <v>1</v>
      </c>
      <c r="F431" t="s">
        <v>828</v>
      </c>
    </row>
    <row r="432" spans="1:6" x14ac:dyDescent="0.25">
      <c r="A432" t="s">
        <v>716</v>
      </c>
      <c r="B432" t="s">
        <v>531</v>
      </c>
      <c r="C432" t="s">
        <v>532</v>
      </c>
      <c r="D432" t="str">
        <f>HYPERLINK("http://service.sap.com/sap/support/notes/1649930","1649930")</f>
        <v>1649930</v>
      </c>
      <c r="E432">
        <v>3</v>
      </c>
      <c r="F432" t="s">
        <v>829</v>
      </c>
    </row>
    <row r="433" spans="1:6" x14ac:dyDescent="0.25">
      <c r="A433" t="s">
        <v>716</v>
      </c>
      <c r="B433" t="s">
        <v>531</v>
      </c>
      <c r="C433" t="s">
        <v>532</v>
      </c>
      <c r="D433" t="str">
        <f>HYPERLINK("http://service.sap.com/sap/support/notes/1659366","1659366")</f>
        <v>1659366</v>
      </c>
      <c r="E433">
        <v>5</v>
      </c>
      <c r="F433" t="s">
        <v>830</v>
      </c>
    </row>
    <row r="434" spans="1:6" x14ac:dyDescent="0.25">
      <c r="A434" t="s">
        <v>716</v>
      </c>
      <c r="B434" t="s">
        <v>531</v>
      </c>
      <c r="C434" t="s">
        <v>532</v>
      </c>
      <c r="D434" t="str">
        <f>HYPERLINK("http://service.sap.com/sap/support/notes/1708051","1708051")</f>
        <v>1708051</v>
      </c>
      <c r="E434">
        <v>1</v>
      </c>
      <c r="F434" t="s">
        <v>831</v>
      </c>
    </row>
    <row r="435" spans="1:6" x14ac:dyDescent="0.25">
      <c r="A435" t="s">
        <v>716</v>
      </c>
      <c r="B435" t="s">
        <v>531</v>
      </c>
      <c r="C435" t="s">
        <v>532</v>
      </c>
      <c r="D435" t="str">
        <f>HYPERLINK("http://service.sap.com/sap/support/notes/1712909","1712909")</f>
        <v>1712909</v>
      </c>
      <c r="E435">
        <v>2</v>
      </c>
      <c r="F435" t="s">
        <v>832</v>
      </c>
    </row>
    <row r="436" spans="1:6" x14ac:dyDescent="0.25">
      <c r="A436" t="s">
        <v>716</v>
      </c>
      <c r="B436" t="s">
        <v>531</v>
      </c>
      <c r="C436" t="s">
        <v>532</v>
      </c>
      <c r="D436" t="str">
        <f>HYPERLINK("http://service.sap.com/sap/support/notes/1720981","1720981")</f>
        <v>1720981</v>
      </c>
      <c r="E436">
        <v>1</v>
      </c>
      <c r="F436" t="s">
        <v>833</v>
      </c>
    </row>
    <row r="437" spans="1:6" x14ac:dyDescent="0.25">
      <c r="A437" t="s">
        <v>716</v>
      </c>
      <c r="B437" t="s">
        <v>531</v>
      </c>
      <c r="C437" t="s">
        <v>532</v>
      </c>
      <c r="D437" t="str">
        <f>HYPERLINK("http://service.sap.com/sap/support/notes/1721214","1721214")</f>
        <v>1721214</v>
      </c>
      <c r="E437">
        <v>1</v>
      </c>
      <c r="F437" t="s">
        <v>834</v>
      </c>
    </row>
    <row r="438" spans="1:6" x14ac:dyDescent="0.25">
      <c r="A438" t="s">
        <v>716</v>
      </c>
      <c r="B438" t="s">
        <v>531</v>
      </c>
      <c r="C438" t="s">
        <v>532</v>
      </c>
      <c r="D438" t="str">
        <f>HYPERLINK("http://service.sap.com/sap/support/notes/1722592","1722592")</f>
        <v>1722592</v>
      </c>
      <c r="E438">
        <v>1</v>
      </c>
      <c r="F438" t="s">
        <v>835</v>
      </c>
    </row>
    <row r="439" spans="1:6" x14ac:dyDescent="0.25">
      <c r="A439" t="s">
        <v>716</v>
      </c>
      <c r="B439" t="s">
        <v>531</v>
      </c>
      <c r="C439" t="s">
        <v>532</v>
      </c>
      <c r="D439" t="str">
        <f>HYPERLINK("http://service.sap.com/sap/support/notes/1722951","1722951")</f>
        <v>1722951</v>
      </c>
      <c r="E439">
        <v>1</v>
      </c>
      <c r="F439" t="s">
        <v>836</v>
      </c>
    </row>
    <row r="440" spans="1:6" x14ac:dyDescent="0.25">
      <c r="A440" t="s">
        <v>716</v>
      </c>
      <c r="B440" t="s">
        <v>531</v>
      </c>
      <c r="C440" t="s">
        <v>532</v>
      </c>
      <c r="D440" t="str">
        <f>HYPERLINK("http://service.sap.com/sap/support/notes/1724617","1724617")</f>
        <v>1724617</v>
      </c>
      <c r="E440">
        <v>1</v>
      </c>
      <c r="F440" t="s">
        <v>837</v>
      </c>
    </row>
    <row r="441" spans="1:6" x14ac:dyDescent="0.25">
      <c r="A441" t="s">
        <v>716</v>
      </c>
      <c r="B441" t="s">
        <v>531</v>
      </c>
      <c r="C441" t="s">
        <v>532</v>
      </c>
      <c r="D441" t="str">
        <f>HYPERLINK("http://service.sap.com/sap/support/notes/1726051","1726051")</f>
        <v>1726051</v>
      </c>
      <c r="E441">
        <v>4</v>
      </c>
      <c r="F441" t="s">
        <v>838</v>
      </c>
    </row>
    <row r="442" spans="1:6" x14ac:dyDescent="0.25">
      <c r="A442" t="s">
        <v>716</v>
      </c>
      <c r="B442" t="s">
        <v>531</v>
      </c>
      <c r="C442" t="s">
        <v>532</v>
      </c>
      <c r="D442" t="str">
        <f>HYPERLINK("http://service.sap.com/sap/support/notes/1726173","1726173")</f>
        <v>1726173</v>
      </c>
      <c r="E442">
        <v>2</v>
      </c>
      <c r="F442" t="s">
        <v>839</v>
      </c>
    </row>
    <row r="443" spans="1:6" x14ac:dyDescent="0.25">
      <c r="A443" t="s">
        <v>716</v>
      </c>
      <c r="B443" t="s">
        <v>531</v>
      </c>
      <c r="C443" t="s">
        <v>532</v>
      </c>
      <c r="D443" t="str">
        <f>HYPERLINK("http://service.sap.com/sap/support/notes/1726511","1726511")</f>
        <v>1726511</v>
      </c>
      <c r="E443">
        <v>1</v>
      </c>
      <c r="F443" t="s">
        <v>840</v>
      </c>
    </row>
    <row r="444" spans="1:6" x14ac:dyDescent="0.25">
      <c r="A444" t="s">
        <v>716</v>
      </c>
      <c r="B444" t="s">
        <v>531</v>
      </c>
      <c r="C444" t="s">
        <v>532</v>
      </c>
      <c r="D444" t="str">
        <f>HYPERLINK("http://service.sap.com/sap/support/notes/1726703","1726703")</f>
        <v>1726703</v>
      </c>
      <c r="E444">
        <v>1</v>
      </c>
      <c r="F444" t="s">
        <v>841</v>
      </c>
    </row>
    <row r="445" spans="1:6" x14ac:dyDescent="0.25">
      <c r="A445" t="s">
        <v>716</v>
      </c>
      <c r="B445" t="s">
        <v>531</v>
      </c>
      <c r="C445" t="s">
        <v>532</v>
      </c>
      <c r="D445" t="str">
        <f>HYPERLINK("http://service.sap.com/sap/support/notes/1726714","1726714")</f>
        <v>1726714</v>
      </c>
      <c r="E445">
        <v>4</v>
      </c>
      <c r="F445" t="s">
        <v>842</v>
      </c>
    </row>
    <row r="446" spans="1:6" x14ac:dyDescent="0.25">
      <c r="A446" t="s">
        <v>716</v>
      </c>
      <c r="B446" t="s">
        <v>531</v>
      </c>
      <c r="C446" t="s">
        <v>532</v>
      </c>
      <c r="D446" t="str">
        <f>HYPERLINK("http://service.sap.com/sap/support/notes/1727037","1727037")</f>
        <v>1727037</v>
      </c>
      <c r="E446">
        <v>3</v>
      </c>
      <c r="F446" t="s">
        <v>843</v>
      </c>
    </row>
    <row r="447" spans="1:6" x14ac:dyDescent="0.25">
      <c r="A447" t="s">
        <v>716</v>
      </c>
      <c r="B447" t="s">
        <v>531</v>
      </c>
      <c r="C447" t="s">
        <v>532</v>
      </c>
      <c r="D447" t="str">
        <f>HYPERLINK("http://service.sap.com/sap/support/notes/1727606","1727606")</f>
        <v>1727606</v>
      </c>
      <c r="E447">
        <v>1</v>
      </c>
      <c r="F447" t="s">
        <v>844</v>
      </c>
    </row>
    <row r="448" spans="1:6" x14ac:dyDescent="0.25">
      <c r="A448" t="s">
        <v>716</v>
      </c>
      <c r="B448" t="s">
        <v>531</v>
      </c>
      <c r="C448" t="s">
        <v>532</v>
      </c>
      <c r="D448" t="str">
        <f>HYPERLINK("http://service.sap.com/sap/support/notes/1728023","1728023")</f>
        <v>1728023</v>
      </c>
      <c r="E448">
        <v>1</v>
      </c>
      <c r="F448" t="s">
        <v>845</v>
      </c>
    </row>
    <row r="449" spans="1:6" x14ac:dyDescent="0.25">
      <c r="A449" t="s">
        <v>716</v>
      </c>
      <c r="B449" t="s">
        <v>531</v>
      </c>
      <c r="C449" t="s">
        <v>532</v>
      </c>
      <c r="D449" t="str">
        <f>HYPERLINK("http://service.sap.com/sap/support/notes/1728490","1728490")</f>
        <v>1728490</v>
      </c>
      <c r="E449">
        <v>1</v>
      </c>
      <c r="F449" t="s">
        <v>846</v>
      </c>
    </row>
    <row r="450" spans="1:6" x14ac:dyDescent="0.25">
      <c r="A450" t="s">
        <v>716</v>
      </c>
      <c r="B450" t="s">
        <v>531</v>
      </c>
      <c r="C450" t="s">
        <v>532</v>
      </c>
      <c r="D450" t="str">
        <f>HYPERLINK("http://service.sap.com/sap/support/notes/1731242","1731242")</f>
        <v>1731242</v>
      </c>
      <c r="E450">
        <v>2</v>
      </c>
      <c r="F450" t="s">
        <v>847</v>
      </c>
    </row>
    <row r="451" spans="1:6" x14ac:dyDescent="0.25">
      <c r="A451" t="s">
        <v>716</v>
      </c>
      <c r="B451" t="s">
        <v>531</v>
      </c>
      <c r="C451" t="s">
        <v>532</v>
      </c>
      <c r="D451" t="str">
        <f>HYPERLINK("http://service.sap.com/sap/support/notes/1735425","1735425")</f>
        <v>1735425</v>
      </c>
      <c r="E451">
        <v>6</v>
      </c>
      <c r="F451" t="s">
        <v>848</v>
      </c>
    </row>
    <row r="452" spans="1:6" x14ac:dyDescent="0.25">
      <c r="A452" t="s">
        <v>716</v>
      </c>
      <c r="B452" t="s">
        <v>531</v>
      </c>
      <c r="C452" t="s">
        <v>532</v>
      </c>
      <c r="D452" t="str">
        <f>HYPERLINK("http://service.sap.com/sap/support/notes/1736259","1736259")</f>
        <v>1736259</v>
      </c>
      <c r="E452">
        <v>1</v>
      </c>
      <c r="F452" t="s">
        <v>849</v>
      </c>
    </row>
    <row r="453" spans="1:6" x14ac:dyDescent="0.25">
      <c r="A453" t="s">
        <v>716</v>
      </c>
      <c r="B453" t="s">
        <v>531</v>
      </c>
      <c r="C453" t="s">
        <v>532</v>
      </c>
      <c r="D453" t="str">
        <f>HYPERLINK("http://service.sap.com/sap/support/notes/1739555","1739555")</f>
        <v>1739555</v>
      </c>
      <c r="E453">
        <v>1</v>
      </c>
      <c r="F453" t="s">
        <v>850</v>
      </c>
    </row>
    <row r="454" spans="1:6" x14ac:dyDescent="0.25">
      <c r="A454" t="s">
        <v>716</v>
      </c>
      <c r="B454" t="s">
        <v>531</v>
      </c>
      <c r="C454" t="s">
        <v>532</v>
      </c>
      <c r="D454" t="str">
        <f>HYPERLINK("http://service.sap.com/sap/support/notes/1740363","1740363")</f>
        <v>1740363</v>
      </c>
      <c r="E454">
        <v>1</v>
      </c>
      <c r="F454" t="s">
        <v>851</v>
      </c>
    </row>
    <row r="455" spans="1:6" x14ac:dyDescent="0.25">
      <c r="A455" t="s">
        <v>716</v>
      </c>
      <c r="B455" t="s">
        <v>531</v>
      </c>
      <c r="C455" t="s">
        <v>532</v>
      </c>
      <c r="D455" t="str">
        <f>HYPERLINK("http://service.sap.com/sap/support/notes/1740902","1740902")</f>
        <v>1740902</v>
      </c>
      <c r="E455">
        <v>1</v>
      </c>
      <c r="F455" t="s">
        <v>852</v>
      </c>
    </row>
    <row r="456" spans="1:6" x14ac:dyDescent="0.25">
      <c r="A456" t="s">
        <v>716</v>
      </c>
      <c r="B456" t="s">
        <v>531</v>
      </c>
      <c r="C456" t="s">
        <v>532</v>
      </c>
      <c r="D456" t="str">
        <f>HYPERLINK("http://service.sap.com/sap/support/notes/1741371","1741371")</f>
        <v>1741371</v>
      </c>
      <c r="E456">
        <v>3</v>
      </c>
      <c r="F456" t="s">
        <v>853</v>
      </c>
    </row>
    <row r="457" spans="1:6" x14ac:dyDescent="0.25">
      <c r="A457" t="s">
        <v>716</v>
      </c>
      <c r="B457" t="s">
        <v>531</v>
      </c>
      <c r="C457" t="s">
        <v>532</v>
      </c>
      <c r="D457" t="str">
        <f>HYPERLINK("http://service.sap.com/sap/support/notes/1742383","1742383")</f>
        <v>1742383</v>
      </c>
      <c r="E457">
        <v>1</v>
      </c>
      <c r="F457" t="s">
        <v>854</v>
      </c>
    </row>
    <row r="458" spans="1:6" x14ac:dyDescent="0.25">
      <c r="A458" t="s">
        <v>716</v>
      </c>
      <c r="B458" t="s">
        <v>531</v>
      </c>
      <c r="C458" t="s">
        <v>532</v>
      </c>
      <c r="D458" t="str">
        <f>HYPERLINK("http://service.sap.com/sap/support/notes/1742777","1742777")</f>
        <v>1742777</v>
      </c>
      <c r="E458">
        <v>1</v>
      </c>
      <c r="F458" t="s">
        <v>855</v>
      </c>
    </row>
    <row r="459" spans="1:6" x14ac:dyDescent="0.25">
      <c r="A459" t="s">
        <v>716</v>
      </c>
      <c r="B459" t="s">
        <v>531</v>
      </c>
      <c r="C459" t="s">
        <v>532</v>
      </c>
      <c r="D459" t="str">
        <f>HYPERLINK("http://service.sap.com/sap/support/notes/1743857","1743857")</f>
        <v>1743857</v>
      </c>
      <c r="E459">
        <v>2</v>
      </c>
      <c r="F459" t="s">
        <v>856</v>
      </c>
    </row>
    <row r="460" spans="1:6" x14ac:dyDescent="0.25">
      <c r="A460" t="s">
        <v>716</v>
      </c>
      <c r="B460" t="s">
        <v>531</v>
      </c>
      <c r="C460" t="s">
        <v>532</v>
      </c>
      <c r="D460" t="str">
        <f>HYPERLINK("http://service.sap.com/sap/support/notes/1745113","1745113")</f>
        <v>1745113</v>
      </c>
      <c r="E460">
        <v>3</v>
      </c>
      <c r="F460" t="s">
        <v>857</v>
      </c>
    </row>
    <row r="461" spans="1:6" x14ac:dyDescent="0.25">
      <c r="A461" t="s">
        <v>716</v>
      </c>
      <c r="B461" t="s">
        <v>531</v>
      </c>
      <c r="C461" t="s">
        <v>532</v>
      </c>
      <c r="D461" t="str">
        <f>HYPERLINK("http://service.sap.com/sap/support/notes/1745728","1745728")</f>
        <v>1745728</v>
      </c>
      <c r="E461">
        <v>1</v>
      </c>
      <c r="F461" t="s">
        <v>858</v>
      </c>
    </row>
    <row r="462" spans="1:6" x14ac:dyDescent="0.25">
      <c r="A462" t="s">
        <v>716</v>
      </c>
      <c r="B462" t="s">
        <v>531</v>
      </c>
      <c r="C462" t="s">
        <v>532</v>
      </c>
      <c r="D462" t="str">
        <f>HYPERLINK("http://service.sap.com/sap/support/notes/1746847","1746847")</f>
        <v>1746847</v>
      </c>
      <c r="E462">
        <v>1</v>
      </c>
      <c r="F462" t="s">
        <v>859</v>
      </c>
    </row>
    <row r="463" spans="1:6" x14ac:dyDescent="0.25">
      <c r="A463" t="s">
        <v>716</v>
      </c>
      <c r="B463" t="s">
        <v>531</v>
      </c>
      <c r="C463" t="s">
        <v>532</v>
      </c>
      <c r="D463" t="str">
        <f>HYPERLINK("http://service.sap.com/sap/support/notes/1747164","1747164")</f>
        <v>1747164</v>
      </c>
      <c r="E463">
        <v>1</v>
      </c>
      <c r="F463" t="s">
        <v>860</v>
      </c>
    </row>
    <row r="464" spans="1:6" x14ac:dyDescent="0.25">
      <c r="A464" t="s">
        <v>716</v>
      </c>
      <c r="B464" t="s">
        <v>531</v>
      </c>
      <c r="C464" t="s">
        <v>532</v>
      </c>
      <c r="D464" t="str">
        <f>HYPERLINK("http://service.sap.com/sap/support/notes/1748399","1748399")</f>
        <v>1748399</v>
      </c>
      <c r="E464">
        <v>2</v>
      </c>
      <c r="F464" t="s">
        <v>861</v>
      </c>
    </row>
    <row r="465" spans="1:6" x14ac:dyDescent="0.25">
      <c r="A465" t="s">
        <v>716</v>
      </c>
      <c r="B465" t="s">
        <v>531</v>
      </c>
      <c r="C465" t="s">
        <v>532</v>
      </c>
      <c r="D465" t="str">
        <f>HYPERLINK("http://service.sap.com/sap/support/notes/1748485","1748485")</f>
        <v>1748485</v>
      </c>
      <c r="E465">
        <v>2</v>
      </c>
      <c r="F465" t="s">
        <v>862</v>
      </c>
    </row>
    <row r="466" spans="1:6" x14ac:dyDescent="0.25">
      <c r="A466" t="s">
        <v>716</v>
      </c>
      <c r="B466" t="s">
        <v>531</v>
      </c>
      <c r="C466" t="s">
        <v>532</v>
      </c>
      <c r="D466" t="str">
        <f>HYPERLINK("http://service.sap.com/sap/support/notes/1751151","1751151")</f>
        <v>1751151</v>
      </c>
      <c r="E466">
        <v>1</v>
      </c>
      <c r="F466" t="s">
        <v>863</v>
      </c>
    </row>
    <row r="467" spans="1:6" x14ac:dyDescent="0.25">
      <c r="A467" t="s">
        <v>716</v>
      </c>
      <c r="B467" t="s">
        <v>531</v>
      </c>
      <c r="C467" t="s">
        <v>532</v>
      </c>
      <c r="D467" t="str">
        <f>HYPERLINK("http://service.sap.com/sap/support/notes/1751802","1751802")</f>
        <v>1751802</v>
      </c>
      <c r="E467">
        <v>1</v>
      </c>
      <c r="F467" t="s">
        <v>864</v>
      </c>
    </row>
    <row r="468" spans="1:6" x14ac:dyDescent="0.25">
      <c r="A468" t="s">
        <v>716</v>
      </c>
      <c r="B468" t="s">
        <v>531</v>
      </c>
      <c r="C468" t="s">
        <v>532</v>
      </c>
      <c r="D468" t="str">
        <f>HYPERLINK("http://service.sap.com/sap/support/notes/1753049","1753049")</f>
        <v>1753049</v>
      </c>
      <c r="E468">
        <v>1</v>
      </c>
      <c r="F468" t="s">
        <v>865</v>
      </c>
    </row>
    <row r="469" spans="1:6" x14ac:dyDescent="0.25">
      <c r="A469" t="s">
        <v>716</v>
      </c>
      <c r="B469" t="s">
        <v>531</v>
      </c>
      <c r="C469" t="s">
        <v>532</v>
      </c>
      <c r="D469" t="str">
        <f>HYPERLINK("http://service.sap.com/sap/support/notes/1755034","1755034")</f>
        <v>1755034</v>
      </c>
      <c r="E469">
        <v>1</v>
      </c>
      <c r="F469" t="s">
        <v>866</v>
      </c>
    </row>
    <row r="470" spans="1:6" x14ac:dyDescent="0.25">
      <c r="A470" t="s">
        <v>716</v>
      </c>
      <c r="B470" t="s">
        <v>531</v>
      </c>
      <c r="C470" t="s">
        <v>532</v>
      </c>
      <c r="D470" t="str">
        <f>HYPERLINK("http://service.sap.com/sap/support/notes/1756860","1756860")</f>
        <v>1756860</v>
      </c>
      <c r="E470">
        <v>1</v>
      </c>
      <c r="F470" t="s">
        <v>867</v>
      </c>
    </row>
    <row r="471" spans="1:6" x14ac:dyDescent="0.25">
      <c r="A471" t="s">
        <v>716</v>
      </c>
      <c r="B471" t="s">
        <v>531</v>
      </c>
      <c r="C471" t="s">
        <v>532</v>
      </c>
      <c r="D471" t="str">
        <f>HYPERLINK("http://service.sap.com/sap/support/notes/1758603","1758603")</f>
        <v>1758603</v>
      </c>
      <c r="E471">
        <v>2</v>
      </c>
      <c r="F471" t="s">
        <v>868</v>
      </c>
    </row>
    <row r="472" spans="1:6" x14ac:dyDescent="0.25">
      <c r="A472" t="s">
        <v>716</v>
      </c>
      <c r="B472" t="s">
        <v>531</v>
      </c>
      <c r="C472" t="s">
        <v>532</v>
      </c>
      <c r="D472" t="str">
        <f>HYPERLINK("http://service.sap.com/sap/support/notes/1759142","1759142")</f>
        <v>1759142</v>
      </c>
      <c r="E472">
        <v>2</v>
      </c>
      <c r="F472" t="s">
        <v>869</v>
      </c>
    </row>
    <row r="473" spans="1:6" x14ac:dyDescent="0.25">
      <c r="A473" t="s">
        <v>716</v>
      </c>
      <c r="B473" t="s">
        <v>531</v>
      </c>
      <c r="C473" t="s">
        <v>532</v>
      </c>
      <c r="D473" t="str">
        <f>HYPERLINK("http://service.sap.com/sap/support/notes/1759775","1759775")</f>
        <v>1759775</v>
      </c>
      <c r="E473">
        <v>1</v>
      </c>
      <c r="F473" t="s">
        <v>870</v>
      </c>
    </row>
    <row r="474" spans="1:6" x14ac:dyDescent="0.25">
      <c r="A474" t="s">
        <v>716</v>
      </c>
      <c r="B474" t="s">
        <v>531</v>
      </c>
      <c r="C474" t="s">
        <v>532</v>
      </c>
      <c r="D474" t="str">
        <f>HYPERLINK("http://service.sap.com/sap/support/notes/1761298","1761298")</f>
        <v>1761298</v>
      </c>
      <c r="E474">
        <v>1</v>
      </c>
      <c r="F474" t="s">
        <v>871</v>
      </c>
    </row>
    <row r="475" spans="1:6" x14ac:dyDescent="0.25">
      <c r="A475" t="s">
        <v>716</v>
      </c>
      <c r="B475" t="s">
        <v>531</v>
      </c>
      <c r="C475" t="s">
        <v>532</v>
      </c>
      <c r="D475" t="str">
        <f>HYPERLINK("http://service.sap.com/sap/support/notes/1761846","1761846")</f>
        <v>1761846</v>
      </c>
      <c r="E475">
        <v>1</v>
      </c>
      <c r="F475" t="s">
        <v>872</v>
      </c>
    </row>
    <row r="476" spans="1:6" x14ac:dyDescent="0.25">
      <c r="A476" t="s">
        <v>716</v>
      </c>
      <c r="B476" t="s">
        <v>531</v>
      </c>
      <c r="C476" t="s">
        <v>532</v>
      </c>
      <c r="D476" t="str">
        <f>HYPERLINK("http://service.sap.com/sap/support/notes/1762809","1762809")</f>
        <v>1762809</v>
      </c>
      <c r="E476">
        <v>1</v>
      </c>
      <c r="F476" t="s">
        <v>873</v>
      </c>
    </row>
    <row r="477" spans="1:6" x14ac:dyDescent="0.25">
      <c r="A477" t="s">
        <v>716</v>
      </c>
      <c r="B477" t="s">
        <v>531</v>
      </c>
      <c r="C477" t="s">
        <v>532</v>
      </c>
      <c r="D477" t="str">
        <f>HYPERLINK("http://service.sap.com/sap/support/notes/1762867","1762867")</f>
        <v>1762867</v>
      </c>
      <c r="E477">
        <v>1</v>
      </c>
      <c r="F477" t="s">
        <v>874</v>
      </c>
    </row>
    <row r="478" spans="1:6" x14ac:dyDescent="0.25">
      <c r="A478" t="s">
        <v>716</v>
      </c>
      <c r="B478" t="s">
        <v>531</v>
      </c>
      <c r="C478" t="s">
        <v>532</v>
      </c>
      <c r="D478" t="str">
        <f>HYPERLINK("http://service.sap.com/sap/support/notes/1763403","1763403")</f>
        <v>1763403</v>
      </c>
      <c r="E478">
        <v>1</v>
      </c>
      <c r="F478" t="s">
        <v>875</v>
      </c>
    </row>
    <row r="479" spans="1:6" x14ac:dyDescent="0.25">
      <c r="A479" t="s">
        <v>716</v>
      </c>
      <c r="B479" t="s">
        <v>531</v>
      </c>
      <c r="C479" t="s">
        <v>532</v>
      </c>
      <c r="D479" t="str">
        <f>HYPERLINK("http://service.sap.com/sap/support/notes/1764918","1764918")</f>
        <v>1764918</v>
      </c>
      <c r="E479">
        <v>1</v>
      </c>
      <c r="F479" t="s">
        <v>876</v>
      </c>
    </row>
    <row r="480" spans="1:6" x14ac:dyDescent="0.25">
      <c r="A480" t="s">
        <v>716</v>
      </c>
      <c r="B480" t="s">
        <v>531</v>
      </c>
      <c r="C480" t="s">
        <v>532</v>
      </c>
      <c r="D480" t="str">
        <f>HYPERLINK("http://service.sap.com/sap/support/notes/1765270","1765270")</f>
        <v>1765270</v>
      </c>
      <c r="E480">
        <v>1</v>
      </c>
      <c r="F480" t="s">
        <v>877</v>
      </c>
    </row>
    <row r="481" spans="1:6" x14ac:dyDescent="0.25">
      <c r="A481" t="s">
        <v>716</v>
      </c>
      <c r="B481" t="s">
        <v>531</v>
      </c>
      <c r="C481" t="s">
        <v>532</v>
      </c>
      <c r="D481" t="str">
        <f>HYPERLINK("http://service.sap.com/sap/support/notes/1765604","1765604")</f>
        <v>1765604</v>
      </c>
      <c r="E481">
        <v>1</v>
      </c>
      <c r="F481" t="s">
        <v>878</v>
      </c>
    </row>
    <row r="482" spans="1:6" x14ac:dyDescent="0.25">
      <c r="A482" t="s">
        <v>716</v>
      </c>
      <c r="B482" t="s">
        <v>531</v>
      </c>
      <c r="C482" t="s">
        <v>532</v>
      </c>
      <c r="D482" t="str">
        <f>HYPERLINK("http://service.sap.com/sap/support/notes/1765840","1765840")</f>
        <v>1765840</v>
      </c>
      <c r="E482">
        <v>2</v>
      </c>
      <c r="F482" t="s">
        <v>879</v>
      </c>
    </row>
    <row r="483" spans="1:6" x14ac:dyDescent="0.25">
      <c r="A483" t="s">
        <v>716</v>
      </c>
      <c r="B483" t="s">
        <v>531</v>
      </c>
      <c r="C483" t="s">
        <v>532</v>
      </c>
      <c r="D483" t="str">
        <f>HYPERLINK("http://service.sap.com/sap/support/notes/1768414","1768414")</f>
        <v>1768414</v>
      </c>
      <c r="E483">
        <v>3</v>
      </c>
      <c r="F483" t="s">
        <v>880</v>
      </c>
    </row>
    <row r="484" spans="1:6" x14ac:dyDescent="0.25">
      <c r="A484" t="s">
        <v>716</v>
      </c>
      <c r="B484" t="s">
        <v>531</v>
      </c>
      <c r="C484" t="s">
        <v>532</v>
      </c>
      <c r="D484" t="str">
        <f>HYPERLINK("http://service.sap.com/sap/support/notes/1770252","1770252")</f>
        <v>1770252</v>
      </c>
      <c r="E484">
        <v>1</v>
      </c>
      <c r="F484" t="s">
        <v>881</v>
      </c>
    </row>
    <row r="485" spans="1:6" x14ac:dyDescent="0.25">
      <c r="A485" t="s">
        <v>716</v>
      </c>
      <c r="B485" t="s">
        <v>531</v>
      </c>
      <c r="C485" t="s">
        <v>532</v>
      </c>
      <c r="D485" t="str">
        <f>HYPERLINK("http://service.sap.com/sap/support/notes/1770925","1770925")</f>
        <v>1770925</v>
      </c>
      <c r="E485">
        <v>1</v>
      </c>
      <c r="F485" t="s">
        <v>882</v>
      </c>
    </row>
    <row r="486" spans="1:6" x14ac:dyDescent="0.25">
      <c r="A486" t="s">
        <v>716</v>
      </c>
      <c r="B486" t="s">
        <v>531</v>
      </c>
      <c r="C486" t="s">
        <v>532</v>
      </c>
      <c r="D486" t="str">
        <f>HYPERLINK("http://service.sap.com/sap/support/notes/1771161","1771161")</f>
        <v>1771161</v>
      </c>
      <c r="E486">
        <v>1</v>
      </c>
      <c r="F486" t="s">
        <v>883</v>
      </c>
    </row>
    <row r="487" spans="1:6" x14ac:dyDescent="0.25">
      <c r="A487" t="s">
        <v>716</v>
      </c>
      <c r="B487" t="s">
        <v>531</v>
      </c>
      <c r="C487" t="s">
        <v>532</v>
      </c>
      <c r="D487" t="str">
        <f>HYPERLINK("http://service.sap.com/sap/support/notes/1771289","1771289")</f>
        <v>1771289</v>
      </c>
      <c r="E487">
        <v>2</v>
      </c>
      <c r="F487" t="s">
        <v>884</v>
      </c>
    </row>
    <row r="488" spans="1:6" x14ac:dyDescent="0.25">
      <c r="A488" t="s">
        <v>716</v>
      </c>
      <c r="B488" t="s">
        <v>531</v>
      </c>
      <c r="C488" t="s">
        <v>532</v>
      </c>
      <c r="D488" t="str">
        <f>HYPERLINK("http://service.sap.com/sap/support/notes/1773373","1773373")</f>
        <v>1773373</v>
      </c>
      <c r="E488">
        <v>2</v>
      </c>
      <c r="F488" t="s">
        <v>885</v>
      </c>
    </row>
    <row r="489" spans="1:6" x14ac:dyDescent="0.25">
      <c r="A489" t="s">
        <v>716</v>
      </c>
      <c r="B489" t="s">
        <v>531</v>
      </c>
      <c r="C489" t="s">
        <v>532</v>
      </c>
      <c r="D489" t="str">
        <f>HYPERLINK("http://service.sap.com/sap/support/notes/1775103","1775103")</f>
        <v>1775103</v>
      </c>
      <c r="E489">
        <v>1</v>
      </c>
      <c r="F489" t="s">
        <v>886</v>
      </c>
    </row>
    <row r="490" spans="1:6" x14ac:dyDescent="0.25">
      <c r="A490" t="s">
        <v>716</v>
      </c>
      <c r="B490" t="s">
        <v>531</v>
      </c>
      <c r="C490" t="s">
        <v>532</v>
      </c>
      <c r="D490" t="str">
        <f>HYPERLINK("http://service.sap.com/sap/support/notes/1776321","1776321")</f>
        <v>1776321</v>
      </c>
      <c r="E490">
        <v>1</v>
      </c>
      <c r="F490" t="s">
        <v>887</v>
      </c>
    </row>
    <row r="491" spans="1:6" x14ac:dyDescent="0.25">
      <c r="A491" t="s">
        <v>716</v>
      </c>
      <c r="B491" t="s">
        <v>531</v>
      </c>
      <c r="C491" t="s">
        <v>532</v>
      </c>
      <c r="D491" t="str">
        <f>HYPERLINK("http://service.sap.com/sap/support/notes/1776866","1776866")</f>
        <v>1776866</v>
      </c>
      <c r="E491">
        <v>2</v>
      </c>
      <c r="F491" t="s">
        <v>888</v>
      </c>
    </row>
    <row r="492" spans="1:6" x14ac:dyDescent="0.25">
      <c r="A492" t="s">
        <v>716</v>
      </c>
      <c r="B492" t="s">
        <v>531</v>
      </c>
      <c r="C492" t="s">
        <v>532</v>
      </c>
      <c r="D492" t="str">
        <f>HYPERLINK("http://service.sap.com/sap/support/notes/1777521","1777521")</f>
        <v>1777521</v>
      </c>
      <c r="E492">
        <v>1</v>
      </c>
      <c r="F492" t="s">
        <v>889</v>
      </c>
    </row>
    <row r="493" spans="1:6" x14ac:dyDescent="0.25">
      <c r="A493" t="s">
        <v>716</v>
      </c>
      <c r="B493" t="s">
        <v>531</v>
      </c>
      <c r="C493" t="s">
        <v>532</v>
      </c>
      <c r="D493" t="str">
        <f>HYPERLINK("http://service.sap.com/sap/support/notes/1778868","1778868")</f>
        <v>1778868</v>
      </c>
      <c r="E493">
        <v>2</v>
      </c>
      <c r="F493" t="s">
        <v>890</v>
      </c>
    </row>
    <row r="494" spans="1:6" x14ac:dyDescent="0.25">
      <c r="A494" t="s">
        <v>716</v>
      </c>
      <c r="B494" t="s">
        <v>531</v>
      </c>
      <c r="C494" t="s">
        <v>532</v>
      </c>
      <c r="D494" t="str">
        <f>HYPERLINK("http://service.sap.com/sap/support/notes/1778942","1778942")</f>
        <v>1778942</v>
      </c>
      <c r="E494">
        <v>1</v>
      </c>
      <c r="F494" t="s">
        <v>891</v>
      </c>
    </row>
    <row r="495" spans="1:6" x14ac:dyDescent="0.25">
      <c r="A495" t="s">
        <v>716</v>
      </c>
      <c r="B495" t="s">
        <v>531</v>
      </c>
      <c r="C495" t="s">
        <v>532</v>
      </c>
      <c r="D495" t="str">
        <f>HYPERLINK("http://service.sap.com/sap/support/notes/1779108","1779108")</f>
        <v>1779108</v>
      </c>
      <c r="E495">
        <v>1</v>
      </c>
      <c r="F495" t="s">
        <v>892</v>
      </c>
    </row>
    <row r="496" spans="1:6" x14ac:dyDescent="0.25">
      <c r="A496" t="s">
        <v>716</v>
      </c>
      <c r="B496" t="s">
        <v>531</v>
      </c>
      <c r="C496" t="s">
        <v>532</v>
      </c>
      <c r="D496" t="str">
        <f>HYPERLINK("http://service.sap.com/sap/support/notes/1779519","1779519")</f>
        <v>1779519</v>
      </c>
      <c r="E496">
        <v>1</v>
      </c>
      <c r="F496" t="s">
        <v>893</v>
      </c>
    </row>
    <row r="497" spans="1:6" x14ac:dyDescent="0.25">
      <c r="A497" t="s">
        <v>716</v>
      </c>
      <c r="B497" t="s">
        <v>531</v>
      </c>
      <c r="C497" t="s">
        <v>532</v>
      </c>
      <c r="D497" t="str">
        <f>HYPERLINK("http://service.sap.com/sap/support/notes/1780640","1780640")</f>
        <v>1780640</v>
      </c>
      <c r="E497">
        <v>1</v>
      </c>
      <c r="F497" t="s">
        <v>894</v>
      </c>
    </row>
    <row r="498" spans="1:6" x14ac:dyDescent="0.25">
      <c r="A498" t="s">
        <v>716</v>
      </c>
      <c r="B498" t="s">
        <v>531</v>
      </c>
      <c r="C498" t="s">
        <v>532</v>
      </c>
      <c r="D498" t="str">
        <f>HYPERLINK("http://service.sap.com/sap/support/notes/1781207","1781207")</f>
        <v>1781207</v>
      </c>
      <c r="E498">
        <v>1</v>
      </c>
      <c r="F498" t="s">
        <v>895</v>
      </c>
    </row>
    <row r="499" spans="1:6" x14ac:dyDescent="0.25">
      <c r="A499" t="s">
        <v>716</v>
      </c>
      <c r="B499" t="s">
        <v>531</v>
      </c>
      <c r="C499" t="s">
        <v>532</v>
      </c>
      <c r="D499" t="str">
        <f>HYPERLINK("http://service.sap.com/sap/support/notes/1781228","1781228")</f>
        <v>1781228</v>
      </c>
      <c r="E499">
        <v>1</v>
      </c>
      <c r="F499" t="s">
        <v>896</v>
      </c>
    </row>
    <row r="500" spans="1:6" x14ac:dyDescent="0.25">
      <c r="A500" t="s">
        <v>716</v>
      </c>
      <c r="B500" t="s">
        <v>531</v>
      </c>
      <c r="C500" t="s">
        <v>532</v>
      </c>
      <c r="D500" t="str">
        <f>HYPERLINK("http://service.sap.com/sap/support/notes/1781781","1781781")</f>
        <v>1781781</v>
      </c>
      <c r="E500">
        <v>1</v>
      </c>
      <c r="F500" t="s">
        <v>897</v>
      </c>
    </row>
    <row r="501" spans="1:6" x14ac:dyDescent="0.25">
      <c r="A501" t="s">
        <v>716</v>
      </c>
      <c r="B501" t="s">
        <v>531</v>
      </c>
      <c r="C501" t="s">
        <v>532</v>
      </c>
      <c r="D501" t="str">
        <f>HYPERLINK("http://service.sap.com/sap/support/notes/1783005","1783005")</f>
        <v>1783005</v>
      </c>
      <c r="E501">
        <v>1</v>
      </c>
      <c r="F501" t="s">
        <v>898</v>
      </c>
    </row>
    <row r="502" spans="1:6" x14ac:dyDescent="0.25">
      <c r="A502" t="s">
        <v>716</v>
      </c>
      <c r="B502" t="s">
        <v>531</v>
      </c>
      <c r="C502" t="s">
        <v>532</v>
      </c>
      <c r="D502" t="str">
        <f>HYPERLINK("http://service.sap.com/sap/support/notes/1784004","1784004")</f>
        <v>1784004</v>
      </c>
      <c r="E502">
        <v>1</v>
      </c>
      <c r="F502" t="s">
        <v>899</v>
      </c>
    </row>
    <row r="503" spans="1:6" x14ac:dyDescent="0.25">
      <c r="A503" t="s">
        <v>716</v>
      </c>
      <c r="B503" t="s">
        <v>531</v>
      </c>
      <c r="C503" t="s">
        <v>532</v>
      </c>
      <c r="D503" t="str">
        <f>HYPERLINK("http://service.sap.com/sap/support/notes/1784340","1784340")</f>
        <v>1784340</v>
      </c>
      <c r="E503">
        <v>1</v>
      </c>
      <c r="F503" t="s">
        <v>900</v>
      </c>
    </row>
    <row r="504" spans="1:6" x14ac:dyDescent="0.25">
      <c r="A504" t="s">
        <v>716</v>
      </c>
      <c r="B504" t="s">
        <v>531</v>
      </c>
      <c r="C504" t="s">
        <v>532</v>
      </c>
      <c r="D504" t="str">
        <f>HYPERLINK("http://service.sap.com/sap/support/notes/1784593","1784593")</f>
        <v>1784593</v>
      </c>
      <c r="E504">
        <v>2</v>
      </c>
      <c r="F504" t="s">
        <v>901</v>
      </c>
    </row>
    <row r="505" spans="1:6" x14ac:dyDescent="0.25">
      <c r="A505" t="s">
        <v>716</v>
      </c>
      <c r="B505" t="s">
        <v>531</v>
      </c>
      <c r="C505" t="s">
        <v>532</v>
      </c>
      <c r="D505" t="str">
        <f>HYPERLINK("http://service.sap.com/sap/support/notes/1785155","1785155")</f>
        <v>1785155</v>
      </c>
      <c r="E505">
        <v>2</v>
      </c>
      <c r="F505" t="s">
        <v>902</v>
      </c>
    </row>
    <row r="506" spans="1:6" x14ac:dyDescent="0.25">
      <c r="A506" t="s">
        <v>716</v>
      </c>
      <c r="B506" t="s">
        <v>531</v>
      </c>
      <c r="C506" t="s">
        <v>532</v>
      </c>
      <c r="D506" t="str">
        <f>HYPERLINK("http://service.sap.com/sap/support/notes/1785735","1785735")</f>
        <v>1785735</v>
      </c>
      <c r="E506">
        <v>1</v>
      </c>
      <c r="F506" t="s">
        <v>903</v>
      </c>
    </row>
    <row r="507" spans="1:6" x14ac:dyDescent="0.25">
      <c r="A507" t="s">
        <v>716</v>
      </c>
      <c r="B507" t="s">
        <v>531</v>
      </c>
      <c r="C507" t="s">
        <v>532</v>
      </c>
      <c r="D507" t="str">
        <f>HYPERLINK("http://service.sap.com/sap/support/notes/1785771","1785771")</f>
        <v>1785771</v>
      </c>
      <c r="E507">
        <v>1</v>
      </c>
      <c r="F507" t="s">
        <v>904</v>
      </c>
    </row>
    <row r="508" spans="1:6" x14ac:dyDescent="0.25">
      <c r="A508" t="s">
        <v>716</v>
      </c>
      <c r="B508" t="s">
        <v>531</v>
      </c>
      <c r="C508" t="s">
        <v>532</v>
      </c>
      <c r="D508" t="str">
        <f>HYPERLINK("http://service.sap.com/sap/support/notes/1786112","1786112")</f>
        <v>1786112</v>
      </c>
      <c r="E508">
        <v>1</v>
      </c>
      <c r="F508" t="s">
        <v>905</v>
      </c>
    </row>
    <row r="509" spans="1:6" x14ac:dyDescent="0.25">
      <c r="A509" t="s">
        <v>716</v>
      </c>
      <c r="B509" t="s">
        <v>531</v>
      </c>
      <c r="C509" t="s">
        <v>532</v>
      </c>
      <c r="D509" t="str">
        <f>HYPERLINK("http://service.sap.com/sap/support/notes/1786808","1786808")</f>
        <v>1786808</v>
      </c>
      <c r="E509">
        <v>1</v>
      </c>
      <c r="F509" t="s">
        <v>906</v>
      </c>
    </row>
    <row r="510" spans="1:6" x14ac:dyDescent="0.25">
      <c r="A510" t="s">
        <v>716</v>
      </c>
      <c r="B510" t="s">
        <v>531</v>
      </c>
      <c r="C510" t="s">
        <v>532</v>
      </c>
      <c r="D510" t="str">
        <f>HYPERLINK("http://service.sap.com/sap/support/notes/1787052","1787052")</f>
        <v>1787052</v>
      </c>
      <c r="E510">
        <v>1</v>
      </c>
      <c r="F510" t="s">
        <v>907</v>
      </c>
    </row>
    <row r="511" spans="1:6" x14ac:dyDescent="0.25">
      <c r="A511" t="s">
        <v>716</v>
      </c>
      <c r="B511" t="s">
        <v>531</v>
      </c>
      <c r="C511" t="s">
        <v>532</v>
      </c>
      <c r="D511" t="str">
        <f>HYPERLINK("http://service.sap.com/sap/support/notes/1788162","1788162")</f>
        <v>1788162</v>
      </c>
      <c r="E511">
        <v>1</v>
      </c>
      <c r="F511" t="s">
        <v>908</v>
      </c>
    </row>
    <row r="512" spans="1:6" x14ac:dyDescent="0.25">
      <c r="A512" t="s">
        <v>716</v>
      </c>
      <c r="B512" t="s">
        <v>531</v>
      </c>
      <c r="C512" t="s">
        <v>532</v>
      </c>
      <c r="D512" t="str">
        <f>HYPERLINK("http://service.sap.com/sap/support/notes/1788720","1788720")</f>
        <v>1788720</v>
      </c>
      <c r="E512">
        <v>1</v>
      </c>
      <c r="F512" t="s">
        <v>909</v>
      </c>
    </row>
    <row r="513" spans="1:6" x14ac:dyDescent="0.25">
      <c r="A513" t="s">
        <v>716</v>
      </c>
      <c r="B513" t="s">
        <v>531</v>
      </c>
      <c r="C513" t="s">
        <v>532</v>
      </c>
      <c r="D513" t="str">
        <f>HYPERLINK("http://service.sap.com/sap/support/notes/1789704","1789704")</f>
        <v>1789704</v>
      </c>
      <c r="E513">
        <v>1</v>
      </c>
      <c r="F513" t="s">
        <v>910</v>
      </c>
    </row>
    <row r="514" spans="1:6" x14ac:dyDescent="0.25">
      <c r="A514" t="s">
        <v>716</v>
      </c>
      <c r="B514" t="s">
        <v>533</v>
      </c>
      <c r="C514" t="s">
        <v>515</v>
      </c>
    </row>
    <row r="515" spans="1:6" x14ac:dyDescent="0.25">
      <c r="A515" t="s">
        <v>716</v>
      </c>
      <c r="B515" t="s">
        <v>534</v>
      </c>
      <c r="C515" t="s">
        <v>535</v>
      </c>
      <c r="D515" t="str">
        <f>HYPERLINK("http://service.sap.com/sap/support/notes/1757628","1757628")</f>
        <v>1757628</v>
      </c>
      <c r="E515">
        <v>1</v>
      </c>
      <c r="F515" t="s">
        <v>911</v>
      </c>
    </row>
    <row r="516" spans="1:6" x14ac:dyDescent="0.25">
      <c r="A516" t="s">
        <v>716</v>
      </c>
      <c r="B516" t="s">
        <v>534</v>
      </c>
      <c r="C516" t="s">
        <v>535</v>
      </c>
      <c r="D516" t="str">
        <f>HYPERLINK("http://service.sap.com/sap/support/notes/1757632","1757632")</f>
        <v>1757632</v>
      </c>
      <c r="E516">
        <v>1</v>
      </c>
      <c r="F516" t="s">
        <v>912</v>
      </c>
    </row>
    <row r="517" spans="1:6" x14ac:dyDescent="0.25">
      <c r="A517" t="s">
        <v>716</v>
      </c>
      <c r="B517" t="s">
        <v>536</v>
      </c>
      <c r="C517" t="s">
        <v>537</v>
      </c>
    </row>
    <row r="518" spans="1:6" x14ac:dyDescent="0.25">
      <c r="A518" t="s">
        <v>716</v>
      </c>
      <c r="B518" t="s">
        <v>913</v>
      </c>
      <c r="C518" t="s">
        <v>914</v>
      </c>
      <c r="D518" t="str">
        <f>HYPERLINK("http://service.sap.com/sap/support/notes/1761711","1761711")</f>
        <v>1761711</v>
      </c>
      <c r="E518">
        <v>2</v>
      </c>
      <c r="F518" t="s">
        <v>915</v>
      </c>
    </row>
    <row r="519" spans="1:6" x14ac:dyDescent="0.25">
      <c r="A519" t="s">
        <v>716</v>
      </c>
      <c r="B519" t="s">
        <v>79</v>
      </c>
      <c r="C519" t="s">
        <v>80</v>
      </c>
    </row>
    <row r="520" spans="1:6" x14ac:dyDescent="0.25">
      <c r="A520" t="s">
        <v>716</v>
      </c>
      <c r="B520" t="s">
        <v>81</v>
      </c>
      <c r="C520" t="s">
        <v>539</v>
      </c>
      <c r="D520" t="str">
        <f>HYPERLINK("http://service.sap.com/sap/support/notes/1689588","1689588")</f>
        <v>1689588</v>
      </c>
      <c r="E520">
        <v>1</v>
      </c>
      <c r="F520" t="s">
        <v>916</v>
      </c>
    </row>
    <row r="521" spans="1:6" x14ac:dyDescent="0.25">
      <c r="A521" t="s">
        <v>716</v>
      </c>
      <c r="B521" t="s">
        <v>81</v>
      </c>
      <c r="C521" t="s">
        <v>539</v>
      </c>
      <c r="D521" t="str">
        <f>HYPERLINK("http://service.sap.com/sap/support/notes/1720585","1720585")</f>
        <v>1720585</v>
      </c>
      <c r="E521">
        <v>5</v>
      </c>
      <c r="F521" t="s">
        <v>917</v>
      </c>
    </row>
    <row r="522" spans="1:6" x14ac:dyDescent="0.25">
      <c r="A522" t="s">
        <v>716</v>
      </c>
      <c r="B522" t="s">
        <v>81</v>
      </c>
      <c r="C522" t="s">
        <v>539</v>
      </c>
      <c r="D522" t="str">
        <f>HYPERLINK("http://service.sap.com/sap/support/notes/1769795","1769795")</f>
        <v>1769795</v>
      </c>
      <c r="E522">
        <v>3</v>
      </c>
      <c r="F522" t="s">
        <v>918</v>
      </c>
    </row>
    <row r="523" spans="1:6" x14ac:dyDescent="0.25">
      <c r="A523" t="s">
        <v>716</v>
      </c>
      <c r="B523" t="s">
        <v>81</v>
      </c>
      <c r="C523" t="s">
        <v>539</v>
      </c>
      <c r="D523" t="str">
        <f>HYPERLINK("http://service.sap.com/sap/support/notes/1778700","1778700")</f>
        <v>1778700</v>
      </c>
      <c r="E523">
        <v>1</v>
      </c>
      <c r="F523" t="s">
        <v>919</v>
      </c>
    </row>
    <row r="524" spans="1:6" x14ac:dyDescent="0.25">
      <c r="A524" t="s">
        <v>716</v>
      </c>
      <c r="B524" t="s">
        <v>81</v>
      </c>
      <c r="C524" t="s">
        <v>539</v>
      </c>
      <c r="D524" t="str">
        <f>HYPERLINK("http://service.sap.com/sap/support/notes/1786235","1786235")</f>
        <v>1786235</v>
      </c>
      <c r="E524">
        <v>1</v>
      </c>
      <c r="F524" t="s">
        <v>920</v>
      </c>
    </row>
    <row r="525" spans="1:6" x14ac:dyDescent="0.25">
      <c r="A525" t="s">
        <v>716</v>
      </c>
      <c r="B525" t="s">
        <v>921</v>
      </c>
      <c r="C525" t="s">
        <v>922</v>
      </c>
      <c r="D525" t="str">
        <f>HYPERLINK("http://service.sap.com/sap/support/notes/1760777","1760777")</f>
        <v>1760777</v>
      </c>
      <c r="E525">
        <v>1</v>
      </c>
      <c r="F525" t="s">
        <v>923</v>
      </c>
    </row>
    <row r="526" spans="1:6" x14ac:dyDescent="0.25">
      <c r="A526" t="s">
        <v>716</v>
      </c>
      <c r="B526" t="s">
        <v>924</v>
      </c>
      <c r="C526" t="s">
        <v>925</v>
      </c>
      <c r="D526" t="str">
        <f>HYPERLINK("http://service.sap.com/sap/support/notes/1723110","1723110")</f>
        <v>1723110</v>
      </c>
      <c r="E526">
        <v>4</v>
      </c>
      <c r="F526" t="s">
        <v>926</v>
      </c>
    </row>
    <row r="527" spans="1:6" x14ac:dyDescent="0.25">
      <c r="A527" t="s">
        <v>716</v>
      </c>
      <c r="B527" t="s">
        <v>924</v>
      </c>
      <c r="C527" t="s">
        <v>925</v>
      </c>
      <c r="D527" t="str">
        <f>HYPERLINK("http://service.sap.com/sap/support/notes/1729773","1729773")</f>
        <v>1729773</v>
      </c>
      <c r="E527">
        <v>1</v>
      </c>
      <c r="F527" t="s">
        <v>927</v>
      </c>
    </row>
    <row r="528" spans="1:6" x14ac:dyDescent="0.25">
      <c r="A528" t="s">
        <v>716</v>
      </c>
      <c r="B528" t="s">
        <v>540</v>
      </c>
      <c r="C528" t="s">
        <v>541</v>
      </c>
    </row>
    <row r="529" spans="1:6" x14ac:dyDescent="0.25">
      <c r="A529" t="s">
        <v>716</v>
      </c>
      <c r="B529" t="s">
        <v>547</v>
      </c>
      <c r="C529" t="s">
        <v>548</v>
      </c>
      <c r="D529" t="str">
        <f>HYPERLINK("http://service.sap.com/sap/support/notes/1654381","1654381")</f>
        <v>1654381</v>
      </c>
      <c r="E529">
        <v>1</v>
      </c>
      <c r="F529" t="s">
        <v>928</v>
      </c>
    </row>
    <row r="530" spans="1:6" x14ac:dyDescent="0.25">
      <c r="A530" t="s">
        <v>716</v>
      </c>
      <c r="B530" t="s">
        <v>547</v>
      </c>
      <c r="C530" t="s">
        <v>548</v>
      </c>
      <c r="D530" t="str">
        <f>HYPERLINK("http://service.sap.com/sap/support/notes/1672962","1672962")</f>
        <v>1672962</v>
      </c>
      <c r="E530">
        <v>36</v>
      </c>
      <c r="F530" t="s">
        <v>929</v>
      </c>
    </row>
    <row r="531" spans="1:6" x14ac:dyDescent="0.25">
      <c r="A531" t="s">
        <v>716</v>
      </c>
      <c r="B531" t="s">
        <v>549</v>
      </c>
      <c r="C531" t="s">
        <v>550</v>
      </c>
      <c r="D531" t="str">
        <f>HYPERLINK("http://service.sap.com/sap/support/notes/1697621","1697621")</f>
        <v>1697621</v>
      </c>
      <c r="E531">
        <v>5</v>
      </c>
      <c r="F531" t="s">
        <v>930</v>
      </c>
    </row>
    <row r="532" spans="1:6" x14ac:dyDescent="0.25">
      <c r="A532" t="s">
        <v>716</v>
      </c>
      <c r="B532" t="s">
        <v>931</v>
      </c>
      <c r="C532" t="s">
        <v>932</v>
      </c>
      <c r="D532" t="str">
        <f>HYPERLINK("http://service.sap.com/sap/support/notes/805630","805630")</f>
        <v>805630</v>
      </c>
      <c r="E532">
        <v>3</v>
      </c>
      <c r="F532" t="s">
        <v>933</v>
      </c>
    </row>
    <row r="533" spans="1:6" x14ac:dyDescent="0.25">
      <c r="A533" t="s">
        <v>716</v>
      </c>
      <c r="B533" t="s">
        <v>85</v>
      </c>
      <c r="C533" t="s">
        <v>86</v>
      </c>
    </row>
    <row r="534" spans="1:6" x14ac:dyDescent="0.25">
      <c r="A534" t="s">
        <v>716</v>
      </c>
      <c r="B534" t="s">
        <v>696</v>
      </c>
      <c r="C534" t="s">
        <v>697</v>
      </c>
    </row>
    <row r="535" spans="1:6" x14ac:dyDescent="0.25">
      <c r="A535" t="s">
        <v>716</v>
      </c>
      <c r="B535" t="s">
        <v>698</v>
      </c>
      <c r="C535" t="s">
        <v>699</v>
      </c>
      <c r="D535" t="str">
        <f>HYPERLINK("http://service.sap.com/sap/support/notes/1727098","1727098")</f>
        <v>1727098</v>
      </c>
      <c r="E535">
        <v>2</v>
      </c>
      <c r="F535" t="s">
        <v>934</v>
      </c>
    </row>
    <row r="536" spans="1:6" x14ac:dyDescent="0.25">
      <c r="A536" t="s">
        <v>716</v>
      </c>
      <c r="B536" t="s">
        <v>90</v>
      </c>
      <c r="C536" t="s">
        <v>13</v>
      </c>
    </row>
    <row r="537" spans="1:6" x14ac:dyDescent="0.25">
      <c r="A537" t="s">
        <v>716</v>
      </c>
      <c r="B537" t="s">
        <v>551</v>
      </c>
      <c r="C537" t="s">
        <v>552</v>
      </c>
      <c r="D537" t="str">
        <f>HYPERLINK("http://service.sap.com/sap/support/notes/1748327","1748327")</f>
        <v>1748327</v>
      </c>
      <c r="E537">
        <v>3</v>
      </c>
      <c r="F537" t="s">
        <v>935</v>
      </c>
    </row>
    <row r="538" spans="1:6" x14ac:dyDescent="0.25">
      <c r="A538" t="s">
        <v>716</v>
      </c>
      <c r="B538" t="s">
        <v>551</v>
      </c>
      <c r="C538" t="s">
        <v>552</v>
      </c>
      <c r="D538" t="str">
        <f>HYPERLINK("http://service.sap.com/sap/support/notes/1772430","1772430")</f>
        <v>1772430</v>
      </c>
      <c r="E538">
        <v>2</v>
      </c>
      <c r="F538" t="s">
        <v>936</v>
      </c>
    </row>
    <row r="539" spans="1:6" x14ac:dyDescent="0.25">
      <c r="A539" t="s">
        <v>716</v>
      </c>
      <c r="B539" t="s">
        <v>555</v>
      </c>
      <c r="C539" t="s">
        <v>556</v>
      </c>
      <c r="D539" t="str">
        <f>HYPERLINK("http://service.sap.com/sap/support/notes/1750216","1750216")</f>
        <v>1750216</v>
      </c>
      <c r="E539">
        <v>2</v>
      </c>
      <c r="F539" t="s">
        <v>937</v>
      </c>
    </row>
    <row r="540" spans="1:6" x14ac:dyDescent="0.25">
      <c r="A540" t="s">
        <v>716</v>
      </c>
      <c r="B540" t="s">
        <v>555</v>
      </c>
      <c r="C540" t="s">
        <v>556</v>
      </c>
      <c r="D540" t="str">
        <f>HYPERLINK("http://service.sap.com/sap/support/notes/1774427","1774427")</f>
        <v>1774427</v>
      </c>
      <c r="E540">
        <v>1</v>
      </c>
      <c r="F540" t="s">
        <v>938</v>
      </c>
    </row>
    <row r="541" spans="1:6" x14ac:dyDescent="0.25">
      <c r="A541" t="s">
        <v>716</v>
      </c>
      <c r="B541" t="s">
        <v>555</v>
      </c>
      <c r="C541" t="s">
        <v>556</v>
      </c>
      <c r="D541" t="str">
        <f>HYPERLINK("http://service.sap.com/sap/support/notes/1774683","1774683")</f>
        <v>1774683</v>
      </c>
      <c r="E541">
        <v>2</v>
      </c>
      <c r="F541" t="s">
        <v>939</v>
      </c>
    </row>
    <row r="542" spans="1:6" x14ac:dyDescent="0.25">
      <c r="A542" t="s">
        <v>716</v>
      </c>
      <c r="B542" t="s">
        <v>555</v>
      </c>
      <c r="C542" t="s">
        <v>556</v>
      </c>
      <c r="D542" t="str">
        <f>HYPERLINK("http://service.sap.com/sap/support/notes/1774963","1774963")</f>
        <v>1774963</v>
      </c>
      <c r="E542">
        <v>1</v>
      </c>
      <c r="F542" t="s">
        <v>940</v>
      </c>
    </row>
    <row r="543" spans="1:6" x14ac:dyDescent="0.25">
      <c r="A543" t="s">
        <v>716</v>
      </c>
      <c r="B543" t="s">
        <v>557</v>
      </c>
      <c r="C543" t="s">
        <v>558</v>
      </c>
      <c r="D543" t="str">
        <f>HYPERLINK("http://service.sap.com/sap/support/notes/1726519","1726519")</f>
        <v>1726519</v>
      </c>
      <c r="E543">
        <v>1</v>
      </c>
      <c r="F543" t="s">
        <v>941</v>
      </c>
    </row>
    <row r="544" spans="1:6" x14ac:dyDescent="0.25">
      <c r="A544" t="s">
        <v>716</v>
      </c>
      <c r="B544" t="s">
        <v>557</v>
      </c>
      <c r="C544" t="s">
        <v>558</v>
      </c>
      <c r="D544" t="str">
        <f>HYPERLINK("http://service.sap.com/sap/support/notes/1734253","1734253")</f>
        <v>1734253</v>
      </c>
      <c r="E544">
        <v>2</v>
      </c>
      <c r="F544" t="s">
        <v>942</v>
      </c>
    </row>
    <row r="545" spans="1:6" x14ac:dyDescent="0.25">
      <c r="A545" t="s">
        <v>716</v>
      </c>
      <c r="B545" t="s">
        <v>557</v>
      </c>
      <c r="C545" t="s">
        <v>558</v>
      </c>
      <c r="D545" t="str">
        <f>HYPERLINK("http://service.sap.com/sap/support/notes/1734849","1734849")</f>
        <v>1734849</v>
      </c>
      <c r="E545">
        <v>1</v>
      </c>
      <c r="F545" t="s">
        <v>943</v>
      </c>
    </row>
    <row r="546" spans="1:6" x14ac:dyDescent="0.25">
      <c r="A546" t="s">
        <v>716</v>
      </c>
      <c r="B546" t="s">
        <v>557</v>
      </c>
      <c r="C546" t="s">
        <v>558</v>
      </c>
      <c r="D546" t="str">
        <f>HYPERLINK("http://service.sap.com/sap/support/notes/1735147","1735147")</f>
        <v>1735147</v>
      </c>
      <c r="E546">
        <v>2</v>
      </c>
      <c r="F546" t="s">
        <v>944</v>
      </c>
    </row>
    <row r="547" spans="1:6" x14ac:dyDescent="0.25">
      <c r="A547" t="s">
        <v>716</v>
      </c>
      <c r="B547" t="s">
        <v>557</v>
      </c>
      <c r="C547" t="s">
        <v>558</v>
      </c>
      <c r="D547" t="str">
        <f>HYPERLINK("http://service.sap.com/sap/support/notes/1744286","1744286")</f>
        <v>1744286</v>
      </c>
      <c r="E547">
        <v>1</v>
      </c>
      <c r="F547" t="s">
        <v>945</v>
      </c>
    </row>
    <row r="548" spans="1:6" x14ac:dyDescent="0.25">
      <c r="A548" t="s">
        <v>716</v>
      </c>
      <c r="B548" t="s">
        <v>557</v>
      </c>
      <c r="C548" t="s">
        <v>558</v>
      </c>
      <c r="D548" t="str">
        <f>HYPERLINK("http://service.sap.com/sap/support/notes/1747807","1747807")</f>
        <v>1747807</v>
      </c>
      <c r="E548">
        <v>2</v>
      </c>
      <c r="F548" t="s">
        <v>946</v>
      </c>
    </row>
    <row r="549" spans="1:6" x14ac:dyDescent="0.25">
      <c r="A549" t="s">
        <v>716</v>
      </c>
      <c r="B549" t="s">
        <v>557</v>
      </c>
      <c r="C549" t="s">
        <v>558</v>
      </c>
      <c r="D549" t="str">
        <f>HYPERLINK("http://service.sap.com/sap/support/notes/1758770","1758770")</f>
        <v>1758770</v>
      </c>
      <c r="E549">
        <v>1</v>
      </c>
      <c r="F549" t="s">
        <v>947</v>
      </c>
    </row>
    <row r="550" spans="1:6" x14ac:dyDescent="0.25">
      <c r="A550" t="s">
        <v>716</v>
      </c>
      <c r="B550" t="s">
        <v>557</v>
      </c>
      <c r="C550" t="s">
        <v>558</v>
      </c>
      <c r="D550" t="str">
        <f>HYPERLINK("http://service.sap.com/sap/support/notes/1760586","1760586")</f>
        <v>1760586</v>
      </c>
      <c r="E550">
        <v>2</v>
      </c>
      <c r="F550" t="s">
        <v>948</v>
      </c>
    </row>
    <row r="551" spans="1:6" x14ac:dyDescent="0.25">
      <c r="A551" t="s">
        <v>716</v>
      </c>
      <c r="B551" t="s">
        <v>557</v>
      </c>
      <c r="C551" t="s">
        <v>558</v>
      </c>
      <c r="D551" t="str">
        <f>HYPERLINK("http://service.sap.com/sap/support/notes/1764782","1764782")</f>
        <v>1764782</v>
      </c>
      <c r="E551">
        <v>1</v>
      </c>
      <c r="F551" t="s">
        <v>949</v>
      </c>
    </row>
    <row r="552" spans="1:6" x14ac:dyDescent="0.25">
      <c r="A552" t="s">
        <v>716</v>
      </c>
      <c r="B552" t="s">
        <v>557</v>
      </c>
      <c r="C552" t="s">
        <v>558</v>
      </c>
      <c r="D552" t="str">
        <f>HYPERLINK("http://service.sap.com/sap/support/notes/1783353","1783353")</f>
        <v>1783353</v>
      </c>
      <c r="E552">
        <v>1</v>
      </c>
      <c r="F552" t="s">
        <v>950</v>
      </c>
    </row>
    <row r="553" spans="1:6" x14ac:dyDescent="0.25">
      <c r="A553" t="s">
        <v>716</v>
      </c>
      <c r="B553" t="s">
        <v>557</v>
      </c>
      <c r="C553" t="s">
        <v>558</v>
      </c>
      <c r="D553" t="str">
        <f>HYPERLINK("http://service.sap.com/sap/support/notes/1787147","1787147")</f>
        <v>1787147</v>
      </c>
      <c r="E553">
        <v>1</v>
      </c>
      <c r="F553" t="s">
        <v>951</v>
      </c>
    </row>
    <row r="554" spans="1:6" x14ac:dyDescent="0.25">
      <c r="A554" t="s">
        <v>716</v>
      </c>
      <c r="B554" t="s">
        <v>559</v>
      </c>
      <c r="C554" t="s">
        <v>560</v>
      </c>
      <c r="D554" t="str">
        <f>HYPERLINK("http://service.sap.com/sap/support/notes/1736567","1736567")</f>
        <v>1736567</v>
      </c>
      <c r="E554">
        <v>2</v>
      </c>
      <c r="F554" t="s">
        <v>952</v>
      </c>
    </row>
    <row r="555" spans="1:6" x14ac:dyDescent="0.25">
      <c r="A555" t="s">
        <v>716</v>
      </c>
      <c r="B555" t="s">
        <v>559</v>
      </c>
      <c r="C555" t="s">
        <v>560</v>
      </c>
      <c r="D555" t="str">
        <f>HYPERLINK("http://service.sap.com/sap/support/notes/1786879","1786879")</f>
        <v>1786879</v>
      </c>
      <c r="E555">
        <v>1</v>
      </c>
      <c r="F555" t="s">
        <v>953</v>
      </c>
    </row>
    <row r="556" spans="1:6" x14ac:dyDescent="0.25">
      <c r="A556" t="s">
        <v>716</v>
      </c>
      <c r="B556" t="s">
        <v>954</v>
      </c>
      <c r="C556" t="s">
        <v>955</v>
      </c>
      <c r="D556" t="str">
        <f>HYPERLINK("http://service.sap.com/sap/support/notes/1774505","1774505")</f>
        <v>1774505</v>
      </c>
      <c r="E556">
        <v>1</v>
      </c>
      <c r="F556" t="s">
        <v>956</v>
      </c>
    </row>
    <row r="557" spans="1:6" x14ac:dyDescent="0.25">
      <c r="A557" t="s">
        <v>716</v>
      </c>
      <c r="B557" t="s">
        <v>563</v>
      </c>
      <c r="C557" t="s">
        <v>564</v>
      </c>
    </row>
    <row r="558" spans="1:6" x14ac:dyDescent="0.25">
      <c r="A558" t="s">
        <v>716</v>
      </c>
      <c r="B558" t="s">
        <v>565</v>
      </c>
      <c r="C558" t="s">
        <v>566</v>
      </c>
      <c r="D558" t="str">
        <f>HYPERLINK("http://service.sap.com/sap/support/notes/1744564","1744564")</f>
        <v>1744564</v>
      </c>
      <c r="E558">
        <v>1</v>
      </c>
      <c r="F558" t="s">
        <v>957</v>
      </c>
    </row>
    <row r="559" spans="1:6" x14ac:dyDescent="0.25">
      <c r="A559" t="s">
        <v>716</v>
      </c>
      <c r="B559" t="s">
        <v>565</v>
      </c>
      <c r="C559" t="s">
        <v>566</v>
      </c>
      <c r="D559" t="str">
        <f>HYPERLINK("http://service.sap.com/sap/support/notes/1749783","1749783")</f>
        <v>1749783</v>
      </c>
      <c r="E559">
        <v>1</v>
      </c>
      <c r="F559" t="s">
        <v>958</v>
      </c>
    </row>
    <row r="560" spans="1:6" x14ac:dyDescent="0.25">
      <c r="A560" t="s">
        <v>716</v>
      </c>
      <c r="B560" t="s">
        <v>565</v>
      </c>
      <c r="C560" t="s">
        <v>566</v>
      </c>
      <c r="D560" t="str">
        <f>HYPERLINK("http://service.sap.com/sap/support/notes/1770912","1770912")</f>
        <v>1770912</v>
      </c>
      <c r="E560">
        <v>1</v>
      </c>
      <c r="F560" t="s">
        <v>959</v>
      </c>
    </row>
    <row r="561" spans="1:6" x14ac:dyDescent="0.25">
      <c r="A561" t="s">
        <v>716</v>
      </c>
      <c r="B561" t="s">
        <v>647</v>
      </c>
      <c r="C561" t="s">
        <v>725</v>
      </c>
      <c r="D561" t="str">
        <f>HYPERLINK("http://service.sap.com/sap/support/notes/1721247","1721247")</f>
        <v>1721247</v>
      </c>
      <c r="E561">
        <v>3</v>
      </c>
      <c r="F561" t="s">
        <v>960</v>
      </c>
    </row>
    <row r="562" spans="1:6" x14ac:dyDescent="0.25">
      <c r="A562" t="s">
        <v>716</v>
      </c>
      <c r="B562" t="s">
        <v>91</v>
      </c>
      <c r="C562" t="s">
        <v>92</v>
      </c>
      <c r="D562" t="str">
        <f>HYPERLINK("http://service.sap.com/sap/support/notes/1706441","1706441")</f>
        <v>1706441</v>
      </c>
      <c r="E562">
        <v>4</v>
      </c>
      <c r="F562" t="s">
        <v>961</v>
      </c>
    </row>
    <row r="563" spans="1:6" x14ac:dyDescent="0.25">
      <c r="A563" t="s">
        <v>716</v>
      </c>
      <c r="B563" t="s">
        <v>91</v>
      </c>
      <c r="C563" t="s">
        <v>92</v>
      </c>
      <c r="D563" t="str">
        <f>HYPERLINK("http://service.sap.com/sap/support/notes/1787143","1787143")</f>
        <v>1787143</v>
      </c>
      <c r="E563">
        <v>3</v>
      </c>
      <c r="F563" t="s">
        <v>962</v>
      </c>
    </row>
    <row r="564" spans="1:6" x14ac:dyDescent="0.25">
      <c r="A564" t="s">
        <v>716</v>
      </c>
      <c r="B564" t="s">
        <v>963</v>
      </c>
      <c r="C564" t="s">
        <v>629</v>
      </c>
      <c r="D564" t="str">
        <f>HYPERLINK("http://service.sap.com/sap/support/notes/1779373","1779373")</f>
        <v>1779373</v>
      </c>
      <c r="E564">
        <v>1</v>
      </c>
      <c r="F564" t="s">
        <v>964</v>
      </c>
    </row>
    <row r="565" spans="1:6" x14ac:dyDescent="0.25">
      <c r="A565" t="s">
        <v>716</v>
      </c>
      <c r="B565" t="s">
        <v>95</v>
      </c>
      <c r="C565" t="s">
        <v>96</v>
      </c>
    </row>
    <row r="566" spans="1:6" x14ac:dyDescent="0.25">
      <c r="A566" t="s">
        <v>716</v>
      </c>
      <c r="B566" t="s">
        <v>569</v>
      </c>
      <c r="C566" t="s">
        <v>28</v>
      </c>
      <c r="D566" t="str">
        <f>HYPERLINK("http://service.sap.com/sap/support/notes/1673040","1673040")</f>
        <v>1673040</v>
      </c>
      <c r="E566">
        <v>4</v>
      </c>
      <c r="F566" t="s">
        <v>965</v>
      </c>
    </row>
    <row r="567" spans="1:6" x14ac:dyDescent="0.25">
      <c r="A567" t="s">
        <v>716</v>
      </c>
      <c r="B567" t="s">
        <v>569</v>
      </c>
      <c r="C567" t="s">
        <v>28</v>
      </c>
      <c r="D567" t="str">
        <f>HYPERLINK("http://service.sap.com/sap/support/notes/1764970","1764970")</f>
        <v>1764970</v>
      </c>
      <c r="E567">
        <v>3</v>
      </c>
      <c r="F567" t="s">
        <v>966</v>
      </c>
    </row>
    <row r="568" spans="1:6" x14ac:dyDescent="0.25">
      <c r="A568" t="s">
        <v>716</v>
      </c>
      <c r="B568" t="s">
        <v>569</v>
      </c>
      <c r="C568" t="s">
        <v>28</v>
      </c>
      <c r="D568" t="str">
        <f>HYPERLINK("http://service.sap.com/sap/support/notes/1771513","1771513")</f>
        <v>1771513</v>
      </c>
      <c r="E568">
        <v>2</v>
      </c>
      <c r="F568" t="s">
        <v>967</v>
      </c>
    </row>
    <row r="569" spans="1:6" x14ac:dyDescent="0.25">
      <c r="A569" t="s">
        <v>716</v>
      </c>
      <c r="B569" t="s">
        <v>569</v>
      </c>
      <c r="C569" t="s">
        <v>28</v>
      </c>
      <c r="D569" t="str">
        <f>HYPERLINK("http://service.sap.com/sap/support/notes/1774303","1774303")</f>
        <v>1774303</v>
      </c>
      <c r="E569">
        <v>1</v>
      </c>
      <c r="F569" t="s">
        <v>968</v>
      </c>
    </row>
    <row r="570" spans="1:6" x14ac:dyDescent="0.25">
      <c r="A570" t="s">
        <v>716</v>
      </c>
      <c r="B570" t="s">
        <v>569</v>
      </c>
      <c r="C570" t="s">
        <v>28</v>
      </c>
      <c r="D570" t="str">
        <f>HYPERLINK("http://service.sap.com/sap/support/notes/1782219","1782219")</f>
        <v>1782219</v>
      </c>
      <c r="E570">
        <v>1</v>
      </c>
      <c r="F570" t="s">
        <v>969</v>
      </c>
    </row>
    <row r="571" spans="1:6" x14ac:dyDescent="0.25">
      <c r="A571" t="s">
        <v>716</v>
      </c>
      <c r="B571" t="s">
        <v>569</v>
      </c>
      <c r="C571" t="s">
        <v>28</v>
      </c>
      <c r="D571" t="str">
        <f>HYPERLINK("http://service.sap.com/sap/support/notes/1783002","1783002")</f>
        <v>1783002</v>
      </c>
      <c r="E571">
        <v>1</v>
      </c>
      <c r="F571" t="s">
        <v>970</v>
      </c>
    </row>
    <row r="572" spans="1:6" x14ac:dyDescent="0.25">
      <c r="A572" t="s">
        <v>716</v>
      </c>
      <c r="B572" t="s">
        <v>569</v>
      </c>
      <c r="C572" t="s">
        <v>28</v>
      </c>
      <c r="D572" t="str">
        <f>HYPERLINK("http://service.sap.com/sap/support/notes/1784203","1784203")</f>
        <v>1784203</v>
      </c>
      <c r="E572">
        <v>2</v>
      </c>
      <c r="F572" t="s">
        <v>971</v>
      </c>
    </row>
    <row r="573" spans="1:6" x14ac:dyDescent="0.25">
      <c r="A573" t="s">
        <v>716</v>
      </c>
      <c r="B573" t="s">
        <v>97</v>
      </c>
      <c r="C573" t="s">
        <v>98</v>
      </c>
      <c r="D573" t="str">
        <f>HYPERLINK("http://service.sap.com/sap/support/notes/1343631","1343631")</f>
        <v>1343631</v>
      </c>
      <c r="E573">
        <v>1</v>
      </c>
      <c r="F573" t="s">
        <v>972</v>
      </c>
    </row>
    <row r="574" spans="1:6" x14ac:dyDescent="0.25">
      <c r="A574" t="s">
        <v>716</v>
      </c>
      <c r="B574" t="s">
        <v>97</v>
      </c>
      <c r="C574" t="s">
        <v>98</v>
      </c>
      <c r="D574" t="str">
        <f>HYPERLINK("http://service.sap.com/sap/support/notes/1510210","1510210")</f>
        <v>1510210</v>
      </c>
      <c r="E574">
        <v>1</v>
      </c>
      <c r="F574" t="s">
        <v>973</v>
      </c>
    </row>
    <row r="575" spans="1:6" x14ac:dyDescent="0.25">
      <c r="A575" t="s">
        <v>716</v>
      </c>
      <c r="B575" t="s">
        <v>97</v>
      </c>
      <c r="C575" t="s">
        <v>98</v>
      </c>
      <c r="D575" t="str">
        <f>HYPERLINK("http://service.sap.com/sap/support/notes/1637456","1637456")</f>
        <v>1637456</v>
      </c>
      <c r="E575">
        <v>1</v>
      </c>
      <c r="F575" t="s">
        <v>974</v>
      </c>
    </row>
    <row r="576" spans="1:6" x14ac:dyDescent="0.25">
      <c r="A576" t="s">
        <v>716</v>
      </c>
      <c r="B576" t="s">
        <v>97</v>
      </c>
      <c r="C576" t="s">
        <v>98</v>
      </c>
      <c r="D576" t="str">
        <f>HYPERLINK("http://service.sap.com/sap/support/notes/1706567","1706567")</f>
        <v>1706567</v>
      </c>
      <c r="E576">
        <v>3</v>
      </c>
      <c r="F576" t="s">
        <v>975</v>
      </c>
    </row>
    <row r="577" spans="1:6" x14ac:dyDescent="0.25">
      <c r="A577" t="s">
        <v>716</v>
      </c>
      <c r="B577" t="s">
        <v>97</v>
      </c>
      <c r="C577" t="s">
        <v>98</v>
      </c>
      <c r="D577" t="str">
        <f>HYPERLINK("http://service.sap.com/sap/support/notes/1720748","1720748")</f>
        <v>1720748</v>
      </c>
      <c r="E577">
        <v>2</v>
      </c>
      <c r="F577" t="s">
        <v>101</v>
      </c>
    </row>
    <row r="578" spans="1:6" x14ac:dyDescent="0.25">
      <c r="A578" t="s">
        <v>716</v>
      </c>
      <c r="B578" t="s">
        <v>97</v>
      </c>
      <c r="C578" t="s">
        <v>98</v>
      </c>
      <c r="D578" t="str">
        <f>HYPERLINK("http://service.sap.com/sap/support/notes/1721236","1721236")</f>
        <v>1721236</v>
      </c>
      <c r="E578">
        <v>2</v>
      </c>
      <c r="F578" t="s">
        <v>976</v>
      </c>
    </row>
    <row r="579" spans="1:6" x14ac:dyDescent="0.25">
      <c r="A579" t="s">
        <v>716</v>
      </c>
      <c r="B579" t="s">
        <v>97</v>
      </c>
      <c r="C579" t="s">
        <v>98</v>
      </c>
      <c r="D579" t="str">
        <f>HYPERLINK("http://service.sap.com/sap/support/notes/1760313","1760313")</f>
        <v>1760313</v>
      </c>
      <c r="E579">
        <v>1</v>
      </c>
      <c r="F579" t="s">
        <v>977</v>
      </c>
    </row>
    <row r="580" spans="1:6" x14ac:dyDescent="0.25">
      <c r="A580" t="s">
        <v>716</v>
      </c>
      <c r="B580" t="s">
        <v>97</v>
      </c>
      <c r="C580" t="s">
        <v>98</v>
      </c>
      <c r="D580" t="str">
        <f>HYPERLINK("http://service.sap.com/sap/support/notes/1762168","1762168")</f>
        <v>1762168</v>
      </c>
      <c r="E580">
        <v>2</v>
      </c>
      <c r="F580" t="s">
        <v>978</v>
      </c>
    </row>
    <row r="581" spans="1:6" x14ac:dyDescent="0.25">
      <c r="A581" t="s">
        <v>716</v>
      </c>
      <c r="B581" t="s">
        <v>97</v>
      </c>
      <c r="C581" t="s">
        <v>98</v>
      </c>
      <c r="D581" t="str">
        <f>HYPERLINK("http://service.sap.com/sap/support/notes/1772051","1772051")</f>
        <v>1772051</v>
      </c>
      <c r="E581">
        <v>1</v>
      </c>
      <c r="F581" t="s">
        <v>979</v>
      </c>
    </row>
    <row r="582" spans="1:6" x14ac:dyDescent="0.25">
      <c r="A582" t="s">
        <v>716</v>
      </c>
      <c r="B582" t="s">
        <v>97</v>
      </c>
      <c r="C582" t="s">
        <v>98</v>
      </c>
      <c r="D582" t="str">
        <f>HYPERLINK("http://service.sap.com/sap/support/notes/1772122","1772122")</f>
        <v>1772122</v>
      </c>
      <c r="E582">
        <v>2</v>
      </c>
      <c r="F582" t="s">
        <v>980</v>
      </c>
    </row>
    <row r="583" spans="1:6" x14ac:dyDescent="0.25">
      <c r="A583" t="s">
        <v>716</v>
      </c>
      <c r="B583" t="s">
        <v>97</v>
      </c>
      <c r="C583" t="s">
        <v>98</v>
      </c>
      <c r="D583" t="str">
        <f>HYPERLINK("http://service.sap.com/sap/support/notes/1774609","1774609")</f>
        <v>1774609</v>
      </c>
      <c r="E583">
        <v>2</v>
      </c>
      <c r="F583" t="s">
        <v>981</v>
      </c>
    </row>
    <row r="584" spans="1:6" x14ac:dyDescent="0.25">
      <c r="A584" t="s">
        <v>716</v>
      </c>
      <c r="B584" t="s">
        <v>97</v>
      </c>
      <c r="C584" t="s">
        <v>98</v>
      </c>
      <c r="D584" t="str">
        <f>HYPERLINK("http://service.sap.com/sap/support/notes/1778938","1778938")</f>
        <v>1778938</v>
      </c>
      <c r="E584">
        <v>5</v>
      </c>
      <c r="F584" t="s">
        <v>982</v>
      </c>
    </row>
    <row r="585" spans="1:6" x14ac:dyDescent="0.25">
      <c r="A585" t="s">
        <v>716</v>
      </c>
      <c r="B585" t="s">
        <v>97</v>
      </c>
      <c r="C585" t="s">
        <v>98</v>
      </c>
      <c r="D585" t="str">
        <f>HYPERLINK("http://service.sap.com/sap/support/notes/1780623","1780623")</f>
        <v>1780623</v>
      </c>
      <c r="E585">
        <v>3</v>
      </c>
      <c r="F585" t="s">
        <v>983</v>
      </c>
    </row>
    <row r="586" spans="1:6" x14ac:dyDescent="0.25">
      <c r="A586" t="s">
        <v>716</v>
      </c>
      <c r="B586" t="s">
        <v>97</v>
      </c>
      <c r="C586" t="s">
        <v>98</v>
      </c>
      <c r="D586" t="str">
        <f>HYPERLINK("http://service.sap.com/sap/support/notes/1781565","1781565")</f>
        <v>1781565</v>
      </c>
      <c r="E586">
        <v>1</v>
      </c>
      <c r="F586" t="s">
        <v>984</v>
      </c>
    </row>
    <row r="587" spans="1:6" x14ac:dyDescent="0.25">
      <c r="A587" t="s">
        <v>716</v>
      </c>
      <c r="B587" t="s">
        <v>97</v>
      </c>
      <c r="C587" t="s">
        <v>98</v>
      </c>
      <c r="D587" t="str">
        <f>HYPERLINK("http://service.sap.com/sap/support/notes/1782803","1782803")</f>
        <v>1782803</v>
      </c>
      <c r="E587">
        <v>2</v>
      </c>
      <c r="F587" t="s">
        <v>985</v>
      </c>
    </row>
    <row r="588" spans="1:6" x14ac:dyDescent="0.25">
      <c r="A588" t="s">
        <v>716</v>
      </c>
      <c r="B588" t="s">
        <v>97</v>
      </c>
      <c r="C588" t="s">
        <v>98</v>
      </c>
      <c r="D588" t="str">
        <f>HYPERLINK("http://service.sap.com/sap/support/notes/1783303","1783303")</f>
        <v>1783303</v>
      </c>
      <c r="E588">
        <v>2</v>
      </c>
      <c r="F588" t="s">
        <v>986</v>
      </c>
    </row>
    <row r="589" spans="1:6" x14ac:dyDescent="0.25">
      <c r="A589" t="s">
        <v>716</v>
      </c>
      <c r="B589" t="s">
        <v>97</v>
      </c>
      <c r="C589" t="s">
        <v>98</v>
      </c>
      <c r="D589" t="str">
        <f>HYPERLINK("http://service.sap.com/sap/support/notes/1783406","1783406")</f>
        <v>1783406</v>
      </c>
      <c r="E589">
        <v>1</v>
      </c>
      <c r="F589" t="s">
        <v>987</v>
      </c>
    </row>
    <row r="590" spans="1:6" x14ac:dyDescent="0.25">
      <c r="A590" t="s">
        <v>716</v>
      </c>
      <c r="B590" t="s">
        <v>97</v>
      </c>
      <c r="C590" t="s">
        <v>98</v>
      </c>
      <c r="D590" t="str">
        <f>HYPERLINK("http://service.sap.com/sap/support/notes/1783944","1783944")</f>
        <v>1783944</v>
      </c>
      <c r="E590">
        <v>1</v>
      </c>
      <c r="F590" t="s">
        <v>988</v>
      </c>
    </row>
    <row r="591" spans="1:6" x14ac:dyDescent="0.25">
      <c r="A591" t="s">
        <v>716</v>
      </c>
      <c r="B591" t="s">
        <v>97</v>
      </c>
      <c r="C591" t="s">
        <v>98</v>
      </c>
      <c r="D591" t="str">
        <f>HYPERLINK("http://service.sap.com/sap/support/notes/1784624","1784624")</f>
        <v>1784624</v>
      </c>
      <c r="E591">
        <v>1</v>
      </c>
      <c r="F591" t="s">
        <v>989</v>
      </c>
    </row>
    <row r="592" spans="1:6" x14ac:dyDescent="0.25">
      <c r="A592" t="s">
        <v>716</v>
      </c>
      <c r="B592" t="s">
        <v>97</v>
      </c>
      <c r="C592" t="s">
        <v>98</v>
      </c>
      <c r="D592" t="str">
        <f>HYPERLINK("http://service.sap.com/sap/support/notes/1785107","1785107")</f>
        <v>1785107</v>
      </c>
      <c r="E592">
        <v>2</v>
      </c>
      <c r="F592" t="s">
        <v>990</v>
      </c>
    </row>
    <row r="593" spans="1:6" x14ac:dyDescent="0.25">
      <c r="A593" t="s">
        <v>716</v>
      </c>
      <c r="B593" t="s">
        <v>97</v>
      </c>
      <c r="C593" t="s">
        <v>98</v>
      </c>
      <c r="D593" t="str">
        <f>HYPERLINK("http://service.sap.com/sap/support/notes/1785470","1785470")</f>
        <v>1785470</v>
      </c>
      <c r="E593">
        <v>2</v>
      </c>
      <c r="F593" t="s">
        <v>991</v>
      </c>
    </row>
    <row r="594" spans="1:6" x14ac:dyDescent="0.25">
      <c r="A594" t="s">
        <v>716</v>
      </c>
      <c r="B594" t="s">
        <v>97</v>
      </c>
      <c r="C594" t="s">
        <v>98</v>
      </c>
      <c r="D594" t="str">
        <f>HYPERLINK("http://service.sap.com/sap/support/notes/1785559","1785559")</f>
        <v>1785559</v>
      </c>
      <c r="E594">
        <v>2</v>
      </c>
      <c r="F594" t="s">
        <v>992</v>
      </c>
    </row>
    <row r="595" spans="1:6" x14ac:dyDescent="0.25">
      <c r="A595" t="s">
        <v>716</v>
      </c>
      <c r="B595" t="s">
        <v>97</v>
      </c>
      <c r="C595" t="s">
        <v>98</v>
      </c>
      <c r="D595" t="str">
        <f>HYPERLINK("http://service.sap.com/sap/support/notes/1786077","1786077")</f>
        <v>1786077</v>
      </c>
      <c r="E595">
        <v>2</v>
      </c>
      <c r="F595" t="s">
        <v>993</v>
      </c>
    </row>
    <row r="596" spans="1:6" x14ac:dyDescent="0.25">
      <c r="A596" t="s">
        <v>716</v>
      </c>
      <c r="B596" t="s">
        <v>97</v>
      </c>
      <c r="C596" t="s">
        <v>98</v>
      </c>
      <c r="D596" t="str">
        <f>HYPERLINK("http://service.sap.com/sap/support/notes/1787667","1787667")</f>
        <v>1787667</v>
      </c>
      <c r="E596">
        <v>2</v>
      </c>
      <c r="F596" t="s">
        <v>994</v>
      </c>
    </row>
    <row r="597" spans="1:6" x14ac:dyDescent="0.25">
      <c r="A597" t="s">
        <v>716</v>
      </c>
      <c r="B597" t="s">
        <v>97</v>
      </c>
      <c r="C597" t="s">
        <v>98</v>
      </c>
      <c r="D597" t="str">
        <f>HYPERLINK("http://service.sap.com/sap/support/notes/1790270","1790270")</f>
        <v>1790270</v>
      </c>
      <c r="E597">
        <v>2</v>
      </c>
      <c r="F597" t="s">
        <v>995</v>
      </c>
    </row>
    <row r="598" spans="1:6" x14ac:dyDescent="0.25">
      <c r="A598" t="s">
        <v>716</v>
      </c>
      <c r="B598" t="s">
        <v>97</v>
      </c>
      <c r="C598" t="s">
        <v>98</v>
      </c>
      <c r="D598" t="str">
        <f>HYPERLINK("http://service.sap.com/sap/support/notes/1790815","1790815")</f>
        <v>1790815</v>
      </c>
      <c r="E598">
        <v>1</v>
      </c>
      <c r="F598" t="s">
        <v>996</v>
      </c>
    </row>
    <row r="599" spans="1:6" x14ac:dyDescent="0.25">
      <c r="A599" t="s">
        <v>716</v>
      </c>
      <c r="B599" t="s">
        <v>570</v>
      </c>
      <c r="C599" t="s">
        <v>128</v>
      </c>
      <c r="D599" t="str">
        <f>HYPERLINK("http://service.sap.com/sap/support/notes/1741247","1741247")</f>
        <v>1741247</v>
      </c>
      <c r="E599">
        <v>10</v>
      </c>
      <c r="F599" t="s">
        <v>997</v>
      </c>
    </row>
    <row r="600" spans="1:6" x14ac:dyDescent="0.25">
      <c r="A600" t="s">
        <v>716</v>
      </c>
      <c r="B600" t="s">
        <v>570</v>
      </c>
      <c r="C600" t="s">
        <v>128</v>
      </c>
      <c r="D600" t="str">
        <f>HYPERLINK("http://service.sap.com/sap/support/notes/1785227","1785227")</f>
        <v>1785227</v>
      </c>
      <c r="E600">
        <v>1</v>
      </c>
      <c r="F600" t="s">
        <v>998</v>
      </c>
    </row>
    <row r="601" spans="1:6" x14ac:dyDescent="0.25">
      <c r="A601" t="s">
        <v>716</v>
      </c>
      <c r="B601" t="s">
        <v>570</v>
      </c>
      <c r="C601" t="s">
        <v>128</v>
      </c>
      <c r="D601" t="str">
        <f>HYPERLINK("http://service.sap.com/sap/support/notes/1785677","1785677")</f>
        <v>1785677</v>
      </c>
      <c r="E601">
        <v>1</v>
      </c>
      <c r="F601" t="s">
        <v>999</v>
      </c>
    </row>
    <row r="602" spans="1:6" x14ac:dyDescent="0.25">
      <c r="A602" t="s">
        <v>716</v>
      </c>
      <c r="B602" t="s">
        <v>114</v>
      </c>
      <c r="C602" t="s">
        <v>115</v>
      </c>
      <c r="D602" t="str">
        <f>HYPERLINK("http://service.sap.com/sap/support/notes/815445","815445")</f>
        <v>815445</v>
      </c>
      <c r="E602">
        <v>1</v>
      </c>
      <c r="F602" t="s">
        <v>571</v>
      </c>
    </row>
    <row r="603" spans="1:6" x14ac:dyDescent="0.25">
      <c r="A603" t="s">
        <v>716</v>
      </c>
      <c r="B603" t="s">
        <v>114</v>
      </c>
      <c r="C603" t="s">
        <v>115</v>
      </c>
      <c r="D603" t="str">
        <f>HYPERLINK("http://service.sap.com/sap/support/notes/1602264","1602264")</f>
        <v>1602264</v>
      </c>
      <c r="E603">
        <v>2</v>
      </c>
      <c r="F603" t="s">
        <v>1000</v>
      </c>
    </row>
    <row r="604" spans="1:6" x14ac:dyDescent="0.25">
      <c r="A604" t="s">
        <v>716</v>
      </c>
      <c r="B604" t="s">
        <v>114</v>
      </c>
      <c r="C604" t="s">
        <v>115</v>
      </c>
      <c r="D604" t="str">
        <f>HYPERLINK("http://service.sap.com/sap/support/notes/1767207","1767207")</f>
        <v>1767207</v>
      </c>
      <c r="E604">
        <v>1</v>
      </c>
      <c r="F604" t="s">
        <v>1001</v>
      </c>
    </row>
    <row r="605" spans="1:6" x14ac:dyDescent="0.25">
      <c r="A605" t="s">
        <v>716</v>
      </c>
      <c r="B605" t="s">
        <v>114</v>
      </c>
      <c r="C605" t="s">
        <v>115</v>
      </c>
      <c r="D605" t="str">
        <f>HYPERLINK("http://service.sap.com/sap/support/notes/1776000","1776000")</f>
        <v>1776000</v>
      </c>
      <c r="E605">
        <v>1</v>
      </c>
      <c r="F605" t="s">
        <v>1002</v>
      </c>
    </row>
    <row r="606" spans="1:6" x14ac:dyDescent="0.25">
      <c r="A606" t="s">
        <v>716</v>
      </c>
      <c r="B606" t="s">
        <v>114</v>
      </c>
      <c r="C606" t="s">
        <v>115</v>
      </c>
      <c r="D606" t="str">
        <f>HYPERLINK("http://service.sap.com/sap/support/notes/1782423","1782423")</f>
        <v>1782423</v>
      </c>
      <c r="E606">
        <v>1</v>
      </c>
      <c r="F606" t="s">
        <v>1003</v>
      </c>
    </row>
    <row r="607" spans="1:6" x14ac:dyDescent="0.25">
      <c r="A607" t="s">
        <v>716</v>
      </c>
      <c r="B607" t="s">
        <v>114</v>
      </c>
      <c r="C607" t="s">
        <v>115</v>
      </c>
      <c r="D607" t="str">
        <f>HYPERLINK("http://service.sap.com/sap/support/notes/1783231","1783231")</f>
        <v>1783231</v>
      </c>
      <c r="E607">
        <v>1</v>
      </c>
      <c r="F607" t="s">
        <v>1004</v>
      </c>
    </row>
    <row r="608" spans="1:6" x14ac:dyDescent="0.25">
      <c r="A608" t="s">
        <v>716</v>
      </c>
      <c r="B608" t="s">
        <v>114</v>
      </c>
      <c r="C608" t="s">
        <v>115</v>
      </c>
      <c r="D608" t="str">
        <f>HYPERLINK("http://service.sap.com/sap/support/notes/1783354","1783354")</f>
        <v>1783354</v>
      </c>
      <c r="E608">
        <v>2</v>
      </c>
      <c r="F608" t="s">
        <v>1005</v>
      </c>
    </row>
    <row r="609" spans="1:6" x14ac:dyDescent="0.25">
      <c r="A609" t="s">
        <v>716</v>
      </c>
      <c r="B609" t="s">
        <v>114</v>
      </c>
      <c r="C609" t="s">
        <v>115</v>
      </c>
      <c r="D609" t="str">
        <f>HYPERLINK("http://service.sap.com/sap/support/notes/1783434","1783434")</f>
        <v>1783434</v>
      </c>
      <c r="E609">
        <v>1</v>
      </c>
      <c r="F609" t="s">
        <v>1006</v>
      </c>
    </row>
    <row r="610" spans="1:6" x14ac:dyDescent="0.25">
      <c r="A610" t="s">
        <v>716</v>
      </c>
      <c r="B610" t="s">
        <v>114</v>
      </c>
      <c r="C610" t="s">
        <v>115</v>
      </c>
      <c r="D610" t="str">
        <f>HYPERLINK("http://service.sap.com/sap/support/notes/1783854","1783854")</f>
        <v>1783854</v>
      </c>
      <c r="E610">
        <v>1</v>
      </c>
      <c r="F610" t="s">
        <v>1007</v>
      </c>
    </row>
    <row r="611" spans="1:6" x14ac:dyDescent="0.25">
      <c r="A611" t="s">
        <v>716</v>
      </c>
      <c r="B611" t="s">
        <v>114</v>
      </c>
      <c r="C611" t="s">
        <v>115</v>
      </c>
      <c r="D611" t="str">
        <f>HYPERLINK("http://service.sap.com/sap/support/notes/1783939","1783939")</f>
        <v>1783939</v>
      </c>
      <c r="E611">
        <v>1</v>
      </c>
      <c r="F611" t="s">
        <v>1008</v>
      </c>
    </row>
    <row r="612" spans="1:6" x14ac:dyDescent="0.25">
      <c r="A612" t="s">
        <v>716</v>
      </c>
      <c r="B612" t="s">
        <v>114</v>
      </c>
      <c r="C612" t="s">
        <v>115</v>
      </c>
      <c r="D612" t="str">
        <f>HYPERLINK("http://service.sap.com/sap/support/notes/1784258","1784258")</f>
        <v>1784258</v>
      </c>
      <c r="E612">
        <v>1</v>
      </c>
      <c r="F612" t="s">
        <v>1009</v>
      </c>
    </row>
    <row r="613" spans="1:6" x14ac:dyDescent="0.25">
      <c r="A613" t="s">
        <v>716</v>
      </c>
      <c r="B613" t="s">
        <v>114</v>
      </c>
      <c r="C613" t="s">
        <v>115</v>
      </c>
      <c r="D613" t="str">
        <f>HYPERLINK("http://service.sap.com/sap/support/notes/1787868","1787868")</f>
        <v>1787868</v>
      </c>
      <c r="E613">
        <v>1</v>
      </c>
      <c r="F613" t="s">
        <v>1010</v>
      </c>
    </row>
    <row r="614" spans="1:6" x14ac:dyDescent="0.25">
      <c r="A614" t="s">
        <v>716</v>
      </c>
      <c r="B614" t="s">
        <v>114</v>
      </c>
      <c r="C614" t="s">
        <v>115</v>
      </c>
      <c r="D614" t="str">
        <f>HYPERLINK("http://service.sap.com/sap/support/notes/1788724","1788724")</f>
        <v>1788724</v>
      </c>
      <c r="E614">
        <v>1</v>
      </c>
      <c r="F614" t="s">
        <v>1011</v>
      </c>
    </row>
    <row r="615" spans="1:6" x14ac:dyDescent="0.25">
      <c r="A615" t="s">
        <v>716</v>
      </c>
      <c r="B615" t="s">
        <v>114</v>
      </c>
      <c r="C615" t="s">
        <v>115</v>
      </c>
      <c r="D615" t="str">
        <f>HYPERLINK("http://service.sap.com/sap/support/notes/1789624","1789624")</f>
        <v>1789624</v>
      </c>
      <c r="E615">
        <v>1</v>
      </c>
      <c r="F615" t="s">
        <v>1012</v>
      </c>
    </row>
    <row r="616" spans="1:6" x14ac:dyDescent="0.25">
      <c r="A616" t="s">
        <v>716</v>
      </c>
      <c r="B616" t="s">
        <v>127</v>
      </c>
      <c r="C616" t="s">
        <v>128</v>
      </c>
      <c r="D616" t="str">
        <f>HYPERLINK("http://service.sap.com/sap/support/notes/1754899","1754899")</f>
        <v>1754899</v>
      </c>
      <c r="E616">
        <v>1</v>
      </c>
      <c r="F616" t="s">
        <v>1013</v>
      </c>
    </row>
    <row r="617" spans="1:6" x14ac:dyDescent="0.25">
      <c r="A617" t="s">
        <v>716</v>
      </c>
      <c r="B617" t="s">
        <v>127</v>
      </c>
      <c r="C617" t="s">
        <v>128</v>
      </c>
      <c r="D617" t="str">
        <f>HYPERLINK("http://service.sap.com/sap/support/notes/1777234","1777234")</f>
        <v>1777234</v>
      </c>
      <c r="E617">
        <v>1</v>
      </c>
      <c r="F617" t="s">
        <v>1014</v>
      </c>
    </row>
    <row r="618" spans="1:6" x14ac:dyDescent="0.25">
      <c r="A618" t="s">
        <v>716</v>
      </c>
      <c r="B618" t="s">
        <v>127</v>
      </c>
      <c r="C618" t="s">
        <v>128</v>
      </c>
      <c r="D618" t="str">
        <f>HYPERLINK("http://service.sap.com/sap/support/notes/1779417","1779417")</f>
        <v>1779417</v>
      </c>
      <c r="E618">
        <v>1</v>
      </c>
      <c r="F618" t="s">
        <v>1015</v>
      </c>
    </row>
    <row r="619" spans="1:6" x14ac:dyDescent="0.25">
      <c r="A619" t="s">
        <v>716</v>
      </c>
      <c r="B619" t="s">
        <v>127</v>
      </c>
      <c r="C619" t="s">
        <v>128</v>
      </c>
      <c r="D619" t="str">
        <f>HYPERLINK("http://service.sap.com/sap/support/notes/1781794","1781794")</f>
        <v>1781794</v>
      </c>
      <c r="E619">
        <v>1</v>
      </c>
      <c r="F619" t="s">
        <v>1016</v>
      </c>
    </row>
    <row r="620" spans="1:6" x14ac:dyDescent="0.25">
      <c r="A620" t="s">
        <v>716</v>
      </c>
      <c r="B620" t="s">
        <v>127</v>
      </c>
      <c r="C620" t="s">
        <v>128</v>
      </c>
      <c r="D620" t="str">
        <f>HYPERLINK("http://service.sap.com/sap/support/notes/1787426","1787426")</f>
        <v>1787426</v>
      </c>
      <c r="E620">
        <v>1</v>
      </c>
      <c r="F620" t="s">
        <v>1017</v>
      </c>
    </row>
    <row r="621" spans="1:6" x14ac:dyDescent="0.25">
      <c r="A621" t="s">
        <v>716</v>
      </c>
      <c r="B621" t="s">
        <v>131</v>
      </c>
      <c r="C621" t="s">
        <v>132</v>
      </c>
      <c r="D621" t="str">
        <f>HYPERLINK("http://service.sap.com/sap/support/notes/1609875","1609875")</f>
        <v>1609875</v>
      </c>
      <c r="E621">
        <v>2</v>
      </c>
      <c r="F621" t="s">
        <v>1018</v>
      </c>
    </row>
    <row r="622" spans="1:6" x14ac:dyDescent="0.25">
      <c r="A622" t="s">
        <v>716</v>
      </c>
      <c r="B622" t="s">
        <v>131</v>
      </c>
      <c r="C622" t="s">
        <v>132</v>
      </c>
      <c r="D622" t="str">
        <f>HYPERLINK("http://service.sap.com/sap/support/notes/1749868","1749868")</f>
        <v>1749868</v>
      </c>
      <c r="E622">
        <v>3</v>
      </c>
      <c r="F622" t="s">
        <v>1019</v>
      </c>
    </row>
    <row r="623" spans="1:6" x14ac:dyDescent="0.25">
      <c r="A623" t="s">
        <v>716</v>
      </c>
      <c r="B623" t="s">
        <v>131</v>
      </c>
      <c r="C623" t="s">
        <v>132</v>
      </c>
      <c r="D623" t="str">
        <f>HYPERLINK("http://service.sap.com/sap/support/notes/1756409","1756409")</f>
        <v>1756409</v>
      </c>
      <c r="E623">
        <v>6</v>
      </c>
      <c r="F623" t="s">
        <v>1020</v>
      </c>
    </row>
    <row r="624" spans="1:6" x14ac:dyDescent="0.25">
      <c r="A624" t="s">
        <v>716</v>
      </c>
      <c r="B624" t="s">
        <v>131</v>
      </c>
      <c r="C624" t="s">
        <v>132</v>
      </c>
      <c r="D624" t="str">
        <f>HYPERLINK("http://service.sap.com/sap/support/notes/1769674","1769674")</f>
        <v>1769674</v>
      </c>
      <c r="E624">
        <v>1</v>
      </c>
      <c r="F624" t="s">
        <v>1021</v>
      </c>
    </row>
    <row r="625" spans="1:6" x14ac:dyDescent="0.25">
      <c r="A625" t="s">
        <v>716</v>
      </c>
      <c r="B625" t="s">
        <v>131</v>
      </c>
      <c r="C625" t="s">
        <v>132</v>
      </c>
      <c r="D625" t="str">
        <f>HYPERLINK("http://service.sap.com/sap/support/notes/1774222","1774222")</f>
        <v>1774222</v>
      </c>
      <c r="E625">
        <v>2</v>
      </c>
      <c r="F625" t="s">
        <v>1022</v>
      </c>
    </row>
    <row r="626" spans="1:6" x14ac:dyDescent="0.25">
      <c r="A626" t="s">
        <v>716</v>
      </c>
      <c r="B626" t="s">
        <v>131</v>
      </c>
      <c r="C626" t="s">
        <v>132</v>
      </c>
      <c r="D626" t="str">
        <f>HYPERLINK("http://service.sap.com/sap/support/notes/1774728","1774728")</f>
        <v>1774728</v>
      </c>
      <c r="E626">
        <v>3</v>
      </c>
      <c r="F626" t="s">
        <v>1023</v>
      </c>
    </row>
    <row r="627" spans="1:6" x14ac:dyDescent="0.25">
      <c r="A627" t="s">
        <v>716</v>
      </c>
      <c r="B627" t="s">
        <v>131</v>
      </c>
      <c r="C627" t="s">
        <v>132</v>
      </c>
      <c r="D627" t="str">
        <f>HYPERLINK("http://service.sap.com/sap/support/notes/1775057","1775057")</f>
        <v>1775057</v>
      </c>
      <c r="E627">
        <v>2</v>
      </c>
      <c r="F627" t="s">
        <v>1024</v>
      </c>
    </row>
    <row r="628" spans="1:6" x14ac:dyDescent="0.25">
      <c r="A628" t="s">
        <v>716</v>
      </c>
      <c r="B628" t="s">
        <v>131</v>
      </c>
      <c r="C628" t="s">
        <v>132</v>
      </c>
      <c r="D628" t="str">
        <f>HYPERLINK("http://service.sap.com/sap/support/notes/1775262","1775262")</f>
        <v>1775262</v>
      </c>
      <c r="E628">
        <v>2</v>
      </c>
      <c r="F628" t="s">
        <v>1025</v>
      </c>
    </row>
    <row r="629" spans="1:6" x14ac:dyDescent="0.25">
      <c r="A629" t="s">
        <v>716</v>
      </c>
      <c r="B629" t="s">
        <v>131</v>
      </c>
      <c r="C629" t="s">
        <v>132</v>
      </c>
      <c r="D629" t="str">
        <f>HYPERLINK("http://service.sap.com/sap/support/notes/1778775","1778775")</f>
        <v>1778775</v>
      </c>
      <c r="E629">
        <v>3</v>
      </c>
      <c r="F629" t="s">
        <v>1026</v>
      </c>
    </row>
    <row r="630" spans="1:6" x14ac:dyDescent="0.25">
      <c r="A630" t="s">
        <v>716</v>
      </c>
      <c r="B630" t="s">
        <v>131</v>
      </c>
      <c r="C630" t="s">
        <v>132</v>
      </c>
      <c r="D630" t="str">
        <f>HYPERLINK("http://service.sap.com/sap/support/notes/1779099","1779099")</f>
        <v>1779099</v>
      </c>
      <c r="E630">
        <v>2</v>
      </c>
      <c r="F630" t="s">
        <v>1027</v>
      </c>
    </row>
    <row r="631" spans="1:6" x14ac:dyDescent="0.25">
      <c r="A631" t="s">
        <v>716</v>
      </c>
      <c r="B631" t="s">
        <v>131</v>
      </c>
      <c r="C631" t="s">
        <v>132</v>
      </c>
      <c r="D631" t="str">
        <f>HYPERLINK("http://service.sap.com/sap/support/notes/1779371","1779371")</f>
        <v>1779371</v>
      </c>
      <c r="E631">
        <v>1</v>
      </c>
      <c r="F631" t="s">
        <v>1028</v>
      </c>
    </row>
    <row r="632" spans="1:6" x14ac:dyDescent="0.25">
      <c r="A632" t="s">
        <v>716</v>
      </c>
      <c r="B632" t="s">
        <v>131</v>
      </c>
      <c r="C632" t="s">
        <v>132</v>
      </c>
      <c r="D632" t="str">
        <f>HYPERLINK("http://service.sap.com/sap/support/notes/1780306","1780306")</f>
        <v>1780306</v>
      </c>
      <c r="E632">
        <v>2</v>
      </c>
      <c r="F632" t="s">
        <v>1029</v>
      </c>
    </row>
    <row r="633" spans="1:6" x14ac:dyDescent="0.25">
      <c r="A633" t="s">
        <v>716</v>
      </c>
      <c r="B633" t="s">
        <v>131</v>
      </c>
      <c r="C633" t="s">
        <v>132</v>
      </c>
      <c r="D633" t="str">
        <f>HYPERLINK("http://service.sap.com/sap/support/notes/1781519","1781519")</f>
        <v>1781519</v>
      </c>
      <c r="E633">
        <v>2</v>
      </c>
      <c r="F633" t="s">
        <v>1030</v>
      </c>
    </row>
    <row r="634" spans="1:6" x14ac:dyDescent="0.25">
      <c r="A634" t="s">
        <v>716</v>
      </c>
      <c r="B634" t="s">
        <v>131</v>
      </c>
      <c r="C634" t="s">
        <v>132</v>
      </c>
      <c r="D634" t="str">
        <f>HYPERLINK("http://service.sap.com/sap/support/notes/1781573","1781573")</f>
        <v>1781573</v>
      </c>
      <c r="E634">
        <v>2</v>
      </c>
      <c r="F634" t="s">
        <v>1031</v>
      </c>
    </row>
    <row r="635" spans="1:6" x14ac:dyDescent="0.25">
      <c r="A635" t="s">
        <v>716</v>
      </c>
      <c r="B635" t="s">
        <v>131</v>
      </c>
      <c r="C635" t="s">
        <v>132</v>
      </c>
      <c r="D635" t="str">
        <f>HYPERLINK("http://service.sap.com/sap/support/notes/1782102","1782102")</f>
        <v>1782102</v>
      </c>
      <c r="E635">
        <v>2</v>
      </c>
      <c r="F635" t="s">
        <v>1032</v>
      </c>
    </row>
    <row r="636" spans="1:6" x14ac:dyDescent="0.25">
      <c r="A636" t="s">
        <v>716</v>
      </c>
      <c r="B636" t="s">
        <v>131</v>
      </c>
      <c r="C636" t="s">
        <v>132</v>
      </c>
      <c r="D636" t="str">
        <f>HYPERLINK("http://service.sap.com/sap/support/notes/1786968","1786968")</f>
        <v>1786968</v>
      </c>
      <c r="E636">
        <v>2</v>
      </c>
      <c r="F636" t="s">
        <v>1033</v>
      </c>
    </row>
    <row r="637" spans="1:6" x14ac:dyDescent="0.25">
      <c r="A637" t="s">
        <v>716</v>
      </c>
      <c r="B637" t="s">
        <v>131</v>
      </c>
      <c r="C637" t="s">
        <v>132</v>
      </c>
      <c r="D637" t="str">
        <f>HYPERLINK("http://service.sap.com/sap/support/notes/1787206","1787206")</f>
        <v>1787206</v>
      </c>
      <c r="E637">
        <v>1</v>
      </c>
      <c r="F637" t="s">
        <v>1034</v>
      </c>
    </row>
    <row r="638" spans="1:6" x14ac:dyDescent="0.25">
      <c r="A638" t="s">
        <v>716</v>
      </c>
      <c r="B638" t="s">
        <v>131</v>
      </c>
      <c r="C638" t="s">
        <v>132</v>
      </c>
      <c r="D638" t="str">
        <f>HYPERLINK("http://service.sap.com/sap/support/notes/1787878","1787878")</f>
        <v>1787878</v>
      </c>
      <c r="E638">
        <v>4</v>
      </c>
      <c r="F638" t="s">
        <v>1035</v>
      </c>
    </row>
    <row r="639" spans="1:6" x14ac:dyDescent="0.25">
      <c r="A639" t="s">
        <v>716</v>
      </c>
      <c r="B639" t="s">
        <v>131</v>
      </c>
      <c r="C639" t="s">
        <v>132</v>
      </c>
      <c r="D639" t="str">
        <f>HYPERLINK("http://service.sap.com/sap/support/notes/1790424","1790424")</f>
        <v>1790424</v>
      </c>
      <c r="E639">
        <v>4</v>
      </c>
      <c r="F639" t="s">
        <v>1036</v>
      </c>
    </row>
    <row r="640" spans="1:6" x14ac:dyDescent="0.25">
      <c r="A640" t="s">
        <v>716</v>
      </c>
      <c r="B640" t="s">
        <v>703</v>
      </c>
      <c r="C640" t="s">
        <v>128</v>
      </c>
      <c r="D640" t="str">
        <f>HYPERLINK("http://service.sap.com/sap/support/notes/1246605","1246605")</f>
        <v>1246605</v>
      </c>
      <c r="E640">
        <v>1</v>
      </c>
      <c r="F640" t="s">
        <v>1037</v>
      </c>
    </row>
    <row r="641" spans="1:6" x14ac:dyDescent="0.25">
      <c r="A641" t="s">
        <v>716</v>
      </c>
      <c r="B641" t="s">
        <v>144</v>
      </c>
      <c r="C641" t="s">
        <v>145</v>
      </c>
      <c r="D641" t="str">
        <f>HYPERLINK("http://service.sap.com/sap/support/notes/1626891","1626891")</f>
        <v>1626891</v>
      </c>
      <c r="E641">
        <v>4</v>
      </c>
      <c r="F641" t="s">
        <v>1038</v>
      </c>
    </row>
    <row r="642" spans="1:6" x14ac:dyDescent="0.25">
      <c r="A642" t="s">
        <v>716</v>
      </c>
      <c r="B642" t="s">
        <v>144</v>
      </c>
      <c r="C642" t="s">
        <v>145</v>
      </c>
      <c r="D642" t="str">
        <f>HYPERLINK("http://service.sap.com/sap/support/notes/1716967","1716967")</f>
        <v>1716967</v>
      </c>
      <c r="E642">
        <v>2</v>
      </c>
      <c r="F642" t="s">
        <v>1039</v>
      </c>
    </row>
    <row r="643" spans="1:6" x14ac:dyDescent="0.25">
      <c r="A643" t="s">
        <v>716</v>
      </c>
      <c r="B643" t="s">
        <v>144</v>
      </c>
      <c r="C643" t="s">
        <v>145</v>
      </c>
      <c r="D643" t="str">
        <f>HYPERLINK("http://service.sap.com/sap/support/notes/1758864","1758864")</f>
        <v>1758864</v>
      </c>
      <c r="E643">
        <v>2</v>
      </c>
      <c r="F643" t="s">
        <v>1040</v>
      </c>
    </row>
    <row r="644" spans="1:6" x14ac:dyDescent="0.25">
      <c r="A644" t="s">
        <v>716</v>
      </c>
      <c r="B644" t="s">
        <v>144</v>
      </c>
      <c r="C644" t="s">
        <v>145</v>
      </c>
      <c r="D644" t="str">
        <f>HYPERLINK("http://service.sap.com/sap/support/notes/1768216","1768216")</f>
        <v>1768216</v>
      </c>
      <c r="E644">
        <v>1</v>
      </c>
      <c r="F644" t="s">
        <v>1041</v>
      </c>
    </row>
    <row r="645" spans="1:6" x14ac:dyDescent="0.25">
      <c r="A645" t="s">
        <v>716</v>
      </c>
      <c r="B645" t="s">
        <v>144</v>
      </c>
      <c r="C645" t="s">
        <v>145</v>
      </c>
      <c r="D645" t="str">
        <f>HYPERLINK("http://service.sap.com/sap/support/notes/1768727","1768727")</f>
        <v>1768727</v>
      </c>
      <c r="E645">
        <v>5</v>
      </c>
      <c r="F645" t="s">
        <v>1042</v>
      </c>
    </row>
    <row r="646" spans="1:6" x14ac:dyDescent="0.25">
      <c r="A646" t="s">
        <v>716</v>
      </c>
      <c r="B646" t="s">
        <v>144</v>
      </c>
      <c r="C646" t="s">
        <v>145</v>
      </c>
      <c r="D646" t="str">
        <f>HYPERLINK("http://service.sap.com/sap/support/notes/1776013","1776013")</f>
        <v>1776013</v>
      </c>
      <c r="E646">
        <v>12</v>
      </c>
      <c r="F646" t="s">
        <v>1043</v>
      </c>
    </row>
    <row r="647" spans="1:6" x14ac:dyDescent="0.25">
      <c r="A647" t="s">
        <v>716</v>
      </c>
      <c r="B647" t="s">
        <v>144</v>
      </c>
      <c r="C647" t="s">
        <v>145</v>
      </c>
      <c r="D647" t="str">
        <f>HYPERLINK("http://service.sap.com/sap/support/notes/1781034","1781034")</f>
        <v>1781034</v>
      </c>
      <c r="E647">
        <v>4</v>
      </c>
      <c r="F647" t="s">
        <v>1044</v>
      </c>
    </row>
    <row r="648" spans="1:6" x14ac:dyDescent="0.25">
      <c r="A648" t="s">
        <v>716</v>
      </c>
      <c r="B648" t="s">
        <v>144</v>
      </c>
      <c r="C648" t="s">
        <v>145</v>
      </c>
      <c r="D648" t="str">
        <f>HYPERLINK("http://service.sap.com/sap/support/notes/1781646","1781646")</f>
        <v>1781646</v>
      </c>
      <c r="E648">
        <v>2</v>
      </c>
      <c r="F648" t="s">
        <v>1045</v>
      </c>
    </row>
    <row r="649" spans="1:6" x14ac:dyDescent="0.25">
      <c r="A649" t="s">
        <v>716</v>
      </c>
      <c r="B649" t="s">
        <v>144</v>
      </c>
      <c r="C649" t="s">
        <v>145</v>
      </c>
      <c r="D649" t="str">
        <f>HYPERLINK("http://service.sap.com/sap/support/notes/1807507","1807507")</f>
        <v>1807507</v>
      </c>
      <c r="F649" t="s">
        <v>1046</v>
      </c>
    </row>
    <row r="650" spans="1:6" x14ac:dyDescent="0.25">
      <c r="A650" t="s">
        <v>716</v>
      </c>
      <c r="B650" t="s">
        <v>150</v>
      </c>
      <c r="C650" t="s">
        <v>151</v>
      </c>
      <c r="D650" t="str">
        <f>HYPERLINK("http://service.sap.com/sap/support/notes/1579862","1579862")</f>
        <v>1579862</v>
      </c>
      <c r="E650">
        <v>2</v>
      </c>
      <c r="F650" t="s">
        <v>1047</v>
      </c>
    </row>
    <row r="651" spans="1:6" x14ac:dyDescent="0.25">
      <c r="A651" t="s">
        <v>716</v>
      </c>
      <c r="B651" t="s">
        <v>150</v>
      </c>
      <c r="C651" t="s">
        <v>151</v>
      </c>
      <c r="D651" t="str">
        <f>HYPERLINK("http://service.sap.com/sap/support/notes/1749203","1749203")</f>
        <v>1749203</v>
      </c>
      <c r="E651">
        <v>2</v>
      </c>
      <c r="F651" t="s">
        <v>1048</v>
      </c>
    </row>
    <row r="652" spans="1:6" x14ac:dyDescent="0.25">
      <c r="A652" t="s">
        <v>716</v>
      </c>
      <c r="B652" t="s">
        <v>150</v>
      </c>
      <c r="C652" t="s">
        <v>151</v>
      </c>
      <c r="D652" t="str">
        <f>HYPERLINK("http://service.sap.com/sap/support/notes/1757831","1757831")</f>
        <v>1757831</v>
      </c>
      <c r="E652">
        <v>2</v>
      </c>
      <c r="F652" t="s">
        <v>1049</v>
      </c>
    </row>
    <row r="653" spans="1:6" x14ac:dyDescent="0.25">
      <c r="A653" t="s">
        <v>716</v>
      </c>
      <c r="B653" t="s">
        <v>150</v>
      </c>
      <c r="C653" t="s">
        <v>151</v>
      </c>
      <c r="D653" t="str">
        <f>HYPERLINK("http://service.sap.com/sap/support/notes/1781710","1781710")</f>
        <v>1781710</v>
      </c>
      <c r="E653">
        <v>1</v>
      </c>
      <c r="F653" t="s">
        <v>1050</v>
      </c>
    </row>
    <row r="654" spans="1:6" x14ac:dyDescent="0.25">
      <c r="A654" t="s">
        <v>716</v>
      </c>
      <c r="B654" t="s">
        <v>150</v>
      </c>
      <c r="C654" t="s">
        <v>151</v>
      </c>
      <c r="D654" t="str">
        <f>HYPERLINK("http://service.sap.com/sap/support/notes/1785423","1785423")</f>
        <v>1785423</v>
      </c>
      <c r="E654">
        <v>1</v>
      </c>
      <c r="F654" t="s">
        <v>1051</v>
      </c>
    </row>
    <row r="655" spans="1:6" x14ac:dyDescent="0.25">
      <c r="A655" t="s">
        <v>716</v>
      </c>
      <c r="B655" t="s">
        <v>155</v>
      </c>
      <c r="C655" t="s">
        <v>156</v>
      </c>
      <c r="D655" t="str">
        <f>HYPERLINK("http://service.sap.com/sap/support/notes/1626048","1626048")</f>
        <v>1626048</v>
      </c>
      <c r="E655">
        <v>2</v>
      </c>
      <c r="F655" t="s">
        <v>1052</v>
      </c>
    </row>
    <row r="656" spans="1:6" x14ac:dyDescent="0.25">
      <c r="A656" t="s">
        <v>716</v>
      </c>
      <c r="B656" t="s">
        <v>155</v>
      </c>
      <c r="C656" t="s">
        <v>156</v>
      </c>
      <c r="D656" t="str">
        <f>HYPERLINK("http://service.sap.com/sap/support/notes/1774650","1774650")</f>
        <v>1774650</v>
      </c>
      <c r="E656">
        <v>1</v>
      </c>
      <c r="F656" t="s">
        <v>1053</v>
      </c>
    </row>
    <row r="657" spans="1:6" x14ac:dyDescent="0.25">
      <c r="A657" t="s">
        <v>716</v>
      </c>
      <c r="B657" t="s">
        <v>159</v>
      </c>
      <c r="C657" t="s">
        <v>160</v>
      </c>
      <c r="D657" t="str">
        <f>HYPERLINK("http://service.sap.com/sap/support/notes/1414398","1414398")</f>
        <v>1414398</v>
      </c>
      <c r="E657">
        <v>4</v>
      </c>
      <c r="F657" t="s">
        <v>1054</v>
      </c>
    </row>
    <row r="658" spans="1:6" x14ac:dyDescent="0.25">
      <c r="A658" t="s">
        <v>716</v>
      </c>
      <c r="B658" t="s">
        <v>159</v>
      </c>
      <c r="C658" t="s">
        <v>160</v>
      </c>
      <c r="D658" t="str">
        <f>HYPERLINK("http://service.sap.com/sap/support/notes/1595297","1595297")</f>
        <v>1595297</v>
      </c>
      <c r="E658">
        <v>3</v>
      </c>
      <c r="F658" t="s">
        <v>1055</v>
      </c>
    </row>
    <row r="659" spans="1:6" x14ac:dyDescent="0.25">
      <c r="A659" t="s">
        <v>716</v>
      </c>
      <c r="B659" t="s">
        <v>159</v>
      </c>
      <c r="C659" t="s">
        <v>160</v>
      </c>
      <c r="D659" t="str">
        <f>HYPERLINK("http://service.sap.com/sap/support/notes/1751855","1751855")</f>
        <v>1751855</v>
      </c>
      <c r="E659">
        <v>1</v>
      </c>
      <c r="F659" t="s">
        <v>1056</v>
      </c>
    </row>
    <row r="660" spans="1:6" x14ac:dyDescent="0.25">
      <c r="A660" t="s">
        <v>716</v>
      </c>
      <c r="B660" t="s">
        <v>159</v>
      </c>
      <c r="C660" t="s">
        <v>160</v>
      </c>
      <c r="D660" t="str">
        <f>HYPERLINK("http://service.sap.com/sap/support/notes/1763724","1763724")</f>
        <v>1763724</v>
      </c>
      <c r="E660">
        <v>1</v>
      </c>
      <c r="F660" t="s">
        <v>1057</v>
      </c>
    </row>
    <row r="661" spans="1:6" x14ac:dyDescent="0.25">
      <c r="A661" t="s">
        <v>716</v>
      </c>
      <c r="B661" t="s">
        <v>159</v>
      </c>
      <c r="C661" t="s">
        <v>160</v>
      </c>
      <c r="D661" t="str">
        <f>HYPERLINK("http://service.sap.com/sap/support/notes/1767965","1767965")</f>
        <v>1767965</v>
      </c>
      <c r="E661">
        <v>1</v>
      </c>
      <c r="F661" t="s">
        <v>164</v>
      </c>
    </row>
    <row r="662" spans="1:6" x14ac:dyDescent="0.25">
      <c r="A662" t="s">
        <v>716</v>
      </c>
      <c r="B662" t="s">
        <v>159</v>
      </c>
      <c r="C662" t="s">
        <v>160</v>
      </c>
      <c r="D662" t="str">
        <f>HYPERLINK("http://service.sap.com/sap/support/notes/1772901","1772901")</f>
        <v>1772901</v>
      </c>
      <c r="E662">
        <v>2</v>
      </c>
      <c r="F662" t="s">
        <v>1058</v>
      </c>
    </row>
    <row r="663" spans="1:6" x14ac:dyDescent="0.25">
      <c r="A663" t="s">
        <v>716</v>
      </c>
      <c r="B663" t="s">
        <v>159</v>
      </c>
      <c r="C663" t="s">
        <v>160</v>
      </c>
      <c r="D663" t="str">
        <f>HYPERLINK("http://service.sap.com/sap/support/notes/1774155","1774155")</f>
        <v>1774155</v>
      </c>
      <c r="E663">
        <v>2</v>
      </c>
      <c r="F663" t="s">
        <v>1059</v>
      </c>
    </row>
    <row r="664" spans="1:6" x14ac:dyDescent="0.25">
      <c r="A664" t="s">
        <v>716</v>
      </c>
      <c r="B664" t="s">
        <v>159</v>
      </c>
      <c r="C664" t="s">
        <v>160</v>
      </c>
      <c r="D664" t="str">
        <f>HYPERLINK("http://service.sap.com/sap/support/notes/1777548","1777548")</f>
        <v>1777548</v>
      </c>
      <c r="E664">
        <v>1</v>
      </c>
      <c r="F664" t="s">
        <v>1060</v>
      </c>
    </row>
    <row r="665" spans="1:6" x14ac:dyDescent="0.25">
      <c r="A665" t="s">
        <v>716</v>
      </c>
      <c r="B665" t="s">
        <v>159</v>
      </c>
      <c r="C665" t="s">
        <v>160</v>
      </c>
      <c r="D665" t="str">
        <f>HYPERLINK("http://service.sap.com/sap/support/notes/1779094","1779094")</f>
        <v>1779094</v>
      </c>
      <c r="E665">
        <v>1</v>
      </c>
      <c r="F665" t="s">
        <v>1061</v>
      </c>
    </row>
    <row r="666" spans="1:6" x14ac:dyDescent="0.25">
      <c r="A666" t="s">
        <v>716</v>
      </c>
      <c r="B666" t="s">
        <v>159</v>
      </c>
      <c r="C666" t="s">
        <v>160</v>
      </c>
      <c r="D666" t="str">
        <f>HYPERLINK("http://service.sap.com/sap/support/notes/1780205","1780205")</f>
        <v>1780205</v>
      </c>
      <c r="E666">
        <v>1</v>
      </c>
      <c r="F666" t="s">
        <v>1062</v>
      </c>
    </row>
    <row r="667" spans="1:6" x14ac:dyDescent="0.25">
      <c r="A667" t="s">
        <v>716</v>
      </c>
      <c r="B667" t="s">
        <v>159</v>
      </c>
      <c r="C667" t="s">
        <v>160</v>
      </c>
      <c r="D667" t="str">
        <f>HYPERLINK("http://service.sap.com/sap/support/notes/1780517","1780517")</f>
        <v>1780517</v>
      </c>
      <c r="E667">
        <v>2</v>
      </c>
      <c r="F667" t="s">
        <v>1063</v>
      </c>
    </row>
    <row r="668" spans="1:6" x14ac:dyDescent="0.25">
      <c r="A668" t="s">
        <v>716</v>
      </c>
      <c r="B668" t="s">
        <v>159</v>
      </c>
      <c r="C668" t="s">
        <v>160</v>
      </c>
      <c r="D668" t="str">
        <f>HYPERLINK("http://service.sap.com/sap/support/notes/1787257","1787257")</f>
        <v>1787257</v>
      </c>
      <c r="E668">
        <v>1</v>
      </c>
      <c r="F668" t="s">
        <v>1064</v>
      </c>
    </row>
    <row r="669" spans="1:6" x14ac:dyDescent="0.25">
      <c r="A669" t="s">
        <v>716</v>
      </c>
      <c r="B669" t="s">
        <v>165</v>
      </c>
      <c r="C669" t="s">
        <v>31</v>
      </c>
      <c r="D669" t="str">
        <f>HYPERLINK("http://service.sap.com/sap/support/notes/1768819","1768819")</f>
        <v>1768819</v>
      </c>
      <c r="E669">
        <v>3</v>
      </c>
      <c r="F669" t="s">
        <v>1065</v>
      </c>
    </row>
    <row r="670" spans="1:6" x14ac:dyDescent="0.25">
      <c r="A670" t="s">
        <v>716</v>
      </c>
      <c r="B670" t="s">
        <v>165</v>
      </c>
      <c r="C670" t="s">
        <v>31</v>
      </c>
      <c r="D670" t="str">
        <f>HYPERLINK("http://service.sap.com/sap/support/notes/1769429","1769429")</f>
        <v>1769429</v>
      </c>
      <c r="E670">
        <v>2</v>
      </c>
      <c r="F670" t="s">
        <v>1066</v>
      </c>
    </row>
    <row r="671" spans="1:6" x14ac:dyDescent="0.25">
      <c r="A671" t="s">
        <v>716</v>
      </c>
      <c r="B671" t="s">
        <v>165</v>
      </c>
      <c r="C671" t="s">
        <v>31</v>
      </c>
      <c r="D671" t="str">
        <f>HYPERLINK("http://service.sap.com/sap/support/notes/1769431","1769431")</f>
        <v>1769431</v>
      </c>
      <c r="E671">
        <v>3</v>
      </c>
      <c r="F671" t="s">
        <v>1067</v>
      </c>
    </row>
    <row r="672" spans="1:6" x14ac:dyDescent="0.25">
      <c r="A672" t="s">
        <v>716</v>
      </c>
      <c r="B672" t="s">
        <v>165</v>
      </c>
      <c r="C672" t="s">
        <v>31</v>
      </c>
      <c r="D672" t="str">
        <f>HYPERLINK("http://service.sap.com/sap/support/notes/1787269","1787269")</f>
        <v>1787269</v>
      </c>
      <c r="E672">
        <v>4</v>
      </c>
      <c r="F672" t="s">
        <v>1068</v>
      </c>
    </row>
    <row r="673" spans="1:6" x14ac:dyDescent="0.25">
      <c r="A673" t="s">
        <v>716</v>
      </c>
      <c r="B673" t="s">
        <v>169</v>
      </c>
      <c r="C673" t="s">
        <v>34</v>
      </c>
      <c r="D673" t="str">
        <f>HYPERLINK("http://service.sap.com/sap/support/notes/1780471","1780471")</f>
        <v>1780471</v>
      </c>
      <c r="E673">
        <v>1</v>
      </c>
      <c r="F673" t="s">
        <v>1069</v>
      </c>
    </row>
    <row r="674" spans="1:6" x14ac:dyDescent="0.25">
      <c r="A674" t="s">
        <v>716</v>
      </c>
      <c r="B674" t="s">
        <v>169</v>
      </c>
      <c r="C674" t="s">
        <v>34</v>
      </c>
      <c r="D674" t="str">
        <f>HYPERLINK("http://service.sap.com/sap/support/notes/1781729","1781729")</f>
        <v>1781729</v>
      </c>
      <c r="E674">
        <v>3</v>
      </c>
      <c r="F674" t="s">
        <v>1070</v>
      </c>
    </row>
    <row r="675" spans="1:6" x14ac:dyDescent="0.25">
      <c r="A675" t="s">
        <v>716</v>
      </c>
      <c r="B675" t="s">
        <v>169</v>
      </c>
      <c r="C675" t="s">
        <v>34</v>
      </c>
      <c r="D675" t="str">
        <f>HYPERLINK("http://service.sap.com/sap/support/notes/1785395","1785395")</f>
        <v>1785395</v>
      </c>
      <c r="E675">
        <v>1</v>
      </c>
      <c r="F675" t="s">
        <v>1071</v>
      </c>
    </row>
    <row r="676" spans="1:6" x14ac:dyDescent="0.25">
      <c r="A676" t="s">
        <v>716</v>
      </c>
      <c r="B676" t="s">
        <v>169</v>
      </c>
      <c r="C676" t="s">
        <v>34</v>
      </c>
      <c r="D676" t="str">
        <f>HYPERLINK("http://service.sap.com/sap/support/notes/1785494","1785494")</f>
        <v>1785494</v>
      </c>
      <c r="E676">
        <v>1</v>
      </c>
      <c r="F676" t="s">
        <v>1072</v>
      </c>
    </row>
    <row r="677" spans="1:6" x14ac:dyDescent="0.25">
      <c r="A677" t="s">
        <v>716</v>
      </c>
      <c r="B677" t="s">
        <v>169</v>
      </c>
      <c r="C677" t="s">
        <v>34</v>
      </c>
      <c r="D677" t="str">
        <f>HYPERLINK("http://service.sap.com/sap/support/notes/1786055","1786055")</f>
        <v>1786055</v>
      </c>
      <c r="E677">
        <v>1</v>
      </c>
      <c r="F677" t="s">
        <v>1073</v>
      </c>
    </row>
    <row r="678" spans="1:6" x14ac:dyDescent="0.25">
      <c r="A678" t="s">
        <v>716</v>
      </c>
      <c r="B678" t="s">
        <v>175</v>
      </c>
      <c r="C678" t="s">
        <v>176</v>
      </c>
      <c r="D678" t="str">
        <f>HYPERLINK("http://service.sap.com/sap/support/notes/1746872","1746872")</f>
        <v>1746872</v>
      </c>
      <c r="E678">
        <v>1</v>
      </c>
      <c r="F678" t="s">
        <v>1074</v>
      </c>
    </row>
    <row r="679" spans="1:6" x14ac:dyDescent="0.25">
      <c r="A679" t="s">
        <v>716</v>
      </c>
      <c r="B679" t="s">
        <v>177</v>
      </c>
      <c r="C679" t="s">
        <v>574</v>
      </c>
      <c r="D679" t="str">
        <f>HYPERLINK("http://service.sap.com/sap/support/notes/1707419","1707419")</f>
        <v>1707419</v>
      </c>
      <c r="E679">
        <v>1</v>
      </c>
      <c r="F679" t="s">
        <v>1075</v>
      </c>
    </row>
    <row r="680" spans="1:6" x14ac:dyDescent="0.25">
      <c r="A680" t="s">
        <v>716</v>
      </c>
      <c r="B680" t="s">
        <v>177</v>
      </c>
      <c r="C680" t="s">
        <v>574</v>
      </c>
      <c r="D680" t="str">
        <f>HYPERLINK("http://service.sap.com/sap/support/notes/1714460","1714460")</f>
        <v>1714460</v>
      </c>
      <c r="E680">
        <v>1</v>
      </c>
      <c r="F680" t="s">
        <v>1076</v>
      </c>
    </row>
    <row r="681" spans="1:6" x14ac:dyDescent="0.25">
      <c r="A681" t="s">
        <v>716</v>
      </c>
      <c r="B681" t="s">
        <v>177</v>
      </c>
      <c r="C681" t="s">
        <v>574</v>
      </c>
      <c r="D681" t="str">
        <f>HYPERLINK("http://service.sap.com/sap/support/notes/1717296","1717296")</f>
        <v>1717296</v>
      </c>
      <c r="E681">
        <v>5</v>
      </c>
      <c r="F681" t="s">
        <v>1077</v>
      </c>
    </row>
    <row r="682" spans="1:6" x14ac:dyDescent="0.25">
      <c r="A682" t="s">
        <v>716</v>
      </c>
      <c r="B682" t="s">
        <v>177</v>
      </c>
      <c r="C682" t="s">
        <v>574</v>
      </c>
      <c r="D682" t="str">
        <f>HYPERLINK("http://service.sap.com/sap/support/notes/1722138","1722138")</f>
        <v>1722138</v>
      </c>
      <c r="E682">
        <v>7</v>
      </c>
      <c r="F682" t="s">
        <v>1078</v>
      </c>
    </row>
    <row r="683" spans="1:6" x14ac:dyDescent="0.25">
      <c r="A683" t="s">
        <v>716</v>
      </c>
      <c r="B683" t="s">
        <v>177</v>
      </c>
      <c r="C683" t="s">
        <v>574</v>
      </c>
      <c r="D683" t="str">
        <f>HYPERLINK("http://service.sap.com/sap/support/notes/1762943","1762943")</f>
        <v>1762943</v>
      </c>
      <c r="E683">
        <v>2</v>
      </c>
      <c r="F683" t="s">
        <v>1079</v>
      </c>
    </row>
    <row r="684" spans="1:6" x14ac:dyDescent="0.25">
      <c r="A684" t="s">
        <v>716</v>
      </c>
      <c r="B684" t="s">
        <v>177</v>
      </c>
      <c r="C684" t="s">
        <v>574</v>
      </c>
      <c r="D684" t="str">
        <f>HYPERLINK("http://service.sap.com/sap/support/notes/1763339","1763339")</f>
        <v>1763339</v>
      </c>
      <c r="E684">
        <v>1</v>
      </c>
      <c r="F684" t="s">
        <v>1080</v>
      </c>
    </row>
    <row r="685" spans="1:6" x14ac:dyDescent="0.25">
      <c r="A685" t="s">
        <v>716</v>
      </c>
      <c r="B685" t="s">
        <v>177</v>
      </c>
      <c r="C685" t="s">
        <v>574</v>
      </c>
      <c r="D685" t="str">
        <f>HYPERLINK("http://service.sap.com/sap/support/notes/1767737","1767737")</f>
        <v>1767737</v>
      </c>
      <c r="E685">
        <v>1</v>
      </c>
      <c r="F685" t="s">
        <v>1081</v>
      </c>
    </row>
    <row r="686" spans="1:6" x14ac:dyDescent="0.25">
      <c r="A686" t="s">
        <v>716</v>
      </c>
      <c r="B686" t="s">
        <v>177</v>
      </c>
      <c r="C686" t="s">
        <v>574</v>
      </c>
      <c r="D686" t="str">
        <f>HYPERLINK("http://service.sap.com/sap/support/notes/1778645","1778645")</f>
        <v>1778645</v>
      </c>
      <c r="E686">
        <v>2</v>
      </c>
      <c r="F686" t="s">
        <v>1082</v>
      </c>
    </row>
    <row r="687" spans="1:6" x14ac:dyDescent="0.25">
      <c r="A687" t="s">
        <v>716</v>
      </c>
      <c r="B687" t="s">
        <v>177</v>
      </c>
      <c r="C687" t="s">
        <v>574</v>
      </c>
      <c r="D687" t="str">
        <f>HYPERLINK("http://service.sap.com/sap/support/notes/1781318","1781318")</f>
        <v>1781318</v>
      </c>
      <c r="E687">
        <v>6</v>
      </c>
      <c r="F687" t="s">
        <v>1083</v>
      </c>
    </row>
    <row r="688" spans="1:6" x14ac:dyDescent="0.25">
      <c r="A688" t="s">
        <v>716</v>
      </c>
      <c r="B688" t="s">
        <v>177</v>
      </c>
      <c r="C688" t="s">
        <v>574</v>
      </c>
      <c r="D688" t="str">
        <f>HYPERLINK("http://service.sap.com/sap/support/notes/1782480","1782480")</f>
        <v>1782480</v>
      </c>
      <c r="E688">
        <v>2</v>
      </c>
      <c r="F688" t="s">
        <v>1084</v>
      </c>
    </row>
    <row r="689" spans="1:6" x14ac:dyDescent="0.25">
      <c r="A689" t="s">
        <v>716</v>
      </c>
      <c r="B689" t="s">
        <v>177</v>
      </c>
      <c r="C689" t="s">
        <v>574</v>
      </c>
      <c r="D689" t="str">
        <f>HYPERLINK("http://service.sap.com/sap/support/notes/1785420","1785420")</f>
        <v>1785420</v>
      </c>
      <c r="E689">
        <v>1</v>
      </c>
      <c r="F689" t="s">
        <v>1085</v>
      </c>
    </row>
    <row r="690" spans="1:6" x14ac:dyDescent="0.25">
      <c r="A690" t="s">
        <v>716</v>
      </c>
      <c r="B690" t="s">
        <v>177</v>
      </c>
      <c r="C690" t="s">
        <v>574</v>
      </c>
      <c r="D690" t="str">
        <f>HYPERLINK("http://service.sap.com/sap/support/notes/1787373","1787373")</f>
        <v>1787373</v>
      </c>
      <c r="E690">
        <v>1</v>
      </c>
      <c r="F690" t="s">
        <v>1086</v>
      </c>
    </row>
    <row r="691" spans="1:6" x14ac:dyDescent="0.25">
      <c r="A691" t="s">
        <v>716</v>
      </c>
      <c r="B691" t="s">
        <v>180</v>
      </c>
      <c r="C691" t="s">
        <v>575</v>
      </c>
      <c r="D691" t="str">
        <f>HYPERLINK("http://service.sap.com/sap/support/notes/1781450","1781450")</f>
        <v>1781450</v>
      </c>
      <c r="E691">
        <v>2</v>
      </c>
      <c r="F691" t="s">
        <v>1087</v>
      </c>
    </row>
    <row r="692" spans="1:6" x14ac:dyDescent="0.25">
      <c r="A692" t="s">
        <v>716</v>
      </c>
      <c r="B692" t="s">
        <v>180</v>
      </c>
      <c r="C692" t="s">
        <v>575</v>
      </c>
      <c r="D692" t="str">
        <f>HYPERLINK("http://service.sap.com/sap/support/notes/1783253","1783253")</f>
        <v>1783253</v>
      </c>
      <c r="E692">
        <v>1</v>
      </c>
      <c r="F692" t="s">
        <v>1088</v>
      </c>
    </row>
    <row r="693" spans="1:6" x14ac:dyDescent="0.25">
      <c r="A693" t="s">
        <v>716</v>
      </c>
      <c r="B693" t="s">
        <v>180</v>
      </c>
      <c r="C693" t="s">
        <v>575</v>
      </c>
      <c r="D693" t="str">
        <f>HYPERLINK("http://service.sap.com/sap/support/notes/1783438","1783438")</f>
        <v>1783438</v>
      </c>
      <c r="E693">
        <v>1</v>
      </c>
      <c r="F693" t="s">
        <v>1089</v>
      </c>
    </row>
    <row r="694" spans="1:6" x14ac:dyDescent="0.25">
      <c r="A694" t="s">
        <v>716</v>
      </c>
      <c r="B694" t="s">
        <v>180</v>
      </c>
      <c r="C694" t="s">
        <v>575</v>
      </c>
      <c r="D694" t="str">
        <f>HYPERLINK("http://service.sap.com/sap/support/notes/1784117","1784117")</f>
        <v>1784117</v>
      </c>
      <c r="E694">
        <v>1</v>
      </c>
      <c r="F694" t="s">
        <v>1090</v>
      </c>
    </row>
    <row r="695" spans="1:6" x14ac:dyDescent="0.25">
      <c r="A695" t="s">
        <v>716</v>
      </c>
      <c r="B695" t="s">
        <v>180</v>
      </c>
      <c r="C695" t="s">
        <v>575</v>
      </c>
      <c r="D695" t="str">
        <f>HYPERLINK("http://service.sap.com/sap/support/notes/1786336","1786336")</f>
        <v>1786336</v>
      </c>
      <c r="E695">
        <v>1</v>
      </c>
      <c r="F695" t="s">
        <v>1091</v>
      </c>
    </row>
    <row r="696" spans="1:6" x14ac:dyDescent="0.25">
      <c r="A696" t="s">
        <v>716</v>
      </c>
      <c r="B696" t="s">
        <v>183</v>
      </c>
      <c r="C696" t="s">
        <v>184</v>
      </c>
    </row>
    <row r="697" spans="1:6" x14ac:dyDescent="0.25">
      <c r="A697" t="s">
        <v>716</v>
      </c>
      <c r="B697" t="s">
        <v>576</v>
      </c>
      <c r="C697" t="s">
        <v>577</v>
      </c>
      <c r="D697" t="str">
        <f>HYPERLINK("http://service.sap.com/sap/support/notes/1768223","1768223")</f>
        <v>1768223</v>
      </c>
      <c r="E697">
        <v>3</v>
      </c>
      <c r="F697" t="s">
        <v>1092</v>
      </c>
    </row>
    <row r="698" spans="1:6" x14ac:dyDescent="0.25">
      <c r="A698" t="s">
        <v>716</v>
      </c>
      <c r="B698" t="s">
        <v>576</v>
      </c>
      <c r="C698" t="s">
        <v>577</v>
      </c>
      <c r="D698" t="str">
        <f>HYPERLINK("http://service.sap.com/sap/support/notes/1775822","1775822")</f>
        <v>1775822</v>
      </c>
      <c r="E698">
        <v>5</v>
      </c>
      <c r="F698" t="s">
        <v>1093</v>
      </c>
    </row>
    <row r="699" spans="1:6" x14ac:dyDescent="0.25">
      <c r="A699" t="s">
        <v>716</v>
      </c>
      <c r="B699" t="s">
        <v>576</v>
      </c>
      <c r="C699" t="s">
        <v>577</v>
      </c>
      <c r="D699" t="str">
        <f>HYPERLINK("http://service.sap.com/sap/support/notes/1777418","1777418")</f>
        <v>1777418</v>
      </c>
      <c r="E699">
        <v>2</v>
      </c>
      <c r="F699" t="s">
        <v>1094</v>
      </c>
    </row>
    <row r="700" spans="1:6" x14ac:dyDescent="0.25">
      <c r="A700" t="s">
        <v>716</v>
      </c>
      <c r="B700" t="s">
        <v>185</v>
      </c>
      <c r="C700" t="s">
        <v>186</v>
      </c>
      <c r="D700" t="str">
        <f>HYPERLINK("http://service.sap.com/sap/support/notes/1763186","1763186")</f>
        <v>1763186</v>
      </c>
      <c r="E700">
        <v>3</v>
      </c>
      <c r="F700" t="s">
        <v>1095</v>
      </c>
    </row>
    <row r="701" spans="1:6" x14ac:dyDescent="0.25">
      <c r="A701" t="s">
        <v>716</v>
      </c>
      <c r="B701" t="s">
        <v>185</v>
      </c>
      <c r="C701" t="s">
        <v>186</v>
      </c>
      <c r="D701" t="str">
        <f>HYPERLINK("http://service.sap.com/sap/support/notes/1769569","1769569")</f>
        <v>1769569</v>
      </c>
      <c r="E701">
        <v>1</v>
      </c>
      <c r="F701" t="s">
        <v>1096</v>
      </c>
    </row>
    <row r="702" spans="1:6" x14ac:dyDescent="0.25">
      <c r="A702" t="s">
        <v>716</v>
      </c>
      <c r="B702" t="s">
        <v>185</v>
      </c>
      <c r="C702" t="s">
        <v>186</v>
      </c>
      <c r="D702" t="str">
        <f>HYPERLINK("http://service.sap.com/sap/support/notes/1775169","1775169")</f>
        <v>1775169</v>
      </c>
      <c r="E702">
        <v>1</v>
      </c>
      <c r="F702" t="s">
        <v>1097</v>
      </c>
    </row>
    <row r="703" spans="1:6" x14ac:dyDescent="0.25">
      <c r="A703" t="s">
        <v>716</v>
      </c>
      <c r="B703" t="s">
        <v>185</v>
      </c>
      <c r="C703" t="s">
        <v>186</v>
      </c>
      <c r="D703" t="str">
        <f>HYPERLINK("http://service.sap.com/sap/support/notes/1779472","1779472")</f>
        <v>1779472</v>
      </c>
      <c r="E703">
        <v>3</v>
      </c>
      <c r="F703" t="s">
        <v>1098</v>
      </c>
    </row>
    <row r="704" spans="1:6" x14ac:dyDescent="0.25">
      <c r="A704" t="s">
        <v>716</v>
      </c>
      <c r="B704" t="s">
        <v>185</v>
      </c>
      <c r="C704" t="s">
        <v>186</v>
      </c>
      <c r="D704" t="str">
        <f>HYPERLINK("http://service.sap.com/sap/support/notes/1789075","1789075")</f>
        <v>1789075</v>
      </c>
      <c r="E704">
        <v>2</v>
      </c>
      <c r="F704" t="s">
        <v>1099</v>
      </c>
    </row>
    <row r="705" spans="1:6" x14ac:dyDescent="0.25">
      <c r="A705" t="s">
        <v>716</v>
      </c>
      <c r="B705" t="s">
        <v>185</v>
      </c>
      <c r="C705" t="s">
        <v>186</v>
      </c>
      <c r="D705" t="str">
        <f>HYPERLINK("http://service.sap.com/sap/support/notes/1789087","1789087")</f>
        <v>1789087</v>
      </c>
      <c r="E705">
        <v>2</v>
      </c>
      <c r="F705" t="s">
        <v>1100</v>
      </c>
    </row>
    <row r="706" spans="1:6" x14ac:dyDescent="0.25">
      <c r="A706" t="s">
        <v>716</v>
      </c>
      <c r="B706" t="s">
        <v>578</v>
      </c>
      <c r="C706" t="s">
        <v>579</v>
      </c>
      <c r="D706" t="str">
        <f>HYPERLINK("http://service.sap.com/sap/support/notes/1790309","1790309")</f>
        <v>1790309</v>
      </c>
      <c r="E706">
        <v>1</v>
      </c>
      <c r="F706" t="s">
        <v>1101</v>
      </c>
    </row>
    <row r="707" spans="1:6" x14ac:dyDescent="0.25">
      <c r="A707" t="s">
        <v>716</v>
      </c>
      <c r="B707" t="s">
        <v>191</v>
      </c>
      <c r="C707" t="s">
        <v>192</v>
      </c>
      <c r="D707" t="str">
        <f>HYPERLINK("http://service.sap.com/sap/support/notes/1773628","1773628")</f>
        <v>1773628</v>
      </c>
      <c r="E707">
        <v>1</v>
      </c>
      <c r="F707" t="s">
        <v>194</v>
      </c>
    </row>
    <row r="708" spans="1:6" x14ac:dyDescent="0.25">
      <c r="A708" t="s">
        <v>716</v>
      </c>
      <c r="B708" t="s">
        <v>191</v>
      </c>
      <c r="C708" t="s">
        <v>192</v>
      </c>
      <c r="D708" t="str">
        <f>HYPERLINK("http://service.sap.com/sap/support/notes/1778202","1778202")</f>
        <v>1778202</v>
      </c>
      <c r="E708">
        <v>1</v>
      </c>
      <c r="F708" t="s">
        <v>1102</v>
      </c>
    </row>
    <row r="709" spans="1:6" x14ac:dyDescent="0.25">
      <c r="A709" t="s">
        <v>716</v>
      </c>
      <c r="B709" t="s">
        <v>191</v>
      </c>
      <c r="C709" t="s">
        <v>192</v>
      </c>
      <c r="D709" t="str">
        <f>HYPERLINK("http://service.sap.com/sap/support/notes/1779580","1779580")</f>
        <v>1779580</v>
      </c>
      <c r="E709">
        <v>1</v>
      </c>
      <c r="F709" t="s">
        <v>1103</v>
      </c>
    </row>
    <row r="710" spans="1:6" x14ac:dyDescent="0.25">
      <c r="A710" t="s">
        <v>716</v>
      </c>
      <c r="B710" t="s">
        <v>191</v>
      </c>
      <c r="C710" t="s">
        <v>192</v>
      </c>
      <c r="D710" t="str">
        <f>HYPERLINK("http://service.sap.com/sap/support/notes/1789747","1789747")</f>
        <v>1789747</v>
      </c>
      <c r="E710">
        <v>2</v>
      </c>
      <c r="F710" t="s">
        <v>1104</v>
      </c>
    </row>
    <row r="711" spans="1:6" x14ac:dyDescent="0.25">
      <c r="A711" t="s">
        <v>716</v>
      </c>
      <c r="B711" t="s">
        <v>191</v>
      </c>
      <c r="C711" t="s">
        <v>192</v>
      </c>
      <c r="D711" t="str">
        <f>HYPERLINK("http://service.sap.com/sap/support/notes/1790272","1790272")</f>
        <v>1790272</v>
      </c>
      <c r="E711">
        <v>1</v>
      </c>
      <c r="F711" t="s">
        <v>1105</v>
      </c>
    </row>
    <row r="712" spans="1:6" x14ac:dyDescent="0.25">
      <c r="A712" t="s">
        <v>716</v>
      </c>
      <c r="B712" t="s">
        <v>195</v>
      </c>
      <c r="C712" t="s">
        <v>196</v>
      </c>
    </row>
    <row r="713" spans="1:6" x14ac:dyDescent="0.25">
      <c r="A713" t="s">
        <v>716</v>
      </c>
      <c r="B713" t="s">
        <v>197</v>
      </c>
      <c r="C713" t="s">
        <v>198</v>
      </c>
      <c r="D713" t="str">
        <f>HYPERLINK("http://service.sap.com/sap/support/notes/1759032","1759032")</f>
        <v>1759032</v>
      </c>
      <c r="E713">
        <v>16</v>
      </c>
      <c r="F713" t="s">
        <v>1106</v>
      </c>
    </row>
    <row r="714" spans="1:6" x14ac:dyDescent="0.25">
      <c r="A714" t="s">
        <v>716</v>
      </c>
      <c r="B714" t="s">
        <v>197</v>
      </c>
      <c r="C714" t="s">
        <v>198</v>
      </c>
      <c r="D714" t="str">
        <f>HYPERLINK("http://service.sap.com/sap/support/notes/1773292","1773292")</f>
        <v>1773292</v>
      </c>
      <c r="E714">
        <v>4</v>
      </c>
      <c r="F714" t="s">
        <v>1107</v>
      </c>
    </row>
    <row r="715" spans="1:6" x14ac:dyDescent="0.25">
      <c r="A715" t="s">
        <v>716</v>
      </c>
      <c r="B715" t="s">
        <v>197</v>
      </c>
      <c r="C715" t="s">
        <v>198</v>
      </c>
      <c r="D715" t="str">
        <f>HYPERLINK("http://service.sap.com/sap/support/notes/1775617","1775617")</f>
        <v>1775617</v>
      </c>
      <c r="E715">
        <v>2</v>
      </c>
      <c r="F715" t="s">
        <v>1108</v>
      </c>
    </row>
    <row r="716" spans="1:6" x14ac:dyDescent="0.25">
      <c r="A716" t="s">
        <v>716</v>
      </c>
      <c r="B716" t="s">
        <v>197</v>
      </c>
      <c r="C716" t="s">
        <v>198</v>
      </c>
      <c r="D716" t="str">
        <f>HYPERLINK("http://service.sap.com/sap/support/notes/1791063","1791063")</f>
        <v>1791063</v>
      </c>
      <c r="E716">
        <v>1</v>
      </c>
      <c r="F716" t="s">
        <v>1109</v>
      </c>
    </row>
    <row r="717" spans="1:6" x14ac:dyDescent="0.25">
      <c r="A717" t="s">
        <v>716</v>
      </c>
      <c r="B717" t="s">
        <v>666</v>
      </c>
      <c r="C717" t="s">
        <v>667</v>
      </c>
      <c r="D717" t="str">
        <f>HYPERLINK("http://service.sap.com/sap/support/notes/1729091","1729091")</f>
        <v>1729091</v>
      </c>
      <c r="E717">
        <v>2</v>
      </c>
      <c r="F717" t="s">
        <v>1110</v>
      </c>
    </row>
    <row r="718" spans="1:6" x14ac:dyDescent="0.25">
      <c r="A718" t="s">
        <v>716</v>
      </c>
      <c r="B718" t="s">
        <v>666</v>
      </c>
      <c r="C718" t="s">
        <v>667</v>
      </c>
      <c r="D718" t="str">
        <f>HYPERLINK("http://service.sap.com/sap/support/notes/1763116","1763116")</f>
        <v>1763116</v>
      </c>
      <c r="E718">
        <v>4</v>
      </c>
      <c r="F718" t="s">
        <v>1111</v>
      </c>
    </row>
    <row r="719" spans="1:6" x14ac:dyDescent="0.25">
      <c r="A719" t="s">
        <v>716</v>
      </c>
      <c r="B719" t="s">
        <v>666</v>
      </c>
      <c r="C719" t="s">
        <v>667</v>
      </c>
      <c r="D719" t="str">
        <f>HYPERLINK("http://service.sap.com/sap/support/notes/1774787","1774787")</f>
        <v>1774787</v>
      </c>
      <c r="E719">
        <v>3</v>
      </c>
      <c r="F719" t="s">
        <v>1112</v>
      </c>
    </row>
    <row r="720" spans="1:6" x14ac:dyDescent="0.25">
      <c r="A720" t="s">
        <v>716</v>
      </c>
      <c r="B720" t="s">
        <v>666</v>
      </c>
      <c r="C720" t="s">
        <v>667</v>
      </c>
      <c r="D720" t="str">
        <f>HYPERLINK("http://service.sap.com/sap/support/notes/1778943","1778943")</f>
        <v>1778943</v>
      </c>
      <c r="E720">
        <v>2</v>
      </c>
      <c r="F720" t="s">
        <v>1113</v>
      </c>
    </row>
    <row r="721" spans="1:6" x14ac:dyDescent="0.25">
      <c r="A721" t="s">
        <v>716</v>
      </c>
      <c r="B721" t="s">
        <v>666</v>
      </c>
      <c r="C721" t="s">
        <v>667</v>
      </c>
      <c r="D721" t="str">
        <f>HYPERLINK("http://service.sap.com/sap/support/notes/1784619","1784619")</f>
        <v>1784619</v>
      </c>
      <c r="E721">
        <v>1</v>
      </c>
      <c r="F721" t="s">
        <v>1114</v>
      </c>
    </row>
    <row r="722" spans="1:6" x14ac:dyDescent="0.25">
      <c r="A722" t="s">
        <v>716</v>
      </c>
      <c r="B722" t="s">
        <v>666</v>
      </c>
      <c r="C722" t="s">
        <v>667</v>
      </c>
      <c r="D722" t="str">
        <f>HYPERLINK("http://service.sap.com/sap/support/notes/1790127","1790127")</f>
        <v>1790127</v>
      </c>
      <c r="E722">
        <v>1</v>
      </c>
      <c r="F722" t="s">
        <v>1115</v>
      </c>
    </row>
    <row r="723" spans="1:6" x14ac:dyDescent="0.25">
      <c r="A723" t="s">
        <v>716</v>
      </c>
      <c r="B723" t="s">
        <v>201</v>
      </c>
      <c r="C723" t="s">
        <v>202</v>
      </c>
      <c r="D723" t="str">
        <f>HYPERLINK("http://service.sap.com/sap/support/notes/1693909","1693909")</f>
        <v>1693909</v>
      </c>
      <c r="E723">
        <v>1</v>
      </c>
      <c r="F723" t="s">
        <v>1116</v>
      </c>
    </row>
    <row r="724" spans="1:6" x14ac:dyDescent="0.25">
      <c r="A724" t="s">
        <v>716</v>
      </c>
      <c r="B724" t="s">
        <v>201</v>
      </c>
      <c r="C724" t="s">
        <v>202</v>
      </c>
      <c r="D724" t="str">
        <f>HYPERLINK("http://service.sap.com/sap/support/notes/1710408","1710408")</f>
        <v>1710408</v>
      </c>
      <c r="E724">
        <v>1</v>
      </c>
      <c r="F724" t="s">
        <v>1117</v>
      </c>
    </row>
    <row r="725" spans="1:6" x14ac:dyDescent="0.25">
      <c r="A725" t="s">
        <v>716</v>
      </c>
      <c r="B725" t="s">
        <v>201</v>
      </c>
      <c r="C725" t="s">
        <v>202</v>
      </c>
      <c r="D725" t="str">
        <f>HYPERLINK("http://service.sap.com/sap/support/notes/1753058","1753058")</f>
        <v>1753058</v>
      </c>
      <c r="E725">
        <v>1</v>
      </c>
      <c r="F725" t="s">
        <v>1118</v>
      </c>
    </row>
    <row r="726" spans="1:6" x14ac:dyDescent="0.25">
      <c r="A726" t="s">
        <v>716</v>
      </c>
      <c r="B726" t="s">
        <v>201</v>
      </c>
      <c r="C726" t="s">
        <v>202</v>
      </c>
      <c r="D726" t="str">
        <f>HYPERLINK("http://service.sap.com/sap/support/notes/1775734","1775734")</f>
        <v>1775734</v>
      </c>
      <c r="E726">
        <v>2</v>
      </c>
      <c r="F726" t="s">
        <v>1119</v>
      </c>
    </row>
    <row r="727" spans="1:6" x14ac:dyDescent="0.25">
      <c r="A727" t="s">
        <v>716</v>
      </c>
      <c r="B727" t="s">
        <v>201</v>
      </c>
      <c r="C727" t="s">
        <v>202</v>
      </c>
      <c r="D727" t="str">
        <f>HYPERLINK("http://service.sap.com/sap/support/notes/1786396","1786396")</f>
        <v>1786396</v>
      </c>
      <c r="E727">
        <v>1</v>
      </c>
      <c r="F727" t="s">
        <v>1120</v>
      </c>
    </row>
    <row r="728" spans="1:6" x14ac:dyDescent="0.25">
      <c r="A728" t="s">
        <v>716</v>
      </c>
      <c r="B728" t="s">
        <v>201</v>
      </c>
      <c r="C728" t="s">
        <v>202</v>
      </c>
      <c r="D728" t="str">
        <f>HYPERLINK("http://service.sap.com/sap/support/notes/1790085","1790085")</f>
        <v>1790085</v>
      </c>
      <c r="E728">
        <v>1</v>
      </c>
      <c r="F728" t="s">
        <v>1121</v>
      </c>
    </row>
    <row r="729" spans="1:6" x14ac:dyDescent="0.25">
      <c r="A729" t="s">
        <v>716</v>
      </c>
      <c r="B729" t="s">
        <v>580</v>
      </c>
      <c r="C729" t="s">
        <v>581</v>
      </c>
      <c r="D729" t="str">
        <f>HYPERLINK("http://service.sap.com/sap/support/notes/1790291","1790291")</f>
        <v>1790291</v>
      </c>
      <c r="E729">
        <v>1</v>
      </c>
      <c r="F729" t="s">
        <v>1122</v>
      </c>
    </row>
    <row r="730" spans="1:6" x14ac:dyDescent="0.25">
      <c r="A730" t="s">
        <v>716</v>
      </c>
      <c r="B730" t="s">
        <v>582</v>
      </c>
      <c r="C730" t="s">
        <v>583</v>
      </c>
      <c r="D730" t="str">
        <f>HYPERLINK("http://service.sap.com/sap/support/notes/1781370","1781370")</f>
        <v>1781370</v>
      </c>
      <c r="E730">
        <v>1</v>
      </c>
      <c r="F730" t="s">
        <v>1123</v>
      </c>
    </row>
    <row r="731" spans="1:6" x14ac:dyDescent="0.25">
      <c r="A731" t="s">
        <v>716</v>
      </c>
      <c r="B731" t="s">
        <v>204</v>
      </c>
      <c r="C731" t="s">
        <v>205</v>
      </c>
      <c r="D731" t="str">
        <f>HYPERLINK("http://service.sap.com/sap/support/notes/1778416","1778416")</f>
        <v>1778416</v>
      </c>
      <c r="E731">
        <v>3</v>
      </c>
      <c r="F731" t="s">
        <v>1124</v>
      </c>
    </row>
    <row r="732" spans="1:6" x14ac:dyDescent="0.25">
      <c r="A732" t="s">
        <v>716</v>
      </c>
      <c r="B732" t="s">
        <v>204</v>
      </c>
      <c r="C732" t="s">
        <v>205</v>
      </c>
      <c r="D732" t="str">
        <f>HYPERLINK("http://service.sap.com/sap/support/notes/1779649","1779649")</f>
        <v>1779649</v>
      </c>
      <c r="E732">
        <v>1</v>
      </c>
      <c r="F732" t="s">
        <v>1125</v>
      </c>
    </row>
    <row r="733" spans="1:6" x14ac:dyDescent="0.25">
      <c r="A733" t="s">
        <v>716</v>
      </c>
      <c r="B733" t="s">
        <v>204</v>
      </c>
      <c r="C733" t="s">
        <v>205</v>
      </c>
      <c r="D733" t="str">
        <f>HYPERLINK("http://service.sap.com/sap/support/notes/1784703","1784703")</f>
        <v>1784703</v>
      </c>
      <c r="E733">
        <v>2</v>
      </c>
      <c r="F733" t="s">
        <v>1126</v>
      </c>
    </row>
    <row r="734" spans="1:6" x14ac:dyDescent="0.25">
      <c r="A734" t="s">
        <v>716</v>
      </c>
      <c r="B734" t="s">
        <v>204</v>
      </c>
      <c r="C734" t="s">
        <v>205</v>
      </c>
      <c r="D734" t="str">
        <f>HYPERLINK("http://service.sap.com/sap/support/notes/1789809","1789809")</f>
        <v>1789809</v>
      </c>
      <c r="E734">
        <v>6</v>
      </c>
      <c r="F734" t="s">
        <v>1127</v>
      </c>
    </row>
    <row r="735" spans="1:6" x14ac:dyDescent="0.25">
      <c r="A735" t="s">
        <v>716</v>
      </c>
      <c r="B735" t="s">
        <v>204</v>
      </c>
      <c r="C735" t="s">
        <v>205</v>
      </c>
      <c r="D735" t="str">
        <f>HYPERLINK("http://service.sap.com/sap/support/notes/1790162","1790162")</f>
        <v>1790162</v>
      </c>
      <c r="E735">
        <v>1</v>
      </c>
      <c r="F735" t="s">
        <v>1128</v>
      </c>
    </row>
    <row r="736" spans="1:6" x14ac:dyDescent="0.25">
      <c r="A736" t="s">
        <v>716</v>
      </c>
      <c r="B736" t="s">
        <v>211</v>
      </c>
      <c r="C736" t="s">
        <v>128</v>
      </c>
      <c r="D736" t="str">
        <f>HYPERLINK("http://service.sap.com/sap/support/notes/1745634","1745634")</f>
        <v>1745634</v>
      </c>
      <c r="E736">
        <v>6</v>
      </c>
      <c r="F736" t="s">
        <v>1129</v>
      </c>
    </row>
    <row r="737" spans="1:6" x14ac:dyDescent="0.25">
      <c r="A737" t="s">
        <v>716</v>
      </c>
      <c r="B737" t="s">
        <v>211</v>
      </c>
      <c r="C737" t="s">
        <v>128</v>
      </c>
      <c r="D737" t="str">
        <f>HYPERLINK("http://service.sap.com/sap/support/notes/1759506","1759506")</f>
        <v>1759506</v>
      </c>
      <c r="E737">
        <v>1</v>
      </c>
      <c r="F737" t="s">
        <v>1130</v>
      </c>
    </row>
    <row r="738" spans="1:6" x14ac:dyDescent="0.25">
      <c r="A738" t="s">
        <v>716</v>
      </c>
      <c r="B738" t="s">
        <v>211</v>
      </c>
      <c r="C738" t="s">
        <v>128</v>
      </c>
      <c r="D738" t="str">
        <f>HYPERLINK("http://service.sap.com/sap/support/notes/1761570","1761570")</f>
        <v>1761570</v>
      </c>
      <c r="E738">
        <v>1</v>
      </c>
      <c r="F738" t="s">
        <v>1131</v>
      </c>
    </row>
    <row r="739" spans="1:6" x14ac:dyDescent="0.25">
      <c r="A739" t="s">
        <v>716</v>
      </c>
      <c r="B739" t="s">
        <v>211</v>
      </c>
      <c r="C739" t="s">
        <v>128</v>
      </c>
      <c r="D739" t="str">
        <f>HYPERLINK("http://service.sap.com/sap/support/notes/1766115","1766115")</f>
        <v>1766115</v>
      </c>
      <c r="E739">
        <v>1</v>
      </c>
      <c r="F739" t="s">
        <v>1132</v>
      </c>
    </row>
    <row r="740" spans="1:6" x14ac:dyDescent="0.25">
      <c r="A740" t="s">
        <v>716</v>
      </c>
      <c r="B740" t="s">
        <v>211</v>
      </c>
      <c r="C740" t="s">
        <v>128</v>
      </c>
      <c r="D740" t="str">
        <f>HYPERLINK("http://service.sap.com/sap/support/notes/1767310","1767310")</f>
        <v>1767310</v>
      </c>
      <c r="E740">
        <v>2</v>
      </c>
      <c r="F740" t="s">
        <v>1133</v>
      </c>
    </row>
    <row r="741" spans="1:6" x14ac:dyDescent="0.25">
      <c r="A741" t="s">
        <v>716</v>
      </c>
      <c r="B741" t="s">
        <v>211</v>
      </c>
      <c r="C741" t="s">
        <v>128</v>
      </c>
      <c r="D741" t="str">
        <f>HYPERLINK("http://service.sap.com/sap/support/notes/1768224","1768224")</f>
        <v>1768224</v>
      </c>
      <c r="E741">
        <v>5</v>
      </c>
      <c r="F741" t="s">
        <v>1134</v>
      </c>
    </row>
    <row r="742" spans="1:6" x14ac:dyDescent="0.25">
      <c r="A742" t="s">
        <v>716</v>
      </c>
      <c r="B742" t="s">
        <v>211</v>
      </c>
      <c r="C742" t="s">
        <v>128</v>
      </c>
      <c r="D742" t="str">
        <f>HYPERLINK("http://service.sap.com/sap/support/notes/1772067","1772067")</f>
        <v>1772067</v>
      </c>
      <c r="E742">
        <v>2</v>
      </c>
      <c r="F742" t="s">
        <v>1135</v>
      </c>
    </row>
    <row r="743" spans="1:6" x14ac:dyDescent="0.25">
      <c r="A743" t="s">
        <v>716</v>
      </c>
      <c r="B743" t="s">
        <v>211</v>
      </c>
      <c r="C743" t="s">
        <v>128</v>
      </c>
      <c r="D743" t="str">
        <f>HYPERLINK("http://service.sap.com/sap/support/notes/1780665","1780665")</f>
        <v>1780665</v>
      </c>
      <c r="E743">
        <v>5</v>
      </c>
      <c r="F743" t="s">
        <v>1136</v>
      </c>
    </row>
    <row r="744" spans="1:6" x14ac:dyDescent="0.25">
      <c r="A744" t="s">
        <v>716</v>
      </c>
      <c r="B744" t="s">
        <v>211</v>
      </c>
      <c r="C744" t="s">
        <v>128</v>
      </c>
      <c r="D744" t="str">
        <f>HYPERLINK("http://service.sap.com/sap/support/notes/1780766","1780766")</f>
        <v>1780766</v>
      </c>
      <c r="E744">
        <v>1</v>
      </c>
      <c r="F744" t="s">
        <v>1137</v>
      </c>
    </row>
    <row r="745" spans="1:6" x14ac:dyDescent="0.25">
      <c r="A745" t="s">
        <v>716</v>
      </c>
      <c r="B745" t="s">
        <v>211</v>
      </c>
      <c r="C745" t="s">
        <v>128</v>
      </c>
      <c r="D745" t="str">
        <f>HYPERLINK("http://service.sap.com/sap/support/notes/1784841","1784841")</f>
        <v>1784841</v>
      </c>
      <c r="E745">
        <v>2</v>
      </c>
      <c r="F745" t="s">
        <v>1138</v>
      </c>
    </row>
    <row r="746" spans="1:6" x14ac:dyDescent="0.25">
      <c r="A746" t="s">
        <v>716</v>
      </c>
      <c r="B746" t="s">
        <v>211</v>
      </c>
      <c r="C746" t="s">
        <v>128</v>
      </c>
      <c r="D746" t="str">
        <f>HYPERLINK("http://service.sap.com/sap/support/notes/1786882","1786882")</f>
        <v>1786882</v>
      </c>
      <c r="E746">
        <v>2</v>
      </c>
      <c r="F746" t="s">
        <v>1139</v>
      </c>
    </row>
    <row r="747" spans="1:6" x14ac:dyDescent="0.25">
      <c r="A747" t="s">
        <v>716</v>
      </c>
      <c r="B747" t="s">
        <v>211</v>
      </c>
      <c r="C747" t="s">
        <v>128</v>
      </c>
      <c r="D747" t="str">
        <f>HYPERLINK("http://service.sap.com/sap/support/notes/1789593","1789593")</f>
        <v>1789593</v>
      </c>
      <c r="E747">
        <v>1</v>
      </c>
      <c r="F747" t="s">
        <v>1140</v>
      </c>
    </row>
    <row r="748" spans="1:6" x14ac:dyDescent="0.25">
      <c r="A748" t="s">
        <v>716</v>
      </c>
      <c r="B748" t="s">
        <v>211</v>
      </c>
      <c r="C748" t="s">
        <v>128</v>
      </c>
      <c r="D748" t="str">
        <f>HYPERLINK("http://service.sap.com/sap/support/notes/1790319","1790319")</f>
        <v>1790319</v>
      </c>
      <c r="E748">
        <v>1</v>
      </c>
      <c r="F748" t="s">
        <v>1141</v>
      </c>
    </row>
    <row r="749" spans="1:6" x14ac:dyDescent="0.25">
      <c r="A749" t="s">
        <v>716</v>
      </c>
      <c r="B749" t="s">
        <v>211</v>
      </c>
      <c r="C749" t="s">
        <v>128</v>
      </c>
      <c r="D749" t="str">
        <f>HYPERLINK("http://service.sap.com/sap/support/notes/1793289","1793289")</f>
        <v>1793289</v>
      </c>
      <c r="E749">
        <v>1</v>
      </c>
      <c r="F749" t="s">
        <v>1142</v>
      </c>
    </row>
    <row r="750" spans="1:6" x14ac:dyDescent="0.25">
      <c r="A750" t="s">
        <v>716</v>
      </c>
      <c r="B750" t="s">
        <v>218</v>
      </c>
      <c r="C750" t="s">
        <v>584</v>
      </c>
      <c r="D750" t="str">
        <f>HYPERLINK("http://service.sap.com/sap/support/notes/1781200","1781200")</f>
        <v>1781200</v>
      </c>
      <c r="E750">
        <v>1</v>
      </c>
      <c r="F750" t="s">
        <v>1143</v>
      </c>
    </row>
    <row r="751" spans="1:6" x14ac:dyDescent="0.25">
      <c r="A751" t="s">
        <v>716</v>
      </c>
      <c r="B751" t="s">
        <v>221</v>
      </c>
      <c r="C751" t="s">
        <v>585</v>
      </c>
      <c r="D751" t="str">
        <f>HYPERLINK("http://service.sap.com/sap/support/notes/1722056","1722056")</f>
        <v>1722056</v>
      </c>
      <c r="E751">
        <v>3</v>
      </c>
      <c r="F751" t="s">
        <v>1144</v>
      </c>
    </row>
    <row r="752" spans="1:6" x14ac:dyDescent="0.25">
      <c r="A752" t="s">
        <v>716</v>
      </c>
      <c r="B752" t="s">
        <v>221</v>
      </c>
      <c r="C752" t="s">
        <v>585</v>
      </c>
      <c r="D752" t="str">
        <f>HYPERLINK("http://service.sap.com/sap/support/notes/1745966","1745966")</f>
        <v>1745966</v>
      </c>
      <c r="E752">
        <v>3</v>
      </c>
      <c r="F752" t="s">
        <v>1145</v>
      </c>
    </row>
    <row r="753" spans="1:6" x14ac:dyDescent="0.25">
      <c r="A753" t="s">
        <v>716</v>
      </c>
      <c r="B753" t="s">
        <v>221</v>
      </c>
      <c r="C753" t="s">
        <v>585</v>
      </c>
      <c r="D753" t="str">
        <f>HYPERLINK("http://service.sap.com/sap/support/notes/1746160","1746160")</f>
        <v>1746160</v>
      </c>
      <c r="E753">
        <v>3</v>
      </c>
      <c r="F753" t="s">
        <v>1146</v>
      </c>
    </row>
    <row r="754" spans="1:6" x14ac:dyDescent="0.25">
      <c r="A754" t="s">
        <v>716</v>
      </c>
      <c r="B754" t="s">
        <v>221</v>
      </c>
      <c r="C754" t="s">
        <v>585</v>
      </c>
      <c r="D754" t="str">
        <f>HYPERLINK("http://service.sap.com/sap/support/notes/1755929","1755929")</f>
        <v>1755929</v>
      </c>
      <c r="E754">
        <v>1</v>
      </c>
      <c r="F754" t="s">
        <v>1147</v>
      </c>
    </row>
    <row r="755" spans="1:6" x14ac:dyDescent="0.25">
      <c r="A755" t="s">
        <v>716</v>
      </c>
      <c r="B755" t="s">
        <v>221</v>
      </c>
      <c r="C755" t="s">
        <v>585</v>
      </c>
      <c r="D755" t="str">
        <f>HYPERLINK("http://service.sap.com/sap/support/notes/1756083","1756083")</f>
        <v>1756083</v>
      </c>
      <c r="E755">
        <v>3</v>
      </c>
      <c r="F755" t="s">
        <v>1148</v>
      </c>
    </row>
    <row r="756" spans="1:6" x14ac:dyDescent="0.25">
      <c r="A756" t="s">
        <v>716</v>
      </c>
      <c r="B756" t="s">
        <v>221</v>
      </c>
      <c r="C756" t="s">
        <v>585</v>
      </c>
      <c r="D756" t="str">
        <f>HYPERLINK("http://service.sap.com/sap/support/notes/1759277","1759277")</f>
        <v>1759277</v>
      </c>
      <c r="E756">
        <v>2</v>
      </c>
      <c r="F756" t="s">
        <v>1149</v>
      </c>
    </row>
    <row r="757" spans="1:6" x14ac:dyDescent="0.25">
      <c r="A757" t="s">
        <v>716</v>
      </c>
      <c r="B757" t="s">
        <v>221</v>
      </c>
      <c r="C757" t="s">
        <v>585</v>
      </c>
      <c r="D757" t="str">
        <f>HYPERLINK("http://service.sap.com/sap/support/notes/1761270","1761270")</f>
        <v>1761270</v>
      </c>
      <c r="E757">
        <v>4</v>
      </c>
      <c r="F757" t="s">
        <v>1150</v>
      </c>
    </row>
    <row r="758" spans="1:6" x14ac:dyDescent="0.25">
      <c r="A758" t="s">
        <v>716</v>
      </c>
      <c r="B758" t="s">
        <v>221</v>
      </c>
      <c r="C758" t="s">
        <v>585</v>
      </c>
      <c r="D758" t="str">
        <f>HYPERLINK("http://service.sap.com/sap/support/notes/1776133","1776133")</f>
        <v>1776133</v>
      </c>
      <c r="E758">
        <v>1</v>
      </c>
      <c r="F758" t="s">
        <v>1151</v>
      </c>
    </row>
    <row r="759" spans="1:6" x14ac:dyDescent="0.25">
      <c r="A759" t="s">
        <v>716</v>
      </c>
      <c r="B759" t="s">
        <v>221</v>
      </c>
      <c r="C759" t="s">
        <v>585</v>
      </c>
      <c r="D759" t="str">
        <f>HYPERLINK("http://service.sap.com/sap/support/notes/1777225","1777225")</f>
        <v>1777225</v>
      </c>
      <c r="E759">
        <v>1</v>
      </c>
      <c r="F759" t="s">
        <v>1152</v>
      </c>
    </row>
    <row r="760" spans="1:6" x14ac:dyDescent="0.25">
      <c r="A760" t="s">
        <v>716</v>
      </c>
      <c r="B760" t="s">
        <v>221</v>
      </c>
      <c r="C760" t="s">
        <v>585</v>
      </c>
      <c r="D760" t="str">
        <f>HYPERLINK("http://service.sap.com/sap/support/notes/1781749","1781749")</f>
        <v>1781749</v>
      </c>
      <c r="E760">
        <v>1</v>
      </c>
      <c r="F760" t="s">
        <v>1153</v>
      </c>
    </row>
    <row r="761" spans="1:6" x14ac:dyDescent="0.25">
      <c r="A761" t="s">
        <v>716</v>
      </c>
      <c r="B761" t="s">
        <v>221</v>
      </c>
      <c r="C761" t="s">
        <v>585</v>
      </c>
      <c r="D761" t="str">
        <f>HYPERLINK("http://service.sap.com/sap/support/notes/1784860","1784860")</f>
        <v>1784860</v>
      </c>
      <c r="E761">
        <v>1</v>
      </c>
      <c r="F761" t="s">
        <v>1154</v>
      </c>
    </row>
    <row r="762" spans="1:6" x14ac:dyDescent="0.25">
      <c r="A762" t="s">
        <v>716</v>
      </c>
      <c r="B762" t="s">
        <v>221</v>
      </c>
      <c r="C762" t="s">
        <v>585</v>
      </c>
      <c r="D762" t="str">
        <f>HYPERLINK("http://service.sap.com/sap/support/notes/1786517","1786517")</f>
        <v>1786517</v>
      </c>
      <c r="E762">
        <v>1</v>
      </c>
      <c r="F762" t="s">
        <v>1155</v>
      </c>
    </row>
    <row r="763" spans="1:6" x14ac:dyDescent="0.25">
      <c r="A763" t="s">
        <v>716</v>
      </c>
      <c r="B763" t="s">
        <v>221</v>
      </c>
      <c r="C763" t="s">
        <v>585</v>
      </c>
      <c r="D763" t="str">
        <f>HYPERLINK("http://service.sap.com/sap/support/notes/1790876","1790876")</f>
        <v>1790876</v>
      </c>
      <c r="E763">
        <v>2</v>
      </c>
      <c r="F763" t="s">
        <v>1156</v>
      </c>
    </row>
    <row r="764" spans="1:6" x14ac:dyDescent="0.25">
      <c r="A764" t="s">
        <v>716</v>
      </c>
      <c r="B764" t="s">
        <v>586</v>
      </c>
      <c r="C764" t="s">
        <v>587</v>
      </c>
      <c r="D764" t="str">
        <f>HYPERLINK("http://service.sap.com/sap/support/notes/1747099","1747099")</f>
        <v>1747099</v>
      </c>
      <c r="E764">
        <v>6</v>
      </c>
      <c r="F764" t="s">
        <v>1157</v>
      </c>
    </row>
    <row r="765" spans="1:6" x14ac:dyDescent="0.25">
      <c r="A765" t="s">
        <v>716</v>
      </c>
      <c r="B765" t="s">
        <v>586</v>
      </c>
      <c r="C765" t="s">
        <v>587</v>
      </c>
      <c r="D765" t="str">
        <f>HYPERLINK("http://service.sap.com/sap/support/notes/1772302","1772302")</f>
        <v>1772302</v>
      </c>
      <c r="E765">
        <v>3</v>
      </c>
      <c r="F765" t="s">
        <v>1158</v>
      </c>
    </row>
    <row r="766" spans="1:6" x14ac:dyDescent="0.25">
      <c r="A766" t="s">
        <v>716</v>
      </c>
      <c r="B766" t="s">
        <v>586</v>
      </c>
      <c r="C766" t="s">
        <v>587</v>
      </c>
      <c r="D766" t="str">
        <f>HYPERLINK("http://service.sap.com/sap/support/notes/1782045","1782045")</f>
        <v>1782045</v>
      </c>
      <c r="E766">
        <v>2</v>
      </c>
      <c r="F766" t="s">
        <v>1159</v>
      </c>
    </row>
    <row r="767" spans="1:6" x14ac:dyDescent="0.25">
      <c r="A767" t="s">
        <v>716</v>
      </c>
      <c r="B767" t="s">
        <v>586</v>
      </c>
      <c r="C767" t="s">
        <v>587</v>
      </c>
      <c r="D767" t="str">
        <f>HYPERLINK("http://service.sap.com/sap/support/notes/1782155","1782155")</f>
        <v>1782155</v>
      </c>
      <c r="E767">
        <v>2</v>
      </c>
      <c r="F767" t="s">
        <v>1160</v>
      </c>
    </row>
    <row r="768" spans="1:6" x14ac:dyDescent="0.25">
      <c r="A768" t="s">
        <v>716</v>
      </c>
      <c r="B768" t="s">
        <v>586</v>
      </c>
      <c r="C768" t="s">
        <v>587</v>
      </c>
      <c r="D768" t="str">
        <f>HYPERLINK("http://service.sap.com/sap/support/notes/1783365","1783365")</f>
        <v>1783365</v>
      </c>
      <c r="E768">
        <v>3</v>
      </c>
      <c r="F768" t="s">
        <v>1161</v>
      </c>
    </row>
    <row r="769" spans="1:6" x14ac:dyDescent="0.25">
      <c r="A769" t="s">
        <v>716</v>
      </c>
      <c r="B769" t="s">
        <v>586</v>
      </c>
      <c r="C769" t="s">
        <v>587</v>
      </c>
      <c r="D769" t="str">
        <f>HYPERLINK("http://service.sap.com/sap/support/notes/1788625","1788625")</f>
        <v>1788625</v>
      </c>
      <c r="E769">
        <v>2</v>
      </c>
      <c r="F769" t="s">
        <v>1162</v>
      </c>
    </row>
    <row r="770" spans="1:6" x14ac:dyDescent="0.25">
      <c r="A770" t="s">
        <v>716</v>
      </c>
      <c r="B770" t="s">
        <v>586</v>
      </c>
      <c r="C770" t="s">
        <v>587</v>
      </c>
      <c r="D770" t="str">
        <f>HYPERLINK("http://service.sap.com/sap/support/notes/1790675","1790675")</f>
        <v>1790675</v>
      </c>
      <c r="E770">
        <v>2</v>
      </c>
      <c r="F770" t="s">
        <v>1163</v>
      </c>
    </row>
    <row r="771" spans="1:6" x14ac:dyDescent="0.25">
      <c r="A771" t="s">
        <v>716</v>
      </c>
      <c r="B771" t="s">
        <v>224</v>
      </c>
      <c r="C771" t="s">
        <v>156</v>
      </c>
    </row>
    <row r="772" spans="1:6" x14ac:dyDescent="0.25">
      <c r="A772" t="s">
        <v>716</v>
      </c>
      <c r="B772" t="s">
        <v>225</v>
      </c>
      <c r="C772" t="s">
        <v>588</v>
      </c>
      <c r="D772" t="str">
        <f>HYPERLINK("http://service.sap.com/sap/support/notes/1773944","1773944")</f>
        <v>1773944</v>
      </c>
      <c r="E772">
        <v>1</v>
      </c>
      <c r="F772" t="s">
        <v>1164</v>
      </c>
    </row>
    <row r="773" spans="1:6" x14ac:dyDescent="0.25">
      <c r="A773" t="s">
        <v>716</v>
      </c>
      <c r="B773" t="s">
        <v>225</v>
      </c>
      <c r="C773" t="s">
        <v>588</v>
      </c>
      <c r="D773" t="str">
        <f>HYPERLINK("http://service.sap.com/sap/support/notes/1779177","1779177")</f>
        <v>1779177</v>
      </c>
      <c r="E773">
        <v>3</v>
      </c>
      <c r="F773" t="s">
        <v>1165</v>
      </c>
    </row>
    <row r="774" spans="1:6" x14ac:dyDescent="0.25">
      <c r="A774" t="s">
        <v>716</v>
      </c>
      <c r="B774" t="s">
        <v>589</v>
      </c>
      <c r="C774" t="s">
        <v>590</v>
      </c>
      <c r="D774" t="str">
        <f>HYPERLINK("http://service.sap.com/sap/support/notes/1784561","1784561")</f>
        <v>1784561</v>
      </c>
      <c r="E774">
        <v>2</v>
      </c>
      <c r="F774" t="s">
        <v>1166</v>
      </c>
    </row>
    <row r="775" spans="1:6" x14ac:dyDescent="0.25">
      <c r="A775" t="s">
        <v>716</v>
      </c>
      <c r="B775" t="s">
        <v>1167</v>
      </c>
      <c r="C775" t="s">
        <v>659</v>
      </c>
      <c r="D775" t="str">
        <f>HYPERLINK("http://service.sap.com/sap/support/notes/1789805","1789805")</f>
        <v>1789805</v>
      </c>
      <c r="E775">
        <v>1</v>
      </c>
      <c r="F775" t="s">
        <v>1168</v>
      </c>
    </row>
    <row r="776" spans="1:6" x14ac:dyDescent="0.25">
      <c r="A776" t="s">
        <v>716</v>
      </c>
      <c r="B776" t="s">
        <v>229</v>
      </c>
      <c r="C776" t="s">
        <v>230</v>
      </c>
      <c r="D776" t="str">
        <f>HYPERLINK("http://service.sap.com/sap/support/notes/1017716","1017716")</f>
        <v>1017716</v>
      </c>
      <c r="E776">
        <v>1</v>
      </c>
      <c r="F776" t="s">
        <v>1169</v>
      </c>
    </row>
    <row r="777" spans="1:6" x14ac:dyDescent="0.25">
      <c r="A777" t="s">
        <v>716</v>
      </c>
      <c r="B777" t="s">
        <v>229</v>
      </c>
      <c r="C777" t="s">
        <v>230</v>
      </c>
      <c r="D777" t="str">
        <f>HYPERLINK("http://service.sap.com/sap/support/notes/1647779","1647779")</f>
        <v>1647779</v>
      </c>
      <c r="E777">
        <v>6</v>
      </c>
      <c r="F777" t="s">
        <v>1170</v>
      </c>
    </row>
    <row r="778" spans="1:6" x14ac:dyDescent="0.25">
      <c r="A778" t="s">
        <v>716</v>
      </c>
      <c r="B778" t="s">
        <v>229</v>
      </c>
      <c r="C778" t="s">
        <v>230</v>
      </c>
      <c r="D778" t="str">
        <f>HYPERLINK("http://service.sap.com/sap/support/notes/1676204","1676204")</f>
        <v>1676204</v>
      </c>
      <c r="E778">
        <v>3</v>
      </c>
      <c r="F778" t="s">
        <v>1171</v>
      </c>
    </row>
    <row r="779" spans="1:6" x14ac:dyDescent="0.25">
      <c r="A779" t="s">
        <v>716</v>
      </c>
      <c r="B779" t="s">
        <v>229</v>
      </c>
      <c r="C779" t="s">
        <v>230</v>
      </c>
      <c r="D779" t="str">
        <f>HYPERLINK("http://service.sap.com/sap/support/notes/1733336","1733336")</f>
        <v>1733336</v>
      </c>
      <c r="E779">
        <v>2</v>
      </c>
      <c r="F779" t="s">
        <v>1172</v>
      </c>
    </row>
    <row r="780" spans="1:6" x14ac:dyDescent="0.25">
      <c r="A780" t="s">
        <v>716</v>
      </c>
      <c r="B780" t="s">
        <v>229</v>
      </c>
      <c r="C780" t="s">
        <v>230</v>
      </c>
      <c r="D780" t="str">
        <f>HYPERLINK("http://service.sap.com/sap/support/notes/1748419","1748419")</f>
        <v>1748419</v>
      </c>
      <c r="E780">
        <v>2</v>
      </c>
      <c r="F780" t="s">
        <v>1173</v>
      </c>
    </row>
    <row r="781" spans="1:6" x14ac:dyDescent="0.25">
      <c r="A781" t="s">
        <v>716</v>
      </c>
      <c r="B781" t="s">
        <v>229</v>
      </c>
      <c r="C781" t="s">
        <v>230</v>
      </c>
      <c r="D781" t="str">
        <f>HYPERLINK("http://service.sap.com/sap/support/notes/1750316","1750316")</f>
        <v>1750316</v>
      </c>
      <c r="E781">
        <v>2</v>
      </c>
      <c r="F781" t="s">
        <v>1174</v>
      </c>
    </row>
    <row r="782" spans="1:6" x14ac:dyDescent="0.25">
      <c r="A782" t="s">
        <v>716</v>
      </c>
      <c r="B782" t="s">
        <v>229</v>
      </c>
      <c r="C782" t="s">
        <v>230</v>
      </c>
      <c r="D782" t="str">
        <f>HYPERLINK("http://service.sap.com/sap/support/notes/1751969","1751969")</f>
        <v>1751969</v>
      </c>
      <c r="E782">
        <v>4</v>
      </c>
      <c r="F782" t="s">
        <v>1175</v>
      </c>
    </row>
    <row r="783" spans="1:6" x14ac:dyDescent="0.25">
      <c r="A783" t="s">
        <v>716</v>
      </c>
      <c r="B783" t="s">
        <v>229</v>
      </c>
      <c r="C783" t="s">
        <v>230</v>
      </c>
      <c r="D783" t="str">
        <f>HYPERLINK("http://service.sap.com/sap/support/notes/1759846","1759846")</f>
        <v>1759846</v>
      </c>
      <c r="E783">
        <v>5</v>
      </c>
      <c r="F783" t="s">
        <v>1176</v>
      </c>
    </row>
    <row r="784" spans="1:6" x14ac:dyDescent="0.25">
      <c r="A784" t="s">
        <v>716</v>
      </c>
      <c r="B784" t="s">
        <v>229</v>
      </c>
      <c r="C784" t="s">
        <v>230</v>
      </c>
      <c r="D784" t="str">
        <f>HYPERLINK("http://service.sap.com/sap/support/notes/1763461","1763461")</f>
        <v>1763461</v>
      </c>
      <c r="E784">
        <v>2</v>
      </c>
      <c r="F784" t="s">
        <v>1177</v>
      </c>
    </row>
    <row r="785" spans="1:6" x14ac:dyDescent="0.25">
      <c r="A785" t="s">
        <v>716</v>
      </c>
      <c r="B785" t="s">
        <v>229</v>
      </c>
      <c r="C785" t="s">
        <v>230</v>
      </c>
      <c r="D785" t="str">
        <f>HYPERLINK("http://service.sap.com/sap/support/notes/1765713","1765713")</f>
        <v>1765713</v>
      </c>
      <c r="E785">
        <v>1</v>
      </c>
      <c r="F785" t="s">
        <v>1178</v>
      </c>
    </row>
    <row r="786" spans="1:6" x14ac:dyDescent="0.25">
      <c r="A786" t="s">
        <v>716</v>
      </c>
      <c r="B786" t="s">
        <v>229</v>
      </c>
      <c r="C786" t="s">
        <v>230</v>
      </c>
      <c r="D786" t="str">
        <f>HYPERLINK("http://service.sap.com/sap/support/notes/1770044","1770044")</f>
        <v>1770044</v>
      </c>
      <c r="E786">
        <v>4</v>
      </c>
      <c r="F786" t="s">
        <v>1179</v>
      </c>
    </row>
    <row r="787" spans="1:6" x14ac:dyDescent="0.25">
      <c r="A787" t="s">
        <v>716</v>
      </c>
      <c r="B787" t="s">
        <v>229</v>
      </c>
      <c r="C787" t="s">
        <v>230</v>
      </c>
      <c r="D787" t="str">
        <f>HYPERLINK("http://service.sap.com/sap/support/notes/1770512","1770512")</f>
        <v>1770512</v>
      </c>
      <c r="E787">
        <v>2</v>
      </c>
      <c r="F787" t="s">
        <v>1180</v>
      </c>
    </row>
    <row r="788" spans="1:6" x14ac:dyDescent="0.25">
      <c r="A788" t="s">
        <v>716</v>
      </c>
      <c r="B788" t="s">
        <v>229</v>
      </c>
      <c r="C788" t="s">
        <v>230</v>
      </c>
      <c r="D788" t="str">
        <f>HYPERLINK("http://service.sap.com/sap/support/notes/1771495","1771495")</f>
        <v>1771495</v>
      </c>
      <c r="E788">
        <v>2</v>
      </c>
      <c r="F788" t="s">
        <v>1181</v>
      </c>
    </row>
    <row r="789" spans="1:6" x14ac:dyDescent="0.25">
      <c r="A789" t="s">
        <v>716</v>
      </c>
      <c r="B789" t="s">
        <v>229</v>
      </c>
      <c r="C789" t="s">
        <v>230</v>
      </c>
      <c r="D789" t="str">
        <f>HYPERLINK("http://service.sap.com/sap/support/notes/1772711","1772711")</f>
        <v>1772711</v>
      </c>
      <c r="E789">
        <v>2</v>
      </c>
      <c r="F789" t="s">
        <v>1182</v>
      </c>
    </row>
    <row r="790" spans="1:6" x14ac:dyDescent="0.25">
      <c r="A790" t="s">
        <v>716</v>
      </c>
      <c r="B790" t="s">
        <v>229</v>
      </c>
      <c r="C790" t="s">
        <v>230</v>
      </c>
      <c r="D790" t="str">
        <f>HYPERLINK("http://service.sap.com/sap/support/notes/1773153","1773153")</f>
        <v>1773153</v>
      </c>
      <c r="E790">
        <v>4</v>
      </c>
      <c r="F790" t="s">
        <v>1183</v>
      </c>
    </row>
    <row r="791" spans="1:6" x14ac:dyDescent="0.25">
      <c r="A791" t="s">
        <v>716</v>
      </c>
      <c r="B791" t="s">
        <v>229</v>
      </c>
      <c r="C791" t="s">
        <v>230</v>
      </c>
      <c r="D791" t="str">
        <f>HYPERLINK("http://service.sap.com/sap/support/notes/1773170","1773170")</f>
        <v>1773170</v>
      </c>
      <c r="E791">
        <v>1</v>
      </c>
      <c r="F791" t="s">
        <v>1184</v>
      </c>
    </row>
    <row r="792" spans="1:6" x14ac:dyDescent="0.25">
      <c r="A792" t="s">
        <v>716</v>
      </c>
      <c r="B792" t="s">
        <v>229</v>
      </c>
      <c r="C792" t="s">
        <v>230</v>
      </c>
      <c r="D792" t="str">
        <f>HYPERLINK("http://service.sap.com/sap/support/notes/1774860","1774860")</f>
        <v>1774860</v>
      </c>
      <c r="E792">
        <v>2</v>
      </c>
      <c r="F792" t="s">
        <v>1185</v>
      </c>
    </row>
    <row r="793" spans="1:6" x14ac:dyDescent="0.25">
      <c r="A793" t="s">
        <v>716</v>
      </c>
      <c r="B793" t="s">
        <v>229</v>
      </c>
      <c r="C793" t="s">
        <v>230</v>
      </c>
      <c r="D793" t="str">
        <f>HYPERLINK("http://service.sap.com/sap/support/notes/1776395","1776395")</f>
        <v>1776395</v>
      </c>
      <c r="E793">
        <v>4</v>
      </c>
      <c r="F793" t="s">
        <v>1186</v>
      </c>
    </row>
    <row r="794" spans="1:6" x14ac:dyDescent="0.25">
      <c r="A794" t="s">
        <v>716</v>
      </c>
      <c r="B794" t="s">
        <v>229</v>
      </c>
      <c r="C794" t="s">
        <v>230</v>
      </c>
      <c r="D794" t="str">
        <f>HYPERLINK("http://service.sap.com/sap/support/notes/1776536","1776536")</f>
        <v>1776536</v>
      </c>
      <c r="E794">
        <v>1</v>
      </c>
      <c r="F794" t="s">
        <v>1187</v>
      </c>
    </row>
    <row r="795" spans="1:6" x14ac:dyDescent="0.25">
      <c r="A795" t="s">
        <v>716</v>
      </c>
      <c r="B795" t="s">
        <v>229</v>
      </c>
      <c r="C795" t="s">
        <v>230</v>
      </c>
      <c r="D795" t="str">
        <f>HYPERLINK("http://service.sap.com/sap/support/notes/1776561","1776561")</f>
        <v>1776561</v>
      </c>
      <c r="E795">
        <v>4</v>
      </c>
      <c r="F795" t="s">
        <v>1188</v>
      </c>
    </row>
    <row r="796" spans="1:6" x14ac:dyDescent="0.25">
      <c r="A796" t="s">
        <v>716</v>
      </c>
      <c r="B796" t="s">
        <v>229</v>
      </c>
      <c r="C796" t="s">
        <v>230</v>
      </c>
      <c r="D796" t="str">
        <f>HYPERLINK("http://service.sap.com/sap/support/notes/1778214","1778214")</f>
        <v>1778214</v>
      </c>
      <c r="E796">
        <v>4</v>
      </c>
      <c r="F796" t="s">
        <v>1189</v>
      </c>
    </row>
    <row r="797" spans="1:6" x14ac:dyDescent="0.25">
      <c r="A797" t="s">
        <v>716</v>
      </c>
      <c r="B797" t="s">
        <v>229</v>
      </c>
      <c r="C797" t="s">
        <v>230</v>
      </c>
      <c r="D797" t="str">
        <f>HYPERLINK("http://service.sap.com/sap/support/notes/1779089","1779089")</f>
        <v>1779089</v>
      </c>
      <c r="E797">
        <v>1</v>
      </c>
      <c r="F797" t="s">
        <v>1190</v>
      </c>
    </row>
    <row r="798" spans="1:6" x14ac:dyDescent="0.25">
      <c r="A798" t="s">
        <v>716</v>
      </c>
      <c r="B798" t="s">
        <v>229</v>
      </c>
      <c r="C798" t="s">
        <v>230</v>
      </c>
      <c r="D798" t="str">
        <f>HYPERLINK("http://service.sap.com/sap/support/notes/1779304","1779304")</f>
        <v>1779304</v>
      </c>
      <c r="E798">
        <v>4</v>
      </c>
      <c r="F798" t="s">
        <v>1191</v>
      </c>
    </row>
    <row r="799" spans="1:6" x14ac:dyDescent="0.25">
      <c r="A799" t="s">
        <v>716</v>
      </c>
      <c r="B799" t="s">
        <v>229</v>
      </c>
      <c r="C799" t="s">
        <v>230</v>
      </c>
      <c r="D799" t="str">
        <f>HYPERLINK("http://service.sap.com/sap/support/notes/1782317","1782317")</f>
        <v>1782317</v>
      </c>
      <c r="E799">
        <v>1</v>
      </c>
      <c r="F799" t="s">
        <v>1192</v>
      </c>
    </row>
    <row r="800" spans="1:6" x14ac:dyDescent="0.25">
      <c r="A800" t="s">
        <v>716</v>
      </c>
      <c r="B800" t="s">
        <v>229</v>
      </c>
      <c r="C800" t="s">
        <v>230</v>
      </c>
      <c r="D800" t="str">
        <f>HYPERLINK("http://service.sap.com/sap/support/notes/1783144","1783144")</f>
        <v>1783144</v>
      </c>
      <c r="E800">
        <v>2</v>
      </c>
      <c r="F800" t="s">
        <v>1193</v>
      </c>
    </row>
    <row r="801" spans="1:6" x14ac:dyDescent="0.25">
      <c r="A801" t="s">
        <v>716</v>
      </c>
      <c r="B801" t="s">
        <v>229</v>
      </c>
      <c r="C801" t="s">
        <v>230</v>
      </c>
      <c r="D801" t="str">
        <f>HYPERLINK("http://service.sap.com/sap/support/notes/1783977","1783977")</f>
        <v>1783977</v>
      </c>
      <c r="E801">
        <v>2</v>
      </c>
      <c r="F801" t="s">
        <v>1194</v>
      </c>
    </row>
    <row r="802" spans="1:6" x14ac:dyDescent="0.25">
      <c r="A802" t="s">
        <v>716</v>
      </c>
      <c r="B802" t="s">
        <v>229</v>
      </c>
      <c r="C802" t="s">
        <v>230</v>
      </c>
      <c r="D802" t="str">
        <f>HYPERLINK("http://service.sap.com/sap/support/notes/1784146","1784146")</f>
        <v>1784146</v>
      </c>
      <c r="E802">
        <v>2</v>
      </c>
      <c r="F802" t="s">
        <v>1195</v>
      </c>
    </row>
    <row r="803" spans="1:6" x14ac:dyDescent="0.25">
      <c r="A803" t="s">
        <v>716</v>
      </c>
      <c r="B803" t="s">
        <v>229</v>
      </c>
      <c r="C803" t="s">
        <v>230</v>
      </c>
      <c r="D803" t="str">
        <f>HYPERLINK("http://service.sap.com/sap/support/notes/1784742","1784742")</f>
        <v>1784742</v>
      </c>
      <c r="E803">
        <v>3</v>
      </c>
      <c r="F803" t="s">
        <v>1196</v>
      </c>
    </row>
    <row r="804" spans="1:6" x14ac:dyDescent="0.25">
      <c r="A804" t="s">
        <v>716</v>
      </c>
      <c r="B804" t="s">
        <v>229</v>
      </c>
      <c r="C804" t="s">
        <v>230</v>
      </c>
      <c r="D804" t="str">
        <f>HYPERLINK("http://service.sap.com/sap/support/notes/1785299","1785299")</f>
        <v>1785299</v>
      </c>
      <c r="E804">
        <v>3</v>
      </c>
      <c r="F804" t="s">
        <v>1197</v>
      </c>
    </row>
    <row r="805" spans="1:6" x14ac:dyDescent="0.25">
      <c r="A805" t="s">
        <v>716</v>
      </c>
      <c r="B805" t="s">
        <v>229</v>
      </c>
      <c r="C805" t="s">
        <v>230</v>
      </c>
      <c r="D805" t="str">
        <f>HYPERLINK("http://service.sap.com/sap/support/notes/1785733","1785733")</f>
        <v>1785733</v>
      </c>
      <c r="E805">
        <v>2</v>
      </c>
      <c r="F805" t="s">
        <v>1198</v>
      </c>
    </row>
    <row r="806" spans="1:6" x14ac:dyDescent="0.25">
      <c r="A806" t="s">
        <v>716</v>
      </c>
      <c r="B806" t="s">
        <v>229</v>
      </c>
      <c r="C806" t="s">
        <v>230</v>
      </c>
      <c r="D806" t="str">
        <f>HYPERLINK("http://service.sap.com/sap/support/notes/1786978","1786978")</f>
        <v>1786978</v>
      </c>
      <c r="E806">
        <v>2</v>
      </c>
      <c r="F806" t="s">
        <v>1199</v>
      </c>
    </row>
    <row r="807" spans="1:6" x14ac:dyDescent="0.25">
      <c r="A807" t="s">
        <v>716</v>
      </c>
      <c r="B807" t="s">
        <v>229</v>
      </c>
      <c r="C807" t="s">
        <v>230</v>
      </c>
      <c r="D807" t="str">
        <f>HYPERLINK("http://service.sap.com/sap/support/notes/1787033","1787033")</f>
        <v>1787033</v>
      </c>
      <c r="E807">
        <v>3</v>
      </c>
      <c r="F807" t="s">
        <v>1200</v>
      </c>
    </row>
    <row r="808" spans="1:6" x14ac:dyDescent="0.25">
      <c r="A808" t="s">
        <v>716</v>
      </c>
      <c r="B808" t="s">
        <v>229</v>
      </c>
      <c r="C808" t="s">
        <v>230</v>
      </c>
      <c r="D808" t="str">
        <f>HYPERLINK("http://service.sap.com/sap/support/notes/1787279","1787279")</f>
        <v>1787279</v>
      </c>
      <c r="E808">
        <v>2</v>
      </c>
      <c r="F808" t="s">
        <v>1201</v>
      </c>
    </row>
    <row r="809" spans="1:6" x14ac:dyDescent="0.25">
      <c r="A809" t="s">
        <v>716</v>
      </c>
      <c r="B809" t="s">
        <v>229</v>
      </c>
      <c r="C809" t="s">
        <v>230</v>
      </c>
      <c r="D809" t="str">
        <f>HYPERLINK("http://service.sap.com/sap/support/notes/1787307","1787307")</f>
        <v>1787307</v>
      </c>
      <c r="E809">
        <v>3</v>
      </c>
      <c r="F809" t="s">
        <v>1202</v>
      </c>
    </row>
    <row r="810" spans="1:6" x14ac:dyDescent="0.25">
      <c r="A810" t="s">
        <v>716</v>
      </c>
      <c r="B810" t="s">
        <v>260</v>
      </c>
      <c r="C810" t="s">
        <v>37</v>
      </c>
      <c r="D810" t="str">
        <f>HYPERLINK("http://service.sap.com/sap/support/notes/1681932","1681932")</f>
        <v>1681932</v>
      </c>
      <c r="E810">
        <v>1</v>
      </c>
      <c r="F810" t="s">
        <v>1203</v>
      </c>
    </row>
    <row r="811" spans="1:6" x14ac:dyDescent="0.25">
      <c r="A811" t="s">
        <v>716</v>
      </c>
      <c r="B811" t="s">
        <v>260</v>
      </c>
      <c r="C811" t="s">
        <v>37</v>
      </c>
      <c r="D811" t="str">
        <f>HYPERLINK("http://service.sap.com/sap/support/notes/1771706","1771706")</f>
        <v>1771706</v>
      </c>
      <c r="E811">
        <v>2</v>
      </c>
      <c r="F811" t="s">
        <v>1204</v>
      </c>
    </row>
    <row r="812" spans="1:6" x14ac:dyDescent="0.25">
      <c r="A812" t="s">
        <v>716</v>
      </c>
      <c r="B812" t="s">
        <v>260</v>
      </c>
      <c r="C812" t="s">
        <v>37</v>
      </c>
      <c r="D812" t="str">
        <f>HYPERLINK("http://service.sap.com/sap/support/notes/1777310","1777310")</f>
        <v>1777310</v>
      </c>
      <c r="E812">
        <v>4</v>
      </c>
      <c r="F812" t="s">
        <v>1205</v>
      </c>
    </row>
    <row r="813" spans="1:6" x14ac:dyDescent="0.25">
      <c r="A813" t="s">
        <v>716</v>
      </c>
      <c r="B813" t="s">
        <v>260</v>
      </c>
      <c r="C813" t="s">
        <v>37</v>
      </c>
      <c r="D813" t="str">
        <f>HYPERLINK("http://service.sap.com/sap/support/notes/1786232","1786232")</f>
        <v>1786232</v>
      </c>
      <c r="E813">
        <v>2</v>
      </c>
      <c r="F813" t="s">
        <v>1206</v>
      </c>
    </row>
    <row r="814" spans="1:6" x14ac:dyDescent="0.25">
      <c r="A814" t="s">
        <v>716</v>
      </c>
      <c r="B814" t="s">
        <v>263</v>
      </c>
      <c r="C814" t="s">
        <v>41</v>
      </c>
      <c r="D814" t="str">
        <f>HYPERLINK("http://service.sap.com/sap/support/notes/1713178","1713178")</f>
        <v>1713178</v>
      </c>
      <c r="E814">
        <v>6</v>
      </c>
      <c r="F814" t="s">
        <v>1207</v>
      </c>
    </row>
    <row r="815" spans="1:6" x14ac:dyDescent="0.25">
      <c r="A815" t="s">
        <v>716</v>
      </c>
      <c r="B815" t="s">
        <v>263</v>
      </c>
      <c r="C815" t="s">
        <v>41</v>
      </c>
      <c r="D815" t="str">
        <f>HYPERLINK("http://service.sap.com/sap/support/notes/1730897","1730897")</f>
        <v>1730897</v>
      </c>
      <c r="E815">
        <v>6</v>
      </c>
      <c r="F815" t="s">
        <v>1208</v>
      </c>
    </row>
    <row r="816" spans="1:6" x14ac:dyDescent="0.25">
      <c r="A816" t="s">
        <v>716</v>
      </c>
      <c r="B816" t="s">
        <v>263</v>
      </c>
      <c r="C816" t="s">
        <v>41</v>
      </c>
      <c r="D816" t="str">
        <f>HYPERLINK("http://service.sap.com/sap/support/notes/1733122","1733122")</f>
        <v>1733122</v>
      </c>
      <c r="E816">
        <v>1</v>
      </c>
      <c r="F816" t="s">
        <v>1209</v>
      </c>
    </row>
    <row r="817" spans="1:6" x14ac:dyDescent="0.25">
      <c r="A817" t="s">
        <v>716</v>
      </c>
      <c r="B817" t="s">
        <v>263</v>
      </c>
      <c r="C817" t="s">
        <v>41</v>
      </c>
      <c r="D817" t="str">
        <f>HYPERLINK("http://service.sap.com/sap/support/notes/1765325","1765325")</f>
        <v>1765325</v>
      </c>
      <c r="E817">
        <v>4</v>
      </c>
      <c r="F817" t="s">
        <v>1210</v>
      </c>
    </row>
    <row r="818" spans="1:6" x14ac:dyDescent="0.25">
      <c r="A818" t="s">
        <v>716</v>
      </c>
      <c r="B818" t="s">
        <v>263</v>
      </c>
      <c r="C818" t="s">
        <v>41</v>
      </c>
      <c r="D818" t="str">
        <f>HYPERLINK("http://service.sap.com/sap/support/notes/1772180","1772180")</f>
        <v>1772180</v>
      </c>
      <c r="E818">
        <v>2</v>
      </c>
      <c r="F818" t="s">
        <v>1211</v>
      </c>
    </row>
    <row r="819" spans="1:6" x14ac:dyDescent="0.25">
      <c r="A819" t="s">
        <v>716</v>
      </c>
      <c r="B819" t="s">
        <v>263</v>
      </c>
      <c r="C819" t="s">
        <v>41</v>
      </c>
      <c r="D819" t="str">
        <f>HYPERLINK("http://service.sap.com/sap/support/notes/1774996","1774996")</f>
        <v>1774996</v>
      </c>
      <c r="E819">
        <v>3</v>
      </c>
      <c r="F819" t="s">
        <v>1212</v>
      </c>
    </row>
    <row r="820" spans="1:6" x14ac:dyDescent="0.25">
      <c r="A820" t="s">
        <v>716</v>
      </c>
      <c r="B820" t="s">
        <v>263</v>
      </c>
      <c r="C820" t="s">
        <v>41</v>
      </c>
      <c r="D820" t="str">
        <f>HYPERLINK("http://service.sap.com/sap/support/notes/1777940","1777940")</f>
        <v>1777940</v>
      </c>
      <c r="E820">
        <v>1</v>
      </c>
      <c r="F820" t="s">
        <v>1213</v>
      </c>
    </row>
    <row r="821" spans="1:6" x14ac:dyDescent="0.25">
      <c r="A821" t="s">
        <v>716</v>
      </c>
      <c r="B821" t="s">
        <v>263</v>
      </c>
      <c r="C821" t="s">
        <v>41</v>
      </c>
      <c r="D821" t="str">
        <f>HYPERLINK("http://service.sap.com/sap/support/notes/1778023","1778023")</f>
        <v>1778023</v>
      </c>
      <c r="E821">
        <v>1</v>
      </c>
      <c r="F821" t="s">
        <v>1214</v>
      </c>
    </row>
    <row r="822" spans="1:6" x14ac:dyDescent="0.25">
      <c r="A822" t="s">
        <v>716</v>
      </c>
      <c r="B822" t="s">
        <v>263</v>
      </c>
      <c r="C822" t="s">
        <v>41</v>
      </c>
      <c r="D822" t="str">
        <f>HYPERLINK("http://service.sap.com/sap/support/notes/1778383","1778383")</f>
        <v>1778383</v>
      </c>
      <c r="E822">
        <v>2</v>
      </c>
      <c r="F822" t="s">
        <v>1215</v>
      </c>
    </row>
    <row r="823" spans="1:6" x14ac:dyDescent="0.25">
      <c r="A823" t="s">
        <v>716</v>
      </c>
      <c r="B823" t="s">
        <v>263</v>
      </c>
      <c r="C823" t="s">
        <v>41</v>
      </c>
      <c r="D823" t="str">
        <f>HYPERLINK("http://service.sap.com/sap/support/notes/1778429","1778429")</f>
        <v>1778429</v>
      </c>
      <c r="E823">
        <v>1</v>
      </c>
      <c r="F823" t="s">
        <v>1216</v>
      </c>
    </row>
    <row r="824" spans="1:6" x14ac:dyDescent="0.25">
      <c r="A824" t="s">
        <v>716</v>
      </c>
      <c r="B824" t="s">
        <v>263</v>
      </c>
      <c r="C824" t="s">
        <v>41</v>
      </c>
      <c r="D824" t="str">
        <f>HYPERLINK("http://service.sap.com/sap/support/notes/1778983","1778983")</f>
        <v>1778983</v>
      </c>
      <c r="E824">
        <v>1</v>
      </c>
      <c r="F824" t="s">
        <v>1217</v>
      </c>
    </row>
    <row r="825" spans="1:6" x14ac:dyDescent="0.25">
      <c r="A825" t="s">
        <v>716</v>
      </c>
      <c r="B825" t="s">
        <v>263</v>
      </c>
      <c r="C825" t="s">
        <v>41</v>
      </c>
      <c r="D825" t="str">
        <f>HYPERLINK("http://service.sap.com/sap/support/notes/1779034","1779034")</f>
        <v>1779034</v>
      </c>
      <c r="E825">
        <v>4</v>
      </c>
      <c r="F825" t="s">
        <v>1218</v>
      </c>
    </row>
    <row r="826" spans="1:6" x14ac:dyDescent="0.25">
      <c r="A826" t="s">
        <v>716</v>
      </c>
      <c r="B826" t="s">
        <v>263</v>
      </c>
      <c r="C826" t="s">
        <v>41</v>
      </c>
      <c r="D826" t="str">
        <f>HYPERLINK("http://service.sap.com/sap/support/notes/1779088","1779088")</f>
        <v>1779088</v>
      </c>
      <c r="E826">
        <v>1</v>
      </c>
      <c r="F826" t="s">
        <v>1219</v>
      </c>
    </row>
    <row r="827" spans="1:6" x14ac:dyDescent="0.25">
      <c r="A827" t="s">
        <v>716</v>
      </c>
      <c r="B827" t="s">
        <v>263</v>
      </c>
      <c r="C827" t="s">
        <v>41</v>
      </c>
      <c r="D827" t="str">
        <f>HYPERLINK("http://service.sap.com/sap/support/notes/1779129","1779129")</f>
        <v>1779129</v>
      </c>
      <c r="E827">
        <v>3</v>
      </c>
      <c r="F827" t="s">
        <v>1220</v>
      </c>
    </row>
    <row r="828" spans="1:6" x14ac:dyDescent="0.25">
      <c r="A828" t="s">
        <v>716</v>
      </c>
      <c r="B828" t="s">
        <v>263</v>
      </c>
      <c r="C828" t="s">
        <v>41</v>
      </c>
      <c r="D828" t="str">
        <f>HYPERLINK("http://service.sap.com/sap/support/notes/1779671","1779671")</f>
        <v>1779671</v>
      </c>
      <c r="E828">
        <v>1</v>
      </c>
      <c r="F828" t="s">
        <v>1221</v>
      </c>
    </row>
    <row r="829" spans="1:6" x14ac:dyDescent="0.25">
      <c r="A829" t="s">
        <v>716</v>
      </c>
      <c r="B829" t="s">
        <v>263</v>
      </c>
      <c r="C829" t="s">
        <v>41</v>
      </c>
      <c r="D829" t="str">
        <f>HYPERLINK("http://service.sap.com/sap/support/notes/1779788","1779788")</f>
        <v>1779788</v>
      </c>
      <c r="E829">
        <v>2</v>
      </c>
      <c r="F829" t="s">
        <v>1222</v>
      </c>
    </row>
    <row r="830" spans="1:6" x14ac:dyDescent="0.25">
      <c r="A830" t="s">
        <v>716</v>
      </c>
      <c r="B830" t="s">
        <v>263</v>
      </c>
      <c r="C830" t="s">
        <v>41</v>
      </c>
      <c r="D830" t="str">
        <f>HYPERLINK("http://service.sap.com/sap/support/notes/1780231","1780231")</f>
        <v>1780231</v>
      </c>
      <c r="E830">
        <v>2</v>
      </c>
      <c r="F830" t="s">
        <v>1223</v>
      </c>
    </row>
    <row r="831" spans="1:6" x14ac:dyDescent="0.25">
      <c r="A831" t="s">
        <v>716</v>
      </c>
      <c r="B831" t="s">
        <v>263</v>
      </c>
      <c r="C831" t="s">
        <v>41</v>
      </c>
      <c r="D831" t="str">
        <f>HYPERLINK("http://service.sap.com/sap/support/notes/1780309","1780309")</f>
        <v>1780309</v>
      </c>
      <c r="E831">
        <v>1</v>
      </c>
      <c r="F831" t="s">
        <v>1224</v>
      </c>
    </row>
    <row r="832" spans="1:6" x14ac:dyDescent="0.25">
      <c r="A832" t="s">
        <v>716</v>
      </c>
      <c r="B832" t="s">
        <v>263</v>
      </c>
      <c r="C832" t="s">
        <v>41</v>
      </c>
      <c r="D832" t="str">
        <f>HYPERLINK("http://service.sap.com/sap/support/notes/1780316","1780316")</f>
        <v>1780316</v>
      </c>
      <c r="E832">
        <v>2</v>
      </c>
      <c r="F832" t="s">
        <v>1225</v>
      </c>
    </row>
    <row r="833" spans="1:6" x14ac:dyDescent="0.25">
      <c r="A833" t="s">
        <v>716</v>
      </c>
      <c r="B833" t="s">
        <v>263</v>
      </c>
      <c r="C833" t="s">
        <v>41</v>
      </c>
      <c r="D833" t="str">
        <f>HYPERLINK("http://service.sap.com/sap/support/notes/1780636","1780636")</f>
        <v>1780636</v>
      </c>
      <c r="E833">
        <v>1</v>
      </c>
      <c r="F833" t="s">
        <v>1226</v>
      </c>
    </row>
    <row r="834" spans="1:6" x14ac:dyDescent="0.25">
      <c r="A834" t="s">
        <v>716</v>
      </c>
      <c r="B834" t="s">
        <v>263</v>
      </c>
      <c r="C834" t="s">
        <v>41</v>
      </c>
      <c r="D834" t="str">
        <f>HYPERLINK("http://service.sap.com/sap/support/notes/1780865","1780865")</f>
        <v>1780865</v>
      </c>
      <c r="E834">
        <v>1</v>
      </c>
      <c r="F834" t="s">
        <v>1227</v>
      </c>
    </row>
    <row r="835" spans="1:6" x14ac:dyDescent="0.25">
      <c r="A835" t="s">
        <v>716</v>
      </c>
      <c r="B835" t="s">
        <v>263</v>
      </c>
      <c r="C835" t="s">
        <v>41</v>
      </c>
      <c r="D835" t="str">
        <f>HYPERLINK("http://service.sap.com/sap/support/notes/1781421","1781421")</f>
        <v>1781421</v>
      </c>
      <c r="E835">
        <v>1</v>
      </c>
      <c r="F835" t="s">
        <v>1228</v>
      </c>
    </row>
    <row r="836" spans="1:6" x14ac:dyDescent="0.25">
      <c r="A836" t="s">
        <v>716</v>
      </c>
      <c r="B836" t="s">
        <v>263</v>
      </c>
      <c r="C836" t="s">
        <v>41</v>
      </c>
      <c r="D836" t="str">
        <f>HYPERLINK("http://service.sap.com/sap/support/notes/1781446","1781446")</f>
        <v>1781446</v>
      </c>
      <c r="E836">
        <v>4</v>
      </c>
      <c r="F836" t="s">
        <v>1229</v>
      </c>
    </row>
    <row r="837" spans="1:6" x14ac:dyDescent="0.25">
      <c r="A837" t="s">
        <v>716</v>
      </c>
      <c r="B837" t="s">
        <v>263</v>
      </c>
      <c r="C837" t="s">
        <v>41</v>
      </c>
      <c r="D837" t="str">
        <f>HYPERLINK("http://service.sap.com/sap/support/notes/1781581","1781581")</f>
        <v>1781581</v>
      </c>
      <c r="E837">
        <v>1</v>
      </c>
      <c r="F837" t="s">
        <v>1230</v>
      </c>
    </row>
    <row r="838" spans="1:6" x14ac:dyDescent="0.25">
      <c r="A838" t="s">
        <v>716</v>
      </c>
      <c r="B838" t="s">
        <v>263</v>
      </c>
      <c r="C838" t="s">
        <v>41</v>
      </c>
      <c r="D838" t="str">
        <f>HYPERLINK("http://service.sap.com/sap/support/notes/1781831","1781831")</f>
        <v>1781831</v>
      </c>
      <c r="E838">
        <v>2</v>
      </c>
      <c r="F838" t="s">
        <v>1231</v>
      </c>
    </row>
    <row r="839" spans="1:6" x14ac:dyDescent="0.25">
      <c r="A839" t="s">
        <v>716</v>
      </c>
      <c r="B839" t="s">
        <v>263</v>
      </c>
      <c r="C839" t="s">
        <v>41</v>
      </c>
      <c r="D839" t="str">
        <f>HYPERLINK("http://service.sap.com/sap/support/notes/1782258","1782258")</f>
        <v>1782258</v>
      </c>
      <c r="E839">
        <v>1</v>
      </c>
      <c r="F839" t="s">
        <v>1232</v>
      </c>
    </row>
    <row r="840" spans="1:6" x14ac:dyDescent="0.25">
      <c r="A840" t="s">
        <v>716</v>
      </c>
      <c r="B840" t="s">
        <v>263</v>
      </c>
      <c r="C840" t="s">
        <v>41</v>
      </c>
      <c r="D840" t="str">
        <f>HYPERLINK("http://service.sap.com/sap/support/notes/1782449","1782449")</f>
        <v>1782449</v>
      </c>
      <c r="E840">
        <v>4</v>
      </c>
      <c r="F840" t="s">
        <v>1233</v>
      </c>
    </row>
    <row r="841" spans="1:6" x14ac:dyDescent="0.25">
      <c r="A841" t="s">
        <v>716</v>
      </c>
      <c r="B841" t="s">
        <v>263</v>
      </c>
      <c r="C841" t="s">
        <v>41</v>
      </c>
      <c r="D841" t="str">
        <f>HYPERLINK("http://service.sap.com/sap/support/notes/1783804","1783804")</f>
        <v>1783804</v>
      </c>
      <c r="E841">
        <v>1</v>
      </c>
      <c r="F841" t="s">
        <v>1234</v>
      </c>
    </row>
    <row r="842" spans="1:6" x14ac:dyDescent="0.25">
      <c r="A842" t="s">
        <v>716</v>
      </c>
      <c r="B842" t="s">
        <v>263</v>
      </c>
      <c r="C842" t="s">
        <v>41</v>
      </c>
      <c r="D842" t="str">
        <f>HYPERLINK("http://service.sap.com/sap/support/notes/1783951","1783951")</f>
        <v>1783951</v>
      </c>
      <c r="E842">
        <v>1</v>
      </c>
      <c r="F842" t="s">
        <v>1235</v>
      </c>
    </row>
    <row r="843" spans="1:6" x14ac:dyDescent="0.25">
      <c r="A843" t="s">
        <v>716</v>
      </c>
      <c r="B843" t="s">
        <v>263</v>
      </c>
      <c r="C843" t="s">
        <v>41</v>
      </c>
      <c r="D843" t="str">
        <f>HYPERLINK("http://service.sap.com/sap/support/notes/1783960","1783960")</f>
        <v>1783960</v>
      </c>
      <c r="E843">
        <v>2</v>
      </c>
      <c r="F843" t="s">
        <v>1236</v>
      </c>
    </row>
    <row r="844" spans="1:6" x14ac:dyDescent="0.25">
      <c r="A844" t="s">
        <v>716</v>
      </c>
      <c r="B844" t="s">
        <v>263</v>
      </c>
      <c r="C844" t="s">
        <v>41</v>
      </c>
      <c r="D844" t="str">
        <f>HYPERLINK("http://service.sap.com/sap/support/notes/1784116","1784116")</f>
        <v>1784116</v>
      </c>
      <c r="E844">
        <v>2</v>
      </c>
      <c r="F844" t="s">
        <v>1237</v>
      </c>
    </row>
    <row r="845" spans="1:6" x14ac:dyDescent="0.25">
      <c r="A845" t="s">
        <v>716</v>
      </c>
      <c r="B845" t="s">
        <v>263</v>
      </c>
      <c r="C845" t="s">
        <v>41</v>
      </c>
      <c r="D845" t="str">
        <f>HYPERLINK("http://service.sap.com/sap/support/notes/1784588","1784588")</f>
        <v>1784588</v>
      </c>
      <c r="E845">
        <v>2</v>
      </c>
      <c r="F845" t="s">
        <v>1238</v>
      </c>
    </row>
    <row r="846" spans="1:6" x14ac:dyDescent="0.25">
      <c r="A846" t="s">
        <v>716</v>
      </c>
      <c r="B846" t="s">
        <v>263</v>
      </c>
      <c r="C846" t="s">
        <v>41</v>
      </c>
      <c r="D846" t="str">
        <f>HYPERLINK("http://service.sap.com/sap/support/notes/1784870","1784870")</f>
        <v>1784870</v>
      </c>
      <c r="E846">
        <v>3</v>
      </c>
      <c r="F846" t="s">
        <v>1239</v>
      </c>
    </row>
    <row r="847" spans="1:6" x14ac:dyDescent="0.25">
      <c r="A847" t="s">
        <v>716</v>
      </c>
      <c r="B847" t="s">
        <v>263</v>
      </c>
      <c r="C847" t="s">
        <v>41</v>
      </c>
      <c r="D847" t="str">
        <f>HYPERLINK("http://service.sap.com/sap/support/notes/1785176","1785176")</f>
        <v>1785176</v>
      </c>
      <c r="E847">
        <v>6</v>
      </c>
      <c r="F847" t="s">
        <v>1240</v>
      </c>
    </row>
    <row r="848" spans="1:6" x14ac:dyDescent="0.25">
      <c r="A848" t="s">
        <v>716</v>
      </c>
      <c r="B848" t="s">
        <v>263</v>
      </c>
      <c r="C848" t="s">
        <v>41</v>
      </c>
      <c r="D848" t="str">
        <f>HYPERLINK("http://service.sap.com/sap/support/notes/1785825","1785825")</f>
        <v>1785825</v>
      </c>
      <c r="E848">
        <v>1</v>
      </c>
      <c r="F848" t="s">
        <v>1241</v>
      </c>
    </row>
    <row r="849" spans="1:6" x14ac:dyDescent="0.25">
      <c r="A849" t="s">
        <v>716</v>
      </c>
      <c r="B849" t="s">
        <v>263</v>
      </c>
      <c r="C849" t="s">
        <v>41</v>
      </c>
      <c r="D849" t="str">
        <f>HYPERLINK("http://service.sap.com/sap/support/notes/1787364","1787364")</f>
        <v>1787364</v>
      </c>
      <c r="E849">
        <v>2</v>
      </c>
      <c r="F849" t="s">
        <v>1242</v>
      </c>
    </row>
    <row r="850" spans="1:6" x14ac:dyDescent="0.25">
      <c r="A850" t="s">
        <v>716</v>
      </c>
      <c r="B850" t="s">
        <v>263</v>
      </c>
      <c r="C850" t="s">
        <v>41</v>
      </c>
      <c r="D850" t="str">
        <f>HYPERLINK("http://service.sap.com/sap/support/notes/1787734","1787734")</f>
        <v>1787734</v>
      </c>
      <c r="E850">
        <v>2</v>
      </c>
      <c r="F850" t="s">
        <v>1243</v>
      </c>
    </row>
    <row r="851" spans="1:6" x14ac:dyDescent="0.25">
      <c r="A851" t="s">
        <v>716</v>
      </c>
      <c r="B851" t="s">
        <v>263</v>
      </c>
      <c r="C851" t="s">
        <v>41</v>
      </c>
      <c r="D851" t="str">
        <f>HYPERLINK("http://service.sap.com/sap/support/notes/1788883","1788883")</f>
        <v>1788883</v>
      </c>
      <c r="E851">
        <v>2</v>
      </c>
      <c r="F851" t="s">
        <v>1244</v>
      </c>
    </row>
    <row r="852" spans="1:6" x14ac:dyDescent="0.25">
      <c r="A852" t="s">
        <v>716</v>
      </c>
      <c r="B852" t="s">
        <v>263</v>
      </c>
      <c r="C852" t="s">
        <v>41</v>
      </c>
      <c r="D852" t="str">
        <f>HYPERLINK("http://service.sap.com/sap/support/notes/1789092","1789092")</f>
        <v>1789092</v>
      </c>
      <c r="E852">
        <v>4</v>
      </c>
      <c r="F852" t="s">
        <v>1245</v>
      </c>
    </row>
    <row r="853" spans="1:6" x14ac:dyDescent="0.25">
      <c r="A853" t="s">
        <v>716</v>
      </c>
      <c r="B853" t="s">
        <v>263</v>
      </c>
      <c r="C853" t="s">
        <v>41</v>
      </c>
      <c r="D853" t="str">
        <f>HYPERLINK("http://service.sap.com/sap/support/notes/1789493","1789493")</f>
        <v>1789493</v>
      </c>
      <c r="E853">
        <v>3</v>
      </c>
      <c r="F853" t="s">
        <v>1246</v>
      </c>
    </row>
    <row r="854" spans="1:6" x14ac:dyDescent="0.25">
      <c r="A854" t="s">
        <v>716</v>
      </c>
      <c r="B854" t="s">
        <v>263</v>
      </c>
      <c r="C854" t="s">
        <v>41</v>
      </c>
      <c r="D854" t="str">
        <f>HYPERLINK("http://service.sap.com/sap/support/notes/1789560","1789560")</f>
        <v>1789560</v>
      </c>
      <c r="E854">
        <v>1</v>
      </c>
      <c r="F854" t="s">
        <v>1247</v>
      </c>
    </row>
    <row r="855" spans="1:6" x14ac:dyDescent="0.25">
      <c r="A855" t="s">
        <v>716</v>
      </c>
      <c r="B855" t="s">
        <v>263</v>
      </c>
      <c r="C855" t="s">
        <v>41</v>
      </c>
      <c r="D855" t="str">
        <f>HYPERLINK("http://service.sap.com/sap/support/notes/1789762","1789762")</f>
        <v>1789762</v>
      </c>
      <c r="E855">
        <v>1</v>
      </c>
      <c r="F855" t="s">
        <v>1248</v>
      </c>
    </row>
    <row r="856" spans="1:6" x14ac:dyDescent="0.25">
      <c r="A856" t="s">
        <v>716</v>
      </c>
      <c r="B856" t="s">
        <v>263</v>
      </c>
      <c r="C856" t="s">
        <v>41</v>
      </c>
      <c r="D856" t="str">
        <f>HYPERLINK("http://service.sap.com/sap/support/notes/1790315","1790315")</f>
        <v>1790315</v>
      </c>
      <c r="E856">
        <v>1</v>
      </c>
      <c r="F856" t="s">
        <v>1249</v>
      </c>
    </row>
    <row r="857" spans="1:6" x14ac:dyDescent="0.25">
      <c r="A857" t="s">
        <v>716</v>
      </c>
      <c r="B857" t="s">
        <v>263</v>
      </c>
      <c r="C857" t="s">
        <v>41</v>
      </c>
      <c r="D857" t="str">
        <f>HYPERLINK("http://service.sap.com/sap/support/notes/1790682","1790682")</f>
        <v>1790682</v>
      </c>
      <c r="E857">
        <v>2</v>
      </c>
      <c r="F857" t="s">
        <v>1250</v>
      </c>
    </row>
    <row r="858" spans="1:6" x14ac:dyDescent="0.25">
      <c r="A858" t="s">
        <v>716</v>
      </c>
      <c r="B858" t="s">
        <v>263</v>
      </c>
      <c r="C858" t="s">
        <v>41</v>
      </c>
      <c r="D858" t="str">
        <f>HYPERLINK("http://service.sap.com/sap/support/notes/1790709","1790709")</f>
        <v>1790709</v>
      </c>
      <c r="E858">
        <v>1</v>
      </c>
      <c r="F858" t="s">
        <v>1251</v>
      </c>
    </row>
    <row r="859" spans="1:6" x14ac:dyDescent="0.25">
      <c r="A859" t="s">
        <v>716</v>
      </c>
      <c r="B859" t="s">
        <v>649</v>
      </c>
      <c r="C859" t="s">
        <v>1252</v>
      </c>
      <c r="D859" t="str">
        <f>HYPERLINK("http://service.sap.com/sap/support/notes/1782276","1782276")</f>
        <v>1782276</v>
      </c>
      <c r="E859">
        <v>2</v>
      </c>
      <c r="F859" t="s">
        <v>650</v>
      </c>
    </row>
    <row r="860" spans="1:6" x14ac:dyDescent="0.25">
      <c r="A860" t="s">
        <v>716</v>
      </c>
      <c r="B860" t="s">
        <v>704</v>
      </c>
      <c r="C860" t="s">
        <v>128</v>
      </c>
      <c r="D860" t="str">
        <f>HYPERLINK("http://service.sap.com/sap/support/notes/1717393","1717393")</f>
        <v>1717393</v>
      </c>
      <c r="E860">
        <v>7</v>
      </c>
      <c r="F860" t="s">
        <v>1253</v>
      </c>
    </row>
    <row r="861" spans="1:6" x14ac:dyDescent="0.25">
      <c r="A861" t="s">
        <v>716</v>
      </c>
      <c r="B861" t="s">
        <v>286</v>
      </c>
      <c r="C861" t="s">
        <v>287</v>
      </c>
      <c r="D861" t="str">
        <f>HYPERLINK("http://service.sap.com/sap/support/notes/1129168","1129168")</f>
        <v>1129168</v>
      </c>
      <c r="E861">
        <v>1</v>
      </c>
      <c r="F861" t="s">
        <v>591</v>
      </c>
    </row>
    <row r="862" spans="1:6" x14ac:dyDescent="0.25">
      <c r="A862" t="s">
        <v>716</v>
      </c>
      <c r="B862" t="s">
        <v>286</v>
      </c>
      <c r="C862" t="s">
        <v>287</v>
      </c>
      <c r="D862" t="str">
        <f>HYPERLINK("http://service.sap.com/sap/support/notes/1718798","1718798")</f>
        <v>1718798</v>
      </c>
      <c r="E862">
        <v>2</v>
      </c>
      <c r="F862" t="s">
        <v>1254</v>
      </c>
    </row>
    <row r="863" spans="1:6" x14ac:dyDescent="0.25">
      <c r="A863" t="s">
        <v>716</v>
      </c>
      <c r="B863" t="s">
        <v>286</v>
      </c>
      <c r="C863" t="s">
        <v>287</v>
      </c>
      <c r="D863" t="str">
        <f>HYPERLINK("http://service.sap.com/sap/support/notes/1770061","1770061")</f>
        <v>1770061</v>
      </c>
      <c r="E863">
        <v>1</v>
      </c>
      <c r="F863" t="s">
        <v>289</v>
      </c>
    </row>
    <row r="864" spans="1:6" x14ac:dyDescent="0.25">
      <c r="A864" t="s">
        <v>716</v>
      </c>
      <c r="B864" t="s">
        <v>286</v>
      </c>
      <c r="C864" t="s">
        <v>287</v>
      </c>
      <c r="D864" t="str">
        <f>HYPERLINK("http://service.sap.com/sap/support/notes/1773531","1773531")</f>
        <v>1773531</v>
      </c>
      <c r="E864">
        <v>2</v>
      </c>
      <c r="F864" t="s">
        <v>1255</v>
      </c>
    </row>
    <row r="865" spans="1:6" x14ac:dyDescent="0.25">
      <c r="A865" t="s">
        <v>716</v>
      </c>
      <c r="B865" t="s">
        <v>286</v>
      </c>
      <c r="C865" t="s">
        <v>287</v>
      </c>
      <c r="D865" t="str">
        <f>HYPERLINK("http://service.sap.com/sap/support/notes/1776916","1776916")</f>
        <v>1776916</v>
      </c>
      <c r="E865">
        <v>7</v>
      </c>
      <c r="F865" t="s">
        <v>1256</v>
      </c>
    </row>
    <row r="866" spans="1:6" x14ac:dyDescent="0.25">
      <c r="A866" t="s">
        <v>716</v>
      </c>
      <c r="B866" t="s">
        <v>286</v>
      </c>
      <c r="C866" t="s">
        <v>287</v>
      </c>
      <c r="D866" t="str">
        <f>HYPERLINK("http://service.sap.com/sap/support/notes/1777393","1777393")</f>
        <v>1777393</v>
      </c>
      <c r="E866">
        <v>1</v>
      </c>
      <c r="F866" t="s">
        <v>1257</v>
      </c>
    </row>
    <row r="867" spans="1:6" x14ac:dyDescent="0.25">
      <c r="A867" t="s">
        <v>716</v>
      </c>
      <c r="B867" t="s">
        <v>286</v>
      </c>
      <c r="C867" t="s">
        <v>287</v>
      </c>
      <c r="D867" t="str">
        <f>HYPERLINK("http://service.sap.com/sap/support/notes/1777866","1777866")</f>
        <v>1777866</v>
      </c>
      <c r="E867">
        <v>2</v>
      </c>
      <c r="F867" t="s">
        <v>1258</v>
      </c>
    </row>
    <row r="868" spans="1:6" x14ac:dyDescent="0.25">
      <c r="A868" t="s">
        <v>716</v>
      </c>
      <c r="B868" t="s">
        <v>286</v>
      </c>
      <c r="C868" t="s">
        <v>287</v>
      </c>
      <c r="D868" t="str">
        <f>HYPERLINK("http://service.sap.com/sap/support/notes/1781516","1781516")</f>
        <v>1781516</v>
      </c>
      <c r="E868">
        <v>2</v>
      </c>
      <c r="F868" t="s">
        <v>1259</v>
      </c>
    </row>
    <row r="869" spans="1:6" x14ac:dyDescent="0.25">
      <c r="A869" t="s">
        <v>716</v>
      </c>
      <c r="B869" t="s">
        <v>286</v>
      </c>
      <c r="C869" t="s">
        <v>287</v>
      </c>
      <c r="D869" t="str">
        <f>HYPERLINK("http://service.sap.com/sap/support/notes/1786083","1786083")</f>
        <v>1786083</v>
      </c>
      <c r="E869">
        <v>2</v>
      </c>
      <c r="F869" t="s">
        <v>1260</v>
      </c>
    </row>
    <row r="870" spans="1:6" x14ac:dyDescent="0.25">
      <c r="A870" t="s">
        <v>716</v>
      </c>
      <c r="B870" t="s">
        <v>286</v>
      </c>
      <c r="C870" t="s">
        <v>287</v>
      </c>
      <c r="D870" t="str">
        <f>HYPERLINK("http://service.sap.com/sap/support/notes/1790997","1790997")</f>
        <v>1790997</v>
      </c>
      <c r="E870">
        <v>1</v>
      </c>
      <c r="F870" t="s">
        <v>1261</v>
      </c>
    </row>
    <row r="871" spans="1:6" x14ac:dyDescent="0.25">
      <c r="A871" t="s">
        <v>716</v>
      </c>
      <c r="B871" t="s">
        <v>651</v>
      </c>
      <c r="C871" t="s">
        <v>192</v>
      </c>
    </row>
    <row r="872" spans="1:6" x14ac:dyDescent="0.25">
      <c r="A872" t="s">
        <v>716</v>
      </c>
      <c r="B872" t="s">
        <v>652</v>
      </c>
      <c r="C872" t="s">
        <v>1262</v>
      </c>
      <c r="D872" t="str">
        <f>HYPERLINK("http://service.sap.com/sap/support/notes/1705472","1705472")</f>
        <v>1705472</v>
      </c>
      <c r="E872">
        <v>3</v>
      </c>
      <c r="F872" t="s">
        <v>1263</v>
      </c>
    </row>
    <row r="873" spans="1:6" x14ac:dyDescent="0.25">
      <c r="A873" t="s">
        <v>716</v>
      </c>
      <c r="B873" t="s">
        <v>652</v>
      </c>
      <c r="C873" t="s">
        <v>1262</v>
      </c>
      <c r="D873" t="str">
        <f>HYPERLINK("http://service.sap.com/sap/support/notes/1763909","1763909")</f>
        <v>1763909</v>
      </c>
      <c r="E873">
        <v>2</v>
      </c>
      <c r="F873" t="s">
        <v>1264</v>
      </c>
    </row>
    <row r="874" spans="1:6" x14ac:dyDescent="0.25">
      <c r="A874" t="s">
        <v>716</v>
      </c>
      <c r="B874" t="s">
        <v>292</v>
      </c>
      <c r="C874" t="s">
        <v>196</v>
      </c>
    </row>
    <row r="875" spans="1:6" x14ac:dyDescent="0.25">
      <c r="A875" t="s">
        <v>716</v>
      </c>
      <c r="B875" t="s">
        <v>293</v>
      </c>
      <c r="C875" t="s">
        <v>294</v>
      </c>
      <c r="D875" t="str">
        <f>HYPERLINK("http://service.sap.com/sap/support/notes/1774332","1774332")</f>
        <v>1774332</v>
      </c>
      <c r="E875">
        <v>4</v>
      </c>
      <c r="F875" t="s">
        <v>1265</v>
      </c>
    </row>
    <row r="876" spans="1:6" x14ac:dyDescent="0.25">
      <c r="A876" t="s">
        <v>716</v>
      </c>
      <c r="B876" t="s">
        <v>299</v>
      </c>
      <c r="C876" t="s">
        <v>128</v>
      </c>
      <c r="D876" t="str">
        <f>HYPERLINK("http://service.sap.com/sap/support/notes/1749738","1749738")</f>
        <v>1749738</v>
      </c>
      <c r="E876">
        <v>5</v>
      </c>
      <c r="F876" t="s">
        <v>1266</v>
      </c>
    </row>
    <row r="877" spans="1:6" x14ac:dyDescent="0.25">
      <c r="A877" t="s">
        <v>716</v>
      </c>
      <c r="B877" t="s">
        <v>299</v>
      </c>
      <c r="C877" t="s">
        <v>128</v>
      </c>
      <c r="D877" t="str">
        <f>HYPERLINK("http://service.sap.com/sap/support/notes/1783976","1783976")</f>
        <v>1783976</v>
      </c>
      <c r="E877">
        <v>1</v>
      </c>
      <c r="F877" t="s">
        <v>1267</v>
      </c>
    </row>
    <row r="878" spans="1:6" x14ac:dyDescent="0.25">
      <c r="A878" t="s">
        <v>716</v>
      </c>
      <c r="B878" t="s">
        <v>299</v>
      </c>
      <c r="C878" t="s">
        <v>128</v>
      </c>
      <c r="D878" t="str">
        <f>HYPERLINK("http://service.sap.com/sap/support/notes/1784993","1784993")</f>
        <v>1784993</v>
      </c>
      <c r="E878">
        <v>1</v>
      </c>
      <c r="F878" t="s">
        <v>1268</v>
      </c>
    </row>
    <row r="879" spans="1:6" x14ac:dyDescent="0.25">
      <c r="A879" t="s">
        <v>716</v>
      </c>
      <c r="B879" t="s">
        <v>299</v>
      </c>
      <c r="C879" t="s">
        <v>128</v>
      </c>
      <c r="D879" t="str">
        <f>HYPERLINK("http://service.sap.com/sap/support/notes/1788460","1788460")</f>
        <v>1788460</v>
      </c>
      <c r="E879">
        <v>2</v>
      </c>
      <c r="F879" t="s">
        <v>1269</v>
      </c>
    </row>
    <row r="880" spans="1:6" x14ac:dyDescent="0.25">
      <c r="A880" t="s">
        <v>716</v>
      </c>
      <c r="B880" t="s">
        <v>301</v>
      </c>
      <c r="C880" t="s">
        <v>156</v>
      </c>
    </row>
    <row r="881" spans="1:6" x14ac:dyDescent="0.25">
      <c r="A881" t="s">
        <v>716</v>
      </c>
      <c r="B881" t="s">
        <v>302</v>
      </c>
      <c r="C881" t="s">
        <v>303</v>
      </c>
      <c r="D881" t="str">
        <f>HYPERLINK("http://service.sap.com/sap/support/notes/1761747","1761747")</f>
        <v>1761747</v>
      </c>
      <c r="E881">
        <v>1</v>
      </c>
      <c r="F881" t="s">
        <v>1270</v>
      </c>
    </row>
    <row r="882" spans="1:6" x14ac:dyDescent="0.25">
      <c r="A882" t="s">
        <v>716</v>
      </c>
      <c r="B882" t="s">
        <v>302</v>
      </c>
      <c r="C882" t="s">
        <v>303</v>
      </c>
      <c r="D882" t="str">
        <f>HYPERLINK("http://service.sap.com/sap/support/notes/1767790","1767790")</f>
        <v>1767790</v>
      </c>
      <c r="E882">
        <v>3</v>
      </c>
      <c r="F882" t="s">
        <v>1271</v>
      </c>
    </row>
    <row r="883" spans="1:6" x14ac:dyDescent="0.25">
      <c r="A883" t="s">
        <v>716</v>
      </c>
      <c r="B883" t="s">
        <v>302</v>
      </c>
      <c r="C883" t="s">
        <v>303</v>
      </c>
      <c r="D883" t="str">
        <f>HYPERLINK("http://service.sap.com/sap/support/notes/1770887","1770887")</f>
        <v>1770887</v>
      </c>
      <c r="E883">
        <v>2</v>
      </c>
      <c r="F883" t="s">
        <v>1272</v>
      </c>
    </row>
    <row r="884" spans="1:6" x14ac:dyDescent="0.25">
      <c r="A884" t="s">
        <v>716</v>
      </c>
      <c r="B884" t="s">
        <v>302</v>
      </c>
      <c r="C884" t="s">
        <v>303</v>
      </c>
      <c r="D884" t="str">
        <f>HYPERLINK("http://service.sap.com/sap/support/notes/1774510","1774510")</f>
        <v>1774510</v>
      </c>
      <c r="E884">
        <v>1</v>
      </c>
      <c r="F884" t="s">
        <v>1273</v>
      </c>
    </row>
    <row r="885" spans="1:6" x14ac:dyDescent="0.25">
      <c r="A885" t="s">
        <v>716</v>
      </c>
      <c r="B885" t="s">
        <v>302</v>
      </c>
      <c r="C885" t="s">
        <v>303</v>
      </c>
      <c r="D885" t="str">
        <f>HYPERLINK("http://service.sap.com/sap/support/notes/1777287","1777287")</f>
        <v>1777287</v>
      </c>
      <c r="E885">
        <v>2</v>
      </c>
      <c r="F885" t="s">
        <v>1274</v>
      </c>
    </row>
    <row r="886" spans="1:6" x14ac:dyDescent="0.25">
      <c r="A886" t="s">
        <v>716</v>
      </c>
      <c r="B886" t="s">
        <v>302</v>
      </c>
      <c r="C886" t="s">
        <v>303</v>
      </c>
      <c r="D886" t="str">
        <f>HYPERLINK("http://service.sap.com/sap/support/notes/1781248","1781248")</f>
        <v>1781248</v>
      </c>
      <c r="E886">
        <v>1</v>
      </c>
      <c r="F886" t="s">
        <v>1275</v>
      </c>
    </row>
    <row r="887" spans="1:6" x14ac:dyDescent="0.25">
      <c r="A887" t="s">
        <v>716</v>
      </c>
      <c r="B887" t="s">
        <v>306</v>
      </c>
      <c r="C887" t="s">
        <v>307</v>
      </c>
      <c r="D887" t="str">
        <f>HYPERLINK("http://service.sap.com/sap/support/notes/1782420","1782420")</f>
        <v>1782420</v>
      </c>
      <c r="E887">
        <v>1</v>
      </c>
      <c r="F887" t="s">
        <v>1276</v>
      </c>
    </row>
    <row r="888" spans="1:6" x14ac:dyDescent="0.25">
      <c r="A888" t="s">
        <v>716</v>
      </c>
      <c r="B888" t="s">
        <v>306</v>
      </c>
      <c r="C888" t="s">
        <v>307</v>
      </c>
      <c r="D888" t="str">
        <f>HYPERLINK("http://service.sap.com/sap/support/notes/1787107","1787107")</f>
        <v>1787107</v>
      </c>
      <c r="E888">
        <v>1</v>
      </c>
      <c r="F888" t="s">
        <v>1277</v>
      </c>
    </row>
    <row r="889" spans="1:6" x14ac:dyDescent="0.25">
      <c r="A889" t="s">
        <v>716</v>
      </c>
      <c r="B889" t="s">
        <v>310</v>
      </c>
      <c r="C889" t="s">
        <v>311</v>
      </c>
      <c r="D889" t="str">
        <f>HYPERLINK("http://service.sap.com/sap/support/notes/1785457","1785457")</f>
        <v>1785457</v>
      </c>
      <c r="E889">
        <v>1</v>
      </c>
      <c r="F889" t="s">
        <v>1278</v>
      </c>
    </row>
    <row r="890" spans="1:6" x14ac:dyDescent="0.25">
      <c r="A890" t="s">
        <v>716</v>
      </c>
      <c r="B890" t="s">
        <v>313</v>
      </c>
      <c r="C890" t="s">
        <v>314</v>
      </c>
      <c r="D890" t="str">
        <f>HYPERLINK("http://service.sap.com/sap/support/notes/1765857","1765857")</f>
        <v>1765857</v>
      </c>
      <c r="E890">
        <v>5</v>
      </c>
      <c r="F890" t="s">
        <v>1279</v>
      </c>
    </row>
    <row r="891" spans="1:6" x14ac:dyDescent="0.25">
      <c r="A891" t="s">
        <v>716</v>
      </c>
      <c r="B891" t="s">
        <v>313</v>
      </c>
      <c r="C891" t="s">
        <v>314</v>
      </c>
      <c r="D891" t="str">
        <f>HYPERLINK("http://service.sap.com/sap/support/notes/1772926","1772926")</f>
        <v>1772926</v>
      </c>
      <c r="E891">
        <v>1</v>
      </c>
      <c r="F891" t="s">
        <v>1280</v>
      </c>
    </row>
    <row r="892" spans="1:6" x14ac:dyDescent="0.25">
      <c r="A892" t="s">
        <v>716</v>
      </c>
      <c r="B892" t="s">
        <v>313</v>
      </c>
      <c r="C892" t="s">
        <v>314</v>
      </c>
      <c r="D892" t="str">
        <f>HYPERLINK("http://service.sap.com/sap/support/notes/1773955","1773955")</f>
        <v>1773955</v>
      </c>
      <c r="E892">
        <v>1</v>
      </c>
      <c r="F892" t="s">
        <v>1281</v>
      </c>
    </row>
    <row r="893" spans="1:6" x14ac:dyDescent="0.25">
      <c r="A893" t="s">
        <v>716</v>
      </c>
      <c r="B893" t="s">
        <v>313</v>
      </c>
      <c r="C893" t="s">
        <v>314</v>
      </c>
      <c r="D893" t="str">
        <f>HYPERLINK("http://service.sap.com/sap/support/notes/1775505","1775505")</f>
        <v>1775505</v>
      </c>
      <c r="E893">
        <v>1</v>
      </c>
      <c r="F893" t="s">
        <v>1282</v>
      </c>
    </row>
    <row r="894" spans="1:6" x14ac:dyDescent="0.25">
      <c r="A894" t="s">
        <v>716</v>
      </c>
      <c r="B894" t="s">
        <v>313</v>
      </c>
      <c r="C894" t="s">
        <v>314</v>
      </c>
      <c r="D894" t="str">
        <f>HYPERLINK("http://service.sap.com/sap/support/notes/1779567","1779567")</f>
        <v>1779567</v>
      </c>
      <c r="E894">
        <v>1</v>
      </c>
      <c r="F894" t="s">
        <v>1283</v>
      </c>
    </row>
    <row r="895" spans="1:6" x14ac:dyDescent="0.25">
      <c r="A895" t="s">
        <v>716</v>
      </c>
      <c r="B895" t="s">
        <v>313</v>
      </c>
      <c r="C895" t="s">
        <v>314</v>
      </c>
      <c r="D895" t="str">
        <f>HYPERLINK("http://service.sap.com/sap/support/notes/1780031","1780031")</f>
        <v>1780031</v>
      </c>
      <c r="E895">
        <v>3</v>
      </c>
      <c r="F895" t="s">
        <v>1284</v>
      </c>
    </row>
    <row r="896" spans="1:6" x14ac:dyDescent="0.25">
      <c r="A896" t="s">
        <v>716</v>
      </c>
      <c r="B896" t="s">
        <v>313</v>
      </c>
      <c r="C896" t="s">
        <v>314</v>
      </c>
      <c r="D896" t="str">
        <f>HYPERLINK("http://service.sap.com/sap/support/notes/1780558","1780558")</f>
        <v>1780558</v>
      </c>
      <c r="E896">
        <v>1</v>
      </c>
      <c r="F896" t="s">
        <v>1285</v>
      </c>
    </row>
    <row r="897" spans="1:6" x14ac:dyDescent="0.25">
      <c r="A897" t="s">
        <v>716</v>
      </c>
      <c r="B897" t="s">
        <v>313</v>
      </c>
      <c r="C897" t="s">
        <v>314</v>
      </c>
      <c r="D897" t="str">
        <f>HYPERLINK("http://service.sap.com/sap/support/notes/1785708","1785708")</f>
        <v>1785708</v>
      </c>
      <c r="E897">
        <v>2</v>
      </c>
      <c r="F897" t="s">
        <v>1286</v>
      </c>
    </row>
    <row r="898" spans="1:6" x14ac:dyDescent="0.25">
      <c r="A898" t="s">
        <v>716</v>
      </c>
      <c r="B898" t="s">
        <v>319</v>
      </c>
      <c r="C898" t="s">
        <v>320</v>
      </c>
      <c r="D898" t="str">
        <f>HYPERLINK("http://service.sap.com/sap/support/notes/1767904","1767904")</f>
        <v>1767904</v>
      </c>
      <c r="E898">
        <v>4</v>
      </c>
      <c r="F898" t="s">
        <v>1287</v>
      </c>
    </row>
    <row r="899" spans="1:6" x14ac:dyDescent="0.25">
      <c r="A899" t="s">
        <v>716</v>
      </c>
      <c r="B899" t="s">
        <v>319</v>
      </c>
      <c r="C899" t="s">
        <v>320</v>
      </c>
      <c r="D899" t="str">
        <f>HYPERLINK("http://service.sap.com/sap/support/notes/1772337","1772337")</f>
        <v>1772337</v>
      </c>
      <c r="E899">
        <v>2</v>
      </c>
      <c r="F899" t="s">
        <v>324</v>
      </c>
    </row>
    <row r="900" spans="1:6" x14ac:dyDescent="0.25">
      <c r="A900" t="s">
        <v>716</v>
      </c>
      <c r="B900" t="s">
        <v>319</v>
      </c>
      <c r="C900" t="s">
        <v>320</v>
      </c>
      <c r="D900" t="str">
        <f>HYPERLINK("http://service.sap.com/sap/support/notes/1774651","1774651")</f>
        <v>1774651</v>
      </c>
      <c r="E900">
        <v>1</v>
      </c>
      <c r="F900" t="s">
        <v>1288</v>
      </c>
    </row>
    <row r="901" spans="1:6" x14ac:dyDescent="0.25">
      <c r="A901" t="s">
        <v>716</v>
      </c>
      <c r="B901" t="s">
        <v>319</v>
      </c>
      <c r="C901" t="s">
        <v>320</v>
      </c>
      <c r="D901" t="str">
        <f>HYPERLINK("http://service.sap.com/sap/support/notes/1777366","1777366")</f>
        <v>1777366</v>
      </c>
      <c r="E901">
        <v>2</v>
      </c>
      <c r="F901" t="s">
        <v>1289</v>
      </c>
    </row>
    <row r="902" spans="1:6" x14ac:dyDescent="0.25">
      <c r="A902" t="s">
        <v>716</v>
      </c>
      <c r="B902" t="s">
        <v>319</v>
      </c>
      <c r="C902" t="s">
        <v>320</v>
      </c>
      <c r="D902" t="str">
        <f>HYPERLINK("http://service.sap.com/sap/support/notes/1784863","1784863")</f>
        <v>1784863</v>
      </c>
      <c r="E902">
        <v>1</v>
      </c>
      <c r="F902" t="s">
        <v>1290</v>
      </c>
    </row>
    <row r="903" spans="1:6" x14ac:dyDescent="0.25">
      <c r="A903" t="s">
        <v>716</v>
      </c>
      <c r="B903" t="s">
        <v>327</v>
      </c>
      <c r="C903" t="s">
        <v>328</v>
      </c>
      <c r="D903" t="str">
        <f>HYPERLINK("http://service.sap.com/sap/support/notes/1735633","1735633")</f>
        <v>1735633</v>
      </c>
      <c r="E903">
        <v>3</v>
      </c>
      <c r="F903" t="s">
        <v>1291</v>
      </c>
    </row>
    <row r="904" spans="1:6" x14ac:dyDescent="0.25">
      <c r="A904" t="s">
        <v>716</v>
      </c>
      <c r="B904" t="s">
        <v>327</v>
      </c>
      <c r="C904" t="s">
        <v>328</v>
      </c>
      <c r="D904" t="str">
        <f>HYPERLINK("http://service.sap.com/sap/support/notes/1737779","1737779")</f>
        <v>1737779</v>
      </c>
      <c r="E904">
        <v>1</v>
      </c>
      <c r="F904" t="s">
        <v>1292</v>
      </c>
    </row>
    <row r="905" spans="1:6" x14ac:dyDescent="0.25">
      <c r="A905" t="s">
        <v>716</v>
      </c>
      <c r="B905" t="s">
        <v>327</v>
      </c>
      <c r="C905" t="s">
        <v>328</v>
      </c>
      <c r="D905" t="str">
        <f>HYPERLINK("http://service.sap.com/sap/support/notes/1745750","1745750")</f>
        <v>1745750</v>
      </c>
      <c r="E905">
        <v>3</v>
      </c>
      <c r="F905" t="s">
        <v>1293</v>
      </c>
    </row>
    <row r="906" spans="1:6" x14ac:dyDescent="0.25">
      <c r="A906" t="s">
        <v>716</v>
      </c>
      <c r="B906" t="s">
        <v>327</v>
      </c>
      <c r="C906" t="s">
        <v>328</v>
      </c>
      <c r="D906" t="str">
        <f>HYPERLINK("http://service.sap.com/sap/support/notes/1768728","1768728")</f>
        <v>1768728</v>
      </c>
      <c r="E906">
        <v>2</v>
      </c>
      <c r="F906" t="s">
        <v>1294</v>
      </c>
    </row>
    <row r="907" spans="1:6" x14ac:dyDescent="0.25">
      <c r="A907" t="s">
        <v>716</v>
      </c>
      <c r="B907" t="s">
        <v>327</v>
      </c>
      <c r="C907" t="s">
        <v>328</v>
      </c>
      <c r="D907" t="str">
        <f>HYPERLINK("http://service.sap.com/sap/support/notes/1768943","1768943")</f>
        <v>1768943</v>
      </c>
      <c r="E907">
        <v>2</v>
      </c>
      <c r="F907" t="s">
        <v>1294</v>
      </c>
    </row>
    <row r="908" spans="1:6" x14ac:dyDescent="0.25">
      <c r="A908" t="s">
        <v>716</v>
      </c>
      <c r="B908" t="s">
        <v>327</v>
      </c>
      <c r="C908" t="s">
        <v>328</v>
      </c>
      <c r="D908" t="str">
        <f>HYPERLINK("http://service.sap.com/sap/support/notes/1769216","1769216")</f>
        <v>1769216</v>
      </c>
      <c r="E908">
        <v>2</v>
      </c>
      <c r="F908" t="s">
        <v>1295</v>
      </c>
    </row>
    <row r="909" spans="1:6" x14ac:dyDescent="0.25">
      <c r="A909" t="s">
        <v>716</v>
      </c>
      <c r="B909" t="s">
        <v>327</v>
      </c>
      <c r="C909" t="s">
        <v>328</v>
      </c>
      <c r="D909" t="str">
        <f>HYPERLINK("http://service.sap.com/sap/support/notes/1771794","1771794")</f>
        <v>1771794</v>
      </c>
      <c r="E909">
        <v>1</v>
      </c>
      <c r="F909" t="s">
        <v>1296</v>
      </c>
    </row>
    <row r="910" spans="1:6" x14ac:dyDescent="0.25">
      <c r="A910" t="s">
        <v>716</v>
      </c>
      <c r="B910" t="s">
        <v>327</v>
      </c>
      <c r="C910" t="s">
        <v>328</v>
      </c>
      <c r="D910" t="str">
        <f>HYPERLINK("http://service.sap.com/sap/support/notes/1777613","1777613")</f>
        <v>1777613</v>
      </c>
      <c r="E910">
        <v>2</v>
      </c>
      <c r="F910" t="s">
        <v>1297</v>
      </c>
    </row>
    <row r="911" spans="1:6" x14ac:dyDescent="0.25">
      <c r="A911" t="s">
        <v>716</v>
      </c>
      <c r="B911" t="s">
        <v>327</v>
      </c>
      <c r="C911" t="s">
        <v>328</v>
      </c>
      <c r="D911" t="str">
        <f>HYPERLINK("http://service.sap.com/sap/support/notes/1778590","1778590")</f>
        <v>1778590</v>
      </c>
      <c r="E911">
        <v>4</v>
      </c>
      <c r="F911" t="s">
        <v>1298</v>
      </c>
    </row>
    <row r="912" spans="1:6" x14ac:dyDescent="0.25">
      <c r="A912" t="s">
        <v>716</v>
      </c>
      <c r="B912" t="s">
        <v>327</v>
      </c>
      <c r="C912" t="s">
        <v>328</v>
      </c>
      <c r="D912" t="str">
        <f>HYPERLINK("http://service.sap.com/sap/support/notes/1782207","1782207")</f>
        <v>1782207</v>
      </c>
      <c r="E912">
        <v>1</v>
      </c>
      <c r="F912" t="s">
        <v>1299</v>
      </c>
    </row>
    <row r="913" spans="1:6" x14ac:dyDescent="0.25">
      <c r="A913" t="s">
        <v>716</v>
      </c>
      <c r="B913" t="s">
        <v>327</v>
      </c>
      <c r="C913" t="s">
        <v>328</v>
      </c>
      <c r="D913" t="str">
        <f>HYPERLINK("http://service.sap.com/sap/support/notes/1785686","1785686")</f>
        <v>1785686</v>
      </c>
      <c r="E913">
        <v>4</v>
      </c>
      <c r="F913" t="s">
        <v>1300</v>
      </c>
    </row>
    <row r="914" spans="1:6" x14ac:dyDescent="0.25">
      <c r="A914" t="s">
        <v>716</v>
      </c>
      <c r="B914" t="s">
        <v>337</v>
      </c>
      <c r="C914" t="s">
        <v>48</v>
      </c>
      <c r="D914" t="str">
        <f>HYPERLINK("http://service.sap.com/sap/support/notes/1754998","1754998")</f>
        <v>1754998</v>
      </c>
      <c r="E914">
        <v>2</v>
      </c>
      <c r="F914" t="s">
        <v>1301</v>
      </c>
    </row>
    <row r="915" spans="1:6" x14ac:dyDescent="0.25">
      <c r="A915" t="s">
        <v>716</v>
      </c>
      <c r="B915" t="s">
        <v>337</v>
      </c>
      <c r="C915" t="s">
        <v>48</v>
      </c>
      <c r="D915" t="str">
        <f>HYPERLINK("http://service.sap.com/sap/support/notes/1775543","1775543")</f>
        <v>1775543</v>
      </c>
      <c r="E915">
        <v>2</v>
      </c>
      <c r="F915" t="s">
        <v>1302</v>
      </c>
    </row>
    <row r="916" spans="1:6" x14ac:dyDescent="0.25">
      <c r="A916" t="s">
        <v>716</v>
      </c>
      <c r="B916" t="s">
        <v>337</v>
      </c>
      <c r="C916" t="s">
        <v>48</v>
      </c>
      <c r="D916" t="str">
        <f>HYPERLINK("http://service.sap.com/sap/support/notes/1776224","1776224")</f>
        <v>1776224</v>
      </c>
      <c r="E916">
        <v>2</v>
      </c>
      <c r="F916" t="s">
        <v>1303</v>
      </c>
    </row>
    <row r="917" spans="1:6" x14ac:dyDescent="0.25">
      <c r="A917" t="s">
        <v>716</v>
      </c>
      <c r="B917" t="s">
        <v>337</v>
      </c>
      <c r="C917" t="s">
        <v>48</v>
      </c>
      <c r="D917" t="str">
        <f>HYPERLINK("http://service.sap.com/sap/support/notes/1778836","1778836")</f>
        <v>1778836</v>
      </c>
      <c r="E917">
        <v>3</v>
      </c>
      <c r="F917" t="s">
        <v>1304</v>
      </c>
    </row>
    <row r="918" spans="1:6" x14ac:dyDescent="0.25">
      <c r="A918" t="s">
        <v>716</v>
      </c>
      <c r="B918" t="s">
        <v>337</v>
      </c>
      <c r="C918" t="s">
        <v>48</v>
      </c>
      <c r="D918" t="str">
        <f>HYPERLINK("http://service.sap.com/sap/support/notes/1781276","1781276")</f>
        <v>1781276</v>
      </c>
      <c r="E918">
        <v>2</v>
      </c>
      <c r="F918" t="s">
        <v>1305</v>
      </c>
    </row>
    <row r="919" spans="1:6" x14ac:dyDescent="0.25">
      <c r="A919" t="s">
        <v>716</v>
      </c>
      <c r="B919" t="s">
        <v>337</v>
      </c>
      <c r="C919" t="s">
        <v>48</v>
      </c>
      <c r="D919" t="str">
        <f>HYPERLINK("http://service.sap.com/sap/support/notes/1783629","1783629")</f>
        <v>1783629</v>
      </c>
      <c r="E919">
        <v>1</v>
      </c>
      <c r="F919" t="s">
        <v>1306</v>
      </c>
    </row>
    <row r="920" spans="1:6" x14ac:dyDescent="0.25">
      <c r="A920" t="s">
        <v>716</v>
      </c>
      <c r="B920" t="s">
        <v>337</v>
      </c>
      <c r="C920" t="s">
        <v>48</v>
      </c>
      <c r="D920" t="str">
        <f>HYPERLINK("http://service.sap.com/sap/support/notes/1783686","1783686")</f>
        <v>1783686</v>
      </c>
      <c r="E920">
        <v>2</v>
      </c>
      <c r="F920" t="s">
        <v>1307</v>
      </c>
    </row>
    <row r="921" spans="1:6" x14ac:dyDescent="0.25">
      <c r="A921" t="s">
        <v>716</v>
      </c>
      <c r="B921" t="s">
        <v>337</v>
      </c>
      <c r="C921" t="s">
        <v>48</v>
      </c>
      <c r="D921" t="str">
        <f>HYPERLINK("http://service.sap.com/sap/support/notes/1787521","1787521")</f>
        <v>1787521</v>
      </c>
      <c r="E921">
        <v>2</v>
      </c>
      <c r="F921" t="s">
        <v>1308</v>
      </c>
    </row>
    <row r="922" spans="1:6" x14ac:dyDescent="0.25">
      <c r="A922" t="s">
        <v>716</v>
      </c>
      <c r="B922" t="s">
        <v>340</v>
      </c>
      <c r="C922" t="s">
        <v>52</v>
      </c>
      <c r="D922" t="str">
        <f>HYPERLINK("http://service.sap.com/sap/support/notes/1782870","1782870")</f>
        <v>1782870</v>
      </c>
      <c r="E922">
        <v>3</v>
      </c>
      <c r="F922" t="s">
        <v>1309</v>
      </c>
    </row>
    <row r="923" spans="1:6" x14ac:dyDescent="0.25">
      <c r="A923" t="s">
        <v>716</v>
      </c>
      <c r="B923" t="s">
        <v>340</v>
      </c>
      <c r="C923" t="s">
        <v>52</v>
      </c>
      <c r="D923" t="str">
        <f>HYPERLINK("http://service.sap.com/sap/support/notes/1784268","1784268")</f>
        <v>1784268</v>
      </c>
      <c r="E923">
        <v>2</v>
      </c>
      <c r="F923" t="s">
        <v>1310</v>
      </c>
    </row>
    <row r="924" spans="1:6" x14ac:dyDescent="0.25">
      <c r="A924" t="s">
        <v>716</v>
      </c>
      <c r="B924" t="s">
        <v>340</v>
      </c>
      <c r="C924" t="s">
        <v>52</v>
      </c>
      <c r="D924" t="str">
        <f>HYPERLINK("http://service.sap.com/sap/support/notes/1787078","1787078")</f>
        <v>1787078</v>
      </c>
      <c r="E924">
        <v>1</v>
      </c>
      <c r="F924" t="s">
        <v>1311</v>
      </c>
    </row>
    <row r="925" spans="1:6" x14ac:dyDescent="0.25">
      <c r="A925" t="s">
        <v>716</v>
      </c>
      <c r="B925" t="s">
        <v>340</v>
      </c>
      <c r="C925" t="s">
        <v>52</v>
      </c>
      <c r="D925" t="str">
        <f>HYPERLINK("http://service.sap.com/sap/support/notes/1790492","1790492")</f>
        <v>1790492</v>
      </c>
      <c r="E925">
        <v>3</v>
      </c>
      <c r="F925" t="s">
        <v>1312</v>
      </c>
    </row>
    <row r="926" spans="1:6" x14ac:dyDescent="0.25">
      <c r="A926" t="s">
        <v>716</v>
      </c>
      <c r="B926" t="s">
        <v>344</v>
      </c>
      <c r="C926" t="s">
        <v>345</v>
      </c>
      <c r="D926" t="str">
        <f>HYPERLINK("http://service.sap.com/sap/support/notes/1346548","1346548")</f>
        <v>1346548</v>
      </c>
      <c r="E926">
        <v>1</v>
      </c>
      <c r="F926" t="s">
        <v>1313</v>
      </c>
    </row>
    <row r="927" spans="1:6" x14ac:dyDescent="0.25">
      <c r="A927" t="s">
        <v>716</v>
      </c>
      <c r="B927" t="s">
        <v>344</v>
      </c>
      <c r="C927" t="s">
        <v>345</v>
      </c>
      <c r="D927" t="str">
        <f>HYPERLINK("http://service.sap.com/sap/support/notes/1651986","1651986")</f>
        <v>1651986</v>
      </c>
      <c r="E927">
        <v>14</v>
      </c>
      <c r="F927" t="s">
        <v>1314</v>
      </c>
    </row>
    <row r="928" spans="1:6" x14ac:dyDescent="0.25">
      <c r="A928" t="s">
        <v>716</v>
      </c>
      <c r="B928" t="s">
        <v>344</v>
      </c>
      <c r="C928" t="s">
        <v>345</v>
      </c>
      <c r="D928" t="str">
        <f>HYPERLINK("http://service.sap.com/sap/support/notes/1772283","1772283")</f>
        <v>1772283</v>
      </c>
      <c r="E928">
        <v>3</v>
      </c>
      <c r="F928" t="s">
        <v>1315</v>
      </c>
    </row>
    <row r="929" spans="1:6" x14ac:dyDescent="0.25">
      <c r="A929" t="s">
        <v>716</v>
      </c>
      <c r="B929" t="s">
        <v>690</v>
      </c>
      <c r="C929" t="s">
        <v>691</v>
      </c>
      <c r="D929" t="str">
        <f>HYPERLINK("http://service.sap.com/sap/support/notes/1789890","1789890")</f>
        <v>1789890</v>
      </c>
      <c r="E929">
        <v>1</v>
      </c>
      <c r="F929" t="s">
        <v>1316</v>
      </c>
    </row>
    <row r="930" spans="1:6" x14ac:dyDescent="0.25">
      <c r="A930" t="s">
        <v>716</v>
      </c>
      <c r="B930" t="s">
        <v>350</v>
      </c>
      <c r="C930" t="s">
        <v>351</v>
      </c>
      <c r="D930" t="str">
        <f>HYPERLINK("http://service.sap.com/sap/support/notes/1779076","1779076")</f>
        <v>1779076</v>
      </c>
      <c r="E930">
        <v>2</v>
      </c>
      <c r="F930" t="s">
        <v>1317</v>
      </c>
    </row>
    <row r="931" spans="1:6" x14ac:dyDescent="0.25">
      <c r="A931" t="s">
        <v>716</v>
      </c>
      <c r="B931" t="s">
        <v>350</v>
      </c>
      <c r="C931" t="s">
        <v>351</v>
      </c>
      <c r="D931" t="str">
        <f>HYPERLINK("http://service.sap.com/sap/support/notes/1780041","1780041")</f>
        <v>1780041</v>
      </c>
      <c r="E931">
        <v>3</v>
      </c>
      <c r="F931" t="s">
        <v>1318</v>
      </c>
    </row>
    <row r="932" spans="1:6" x14ac:dyDescent="0.25">
      <c r="A932" t="s">
        <v>716</v>
      </c>
      <c r="B932" t="s">
        <v>350</v>
      </c>
      <c r="C932" t="s">
        <v>351</v>
      </c>
      <c r="D932" t="str">
        <f>HYPERLINK("http://service.sap.com/sap/support/notes/1780183","1780183")</f>
        <v>1780183</v>
      </c>
      <c r="E932">
        <v>1</v>
      </c>
      <c r="F932" t="s">
        <v>1319</v>
      </c>
    </row>
    <row r="933" spans="1:6" x14ac:dyDescent="0.25">
      <c r="A933" t="s">
        <v>716</v>
      </c>
      <c r="B933" t="s">
        <v>350</v>
      </c>
      <c r="C933" t="s">
        <v>351</v>
      </c>
      <c r="D933" t="str">
        <f>HYPERLINK("http://service.sap.com/sap/support/notes/1783823","1783823")</f>
        <v>1783823</v>
      </c>
      <c r="E933">
        <v>1</v>
      </c>
      <c r="F933" t="s">
        <v>1320</v>
      </c>
    </row>
    <row r="934" spans="1:6" x14ac:dyDescent="0.25">
      <c r="A934" t="s">
        <v>716</v>
      </c>
      <c r="B934" t="s">
        <v>356</v>
      </c>
      <c r="C934" t="s">
        <v>55</v>
      </c>
      <c r="D934" t="str">
        <f>HYPERLINK("http://service.sap.com/sap/support/notes/1759448","1759448")</f>
        <v>1759448</v>
      </c>
      <c r="E934">
        <v>3</v>
      </c>
      <c r="F934" t="s">
        <v>1321</v>
      </c>
    </row>
    <row r="935" spans="1:6" x14ac:dyDescent="0.25">
      <c r="A935" t="s">
        <v>716</v>
      </c>
      <c r="B935" t="s">
        <v>356</v>
      </c>
      <c r="C935" t="s">
        <v>55</v>
      </c>
      <c r="D935" t="str">
        <f>HYPERLINK("http://service.sap.com/sap/support/notes/1760776","1760776")</f>
        <v>1760776</v>
      </c>
      <c r="E935">
        <v>1</v>
      </c>
      <c r="F935" t="s">
        <v>1322</v>
      </c>
    </row>
    <row r="936" spans="1:6" x14ac:dyDescent="0.25">
      <c r="A936" t="s">
        <v>716</v>
      </c>
      <c r="B936" t="s">
        <v>356</v>
      </c>
      <c r="C936" t="s">
        <v>55</v>
      </c>
      <c r="D936" t="str">
        <f>HYPERLINK("http://service.sap.com/sap/support/notes/1770142","1770142")</f>
        <v>1770142</v>
      </c>
      <c r="E936">
        <v>3</v>
      </c>
      <c r="F936" t="s">
        <v>1323</v>
      </c>
    </row>
    <row r="937" spans="1:6" x14ac:dyDescent="0.25">
      <c r="A937" t="s">
        <v>716</v>
      </c>
      <c r="B937" t="s">
        <v>356</v>
      </c>
      <c r="C937" t="s">
        <v>55</v>
      </c>
      <c r="D937" t="str">
        <f>HYPERLINK("http://service.sap.com/sap/support/notes/1772169","1772169")</f>
        <v>1772169</v>
      </c>
      <c r="E937">
        <v>2</v>
      </c>
      <c r="F937" t="s">
        <v>1324</v>
      </c>
    </row>
    <row r="938" spans="1:6" x14ac:dyDescent="0.25">
      <c r="A938" t="s">
        <v>716</v>
      </c>
      <c r="B938" t="s">
        <v>356</v>
      </c>
      <c r="C938" t="s">
        <v>55</v>
      </c>
      <c r="D938" t="str">
        <f>HYPERLINK("http://service.sap.com/sap/support/notes/1778329","1778329")</f>
        <v>1778329</v>
      </c>
      <c r="E938">
        <v>5</v>
      </c>
      <c r="F938" t="s">
        <v>361</v>
      </c>
    </row>
    <row r="939" spans="1:6" x14ac:dyDescent="0.25">
      <c r="A939" t="s">
        <v>716</v>
      </c>
      <c r="B939" t="s">
        <v>356</v>
      </c>
      <c r="C939" t="s">
        <v>55</v>
      </c>
      <c r="D939" t="str">
        <f>HYPERLINK("http://service.sap.com/sap/support/notes/1778343","1778343")</f>
        <v>1778343</v>
      </c>
      <c r="E939">
        <v>2</v>
      </c>
      <c r="F939" t="s">
        <v>1325</v>
      </c>
    </row>
    <row r="940" spans="1:6" x14ac:dyDescent="0.25">
      <c r="A940" t="s">
        <v>716</v>
      </c>
      <c r="B940" t="s">
        <v>356</v>
      </c>
      <c r="C940" t="s">
        <v>55</v>
      </c>
      <c r="D940" t="str">
        <f>HYPERLINK("http://service.sap.com/sap/support/notes/1779424","1779424")</f>
        <v>1779424</v>
      </c>
      <c r="E940">
        <v>1</v>
      </c>
      <c r="F940" t="s">
        <v>1326</v>
      </c>
    </row>
    <row r="941" spans="1:6" x14ac:dyDescent="0.25">
      <c r="A941" t="s">
        <v>716</v>
      </c>
      <c r="B941" t="s">
        <v>356</v>
      </c>
      <c r="C941" t="s">
        <v>55</v>
      </c>
      <c r="D941" t="str">
        <f>HYPERLINK("http://service.sap.com/sap/support/notes/1780536","1780536")</f>
        <v>1780536</v>
      </c>
      <c r="E941">
        <v>1</v>
      </c>
      <c r="F941" t="s">
        <v>1327</v>
      </c>
    </row>
    <row r="942" spans="1:6" x14ac:dyDescent="0.25">
      <c r="A942" t="s">
        <v>716</v>
      </c>
      <c r="B942" t="s">
        <v>356</v>
      </c>
      <c r="C942" t="s">
        <v>55</v>
      </c>
      <c r="D942" t="str">
        <f>HYPERLINK("http://service.sap.com/sap/support/notes/1780699","1780699")</f>
        <v>1780699</v>
      </c>
      <c r="E942">
        <v>2</v>
      </c>
      <c r="F942" t="s">
        <v>1328</v>
      </c>
    </row>
    <row r="943" spans="1:6" x14ac:dyDescent="0.25">
      <c r="A943" t="s">
        <v>716</v>
      </c>
      <c r="B943" t="s">
        <v>356</v>
      </c>
      <c r="C943" t="s">
        <v>55</v>
      </c>
      <c r="D943" t="str">
        <f>HYPERLINK("http://service.sap.com/sap/support/notes/1780856","1780856")</f>
        <v>1780856</v>
      </c>
      <c r="E943">
        <v>1</v>
      </c>
      <c r="F943" t="s">
        <v>1329</v>
      </c>
    </row>
    <row r="944" spans="1:6" x14ac:dyDescent="0.25">
      <c r="A944" t="s">
        <v>716</v>
      </c>
      <c r="B944" t="s">
        <v>356</v>
      </c>
      <c r="C944" t="s">
        <v>55</v>
      </c>
      <c r="D944" t="str">
        <f>HYPERLINK("http://service.sap.com/sap/support/notes/1783403","1783403")</f>
        <v>1783403</v>
      </c>
      <c r="E944">
        <v>1</v>
      </c>
      <c r="F944" t="s">
        <v>1330</v>
      </c>
    </row>
    <row r="945" spans="1:6" x14ac:dyDescent="0.25">
      <c r="A945" t="s">
        <v>716</v>
      </c>
      <c r="B945" t="s">
        <v>356</v>
      </c>
      <c r="C945" t="s">
        <v>55</v>
      </c>
      <c r="D945" t="str">
        <f>HYPERLINK("http://service.sap.com/sap/support/notes/1785613","1785613")</f>
        <v>1785613</v>
      </c>
      <c r="E945">
        <v>1</v>
      </c>
      <c r="F945" t="s">
        <v>1331</v>
      </c>
    </row>
    <row r="946" spans="1:6" x14ac:dyDescent="0.25">
      <c r="A946" t="s">
        <v>716</v>
      </c>
      <c r="B946" t="s">
        <v>356</v>
      </c>
      <c r="C946" t="s">
        <v>55</v>
      </c>
      <c r="D946" t="str">
        <f>HYPERLINK("http://service.sap.com/sap/support/notes/1788983","1788983")</f>
        <v>1788983</v>
      </c>
      <c r="E946">
        <v>1</v>
      </c>
      <c r="F946" t="s">
        <v>1332</v>
      </c>
    </row>
    <row r="947" spans="1:6" x14ac:dyDescent="0.25">
      <c r="A947" t="s">
        <v>716</v>
      </c>
      <c r="B947" t="s">
        <v>356</v>
      </c>
      <c r="C947" t="s">
        <v>55</v>
      </c>
      <c r="D947" t="str">
        <f>HYPERLINK("http://service.sap.com/sap/support/notes/1789428","1789428")</f>
        <v>1789428</v>
      </c>
      <c r="E947">
        <v>1</v>
      </c>
      <c r="F947" t="s">
        <v>1333</v>
      </c>
    </row>
    <row r="948" spans="1:6" x14ac:dyDescent="0.25">
      <c r="A948" t="s">
        <v>716</v>
      </c>
      <c r="B948" t="s">
        <v>356</v>
      </c>
      <c r="C948" t="s">
        <v>55</v>
      </c>
      <c r="D948" t="str">
        <f>HYPERLINK("http://service.sap.com/sap/support/notes/1790882","1790882")</f>
        <v>1790882</v>
      </c>
      <c r="E948">
        <v>2</v>
      </c>
      <c r="F948" t="s">
        <v>1334</v>
      </c>
    </row>
    <row r="949" spans="1:6" x14ac:dyDescent="0.25">
      <c r="A949" t="s">
        <v>716</v>
      </c>
      <c r="B949" t="s">
        <v>362</v>
      </c>
      <c r="C949" t="s">
        <v>363</v>
      </c>
      <c r="D949" t="str">
        <f>HYPERLINK("http://service.sap.com/sap/support/notes/1755132","1755132")</f>
        <v>1755132</v>
      </c>
      <c r="E949">
        <v>8</v>
      </c>
      <c r="F949" t="s">
        <v>1335</v>
      </c>
    </row>
    <row r="950" spans="1:6" x14ac:dyDescent="0.25">
      <c r="A950" t="s">
        <v>716</v>
      </c>
      <c r="B950" t="s">
        <v>362</v>
      </c>
      <c r="C950" t="s">
        <v>363</v>
      </c>
      <c r="D950" t="str">
        <f>HYPERLINK("http://service.sap.com/sap/support/notes/1758209","1758209")</f>
        <v>1758209</v>
      </c>
      <c r="E950">
        <v>1</v>
      </c>
      <c r="F950" t="s">
        <v>1336</v>
      </c>
    </row>
    <row r="951" spans="1:6" x14ac:dyDescent="0.25">
      <c r="A951" t="s">
        <v>716</v>
      </c>
      <c r="B951" t="s">
        <v>362</v>
      </c>
      <c r="C951" t="s">
        <v>363</v>
      </c>
      <c r="D951" t="str">
        <f>HYPERLINK("http://service.sap.com/sap/support/notes/1761935","1761935")</f>
        <v>1761935</v>
      </c>
      <c r="E951">
        <v>5</v>
      </c>
      <c r="F951" t="s">
        <v>1337</v>
      </c>
    </row>
    <row r="952" spans="1:6" x14ac:dyDescent="0.25">
      <c r="A952" t="s">
        <v>716</v>
      </c>
      <c r="B952" t="s">
        <v>362</v>
      </c>
      <c r="C952" t="s">
        <v>363</v>
      </c>
      <c r="D952" t="str">
        <f>HYPERLINK("http://service.sap.com/sap/support/notes/1762792","1762792")</f>
        <v>1762792</v>
      </c>
      <c r="E952">
        <v>2</v>
      </c>
      <c r="F952" t="s">
        <v>1338</v>
      </c>
    </row>
    <row r="953" spans="1:6" x14ac:dyDescent="0.25">
      <c r="A953" t="s">
        <v>716</v>
      </c>
      <c r="B953" t="s">
        <v>362</v>
      </c>
      <c r="C953" t="s">
        <v>363</v>
      </c>
      <c r="D953" t="str">
        <f>HYPERLINK("http://service.sap.com/sap/support/notes/1767996","1767996")</f>
        <v>1767996</v>
      </c>
      <c r="E953">
        <v>3</v>
      </c>
      <c r="F953" t="s">
        <v>1339</v>
      </c>
    </row>
    <row r="954" spans="1:6" x14ac:dyDescent="0.25">
      <c r="A954" t="s">
        <v>716</v>
      </c>
      <c r="B954" t="s">
        <v>362</v>
      </c>
      <c r="C954" t="s">
        <v>363</v>
      </c>
      <c r="D954" t="str">
        <f>HYPERLINK("http://service.sap.com/sap/support/notes/1773369","1773369")</f>
        <v>1773369</v>
      </c>
      <c r="E954">
        <v>3</v>
      </c>
      <c r="F954" t="s">
        <v>1340</v>
      </c>
    </row>
    <row r="955" spans="1:6" x14ac:dyDescent="0.25">
      <c r="A955" t="s">
        <v>716</v>
      </c>
      <c r="B955" t="s">
        <v>362</v>
      </c>
      <c r="C955" t="s">
        <v>363</v>
      </c>
      <c r="D955" t="str">
        <f>HYPERLINK("http://service.sap.com/sap/support/notes/1776236","1776236")</f>
        <v>1776236</v>
      </c>
      <c r="E955">
        <v>4</v>
      </c>
      <c r="F955" t="s">
        <v>1341</v>
      </c>
    </row>
    <row r="956" spans="1:6" x14ac:dyDescent="0.25">
      <c r="A956" t="s">
        <v>716</v>
      </c>
      <c r="B956" t="s">
        <v>362</v>
      </c>
      <c r="C956" t="s">
        <v>363</v>
      </c>
      <c r="D956" t="str">
        <f>HYPERLINK("http://service.sap.com/sap/support/notes/1777766","1777766")</f>
        <v>1777766</v>
      </c>
      <c r="E956">
        <v>4</v>
      </c>
      <c r="F956" t="s">
        <v>1342</v>
      </c>
    </row>
    <row r="957" spans="1:6" x14ac:dyDescent="0.25">
      <c r="A957" t="s">
        <v>716</v>
      </c>
      <c r="B957" t="s">
        <v>362</v>
      </c>
      <c r="C957" t="s">
        <v>363</v>
      </c>
      <c r="D957" t="str">
        <f>HYPERLINK("http://service.sap.com/sap/support/notes/1778811","1778811")</f>
        <v>1778811</v>
      </c>
      <c r="E957">
        <v>2</v>
      </c>
      <c r="F957" t="s">
        <v>1343</v>
      </c>
    </row>
    <row r="958" spans="1:6" x14ac:dyDescent="0.25">
      <c r="A958" t="s">
        <v>716</v>
      </c>
      <c r="B958" t="s">
        <v>362</v>
      </c>
      <c r="C958" t="s">
        <v>363</v>
      </c>
      <c r="D958" t="str">
        <f>HYPERLINK("http://service.sap.com/sap/support/notes/1779124","1779124")</f>
        <v>1779124</v>
      </c>
      <c r="E958">
        <v>1</v>
      </c>
      <c r="F958" t="s">
        <v>1344</v>
      </c>
    </row>
    <row r="959" spans="1:6" x14ac:dyDescent="0.25">
      <c r="A959" t="s">
        <v>716</v>
      </c>
      <c r="B959" t="s">
        <v>362</v>
      </c>
      <c r="C959" t="s">
        <v>363</v>
      </c>
      <c r="D959" t="str">
        <f>HYPERLINK("http://service.sap.com/sap/support/notes/1780119","1780119")</f>
        <v>1780119</v>
      </c>
      <c r="E959">
        <v>3</v>
      </c>
      <c r="F959" t="s">
        <v>1345</v>
      </c>
    </row>
    <row r="960" spans="1:6" x14ac:dyDescent="0.25">
      <c r="A960" t="s">
        <v>716</v>
      </c>
      <c r="B960" t="s">
        <v>362</v>
      </c>
      <c r="C960" t="s">
        <v>363</v>
      </c>
      <c r="D960" t="str">
        <f>HYPERLINK("http://service.sap.com/sap/support/notes/1780512","1780512")</f>
        <v>1780512</v>
      </c>
      <c r="E960">
        <v>2</v>
      </c>
      <c r="F960" t="s">
        <v>1346</v>
      </c>
    </row>
    <row r="961" spans="1:6" x14ac:dyDescent="0.25">
      <c r="A961" t="s">
        <v>716</v>
      </c>
      <c r="B961" t="s">
        <v>362</v>
      </c>
      <c r="C961" t="s">
        <v>363</v>
      </c>
      <c r="D961" t="str">
        <f>HYPERLINK("http://service.sap.com/sap/support/notes/1781433","1781433")</f>
        <v>1781433</v>
      </c>
      <c r="E961">
        <v>4</v>
      </c>
      <c r="F961" t="s">
        <v>1347</v>
      </c>
    </row>
    <row r="962" spans="1:6" x14ac:dyDescent="0.25">
      <c r="A962" t="s">
        <v>716</v>
      </c>
      <c r="B962" t="s">
        <v>362</v>
      </c>
      <c r="C962" t="s">
        <v>363</v>
      </c>
      <c r="D962" t="str">
        <f>HYPERLINK("http://service.sap.com/sap/support/notes/1783423","1783423")</f>
        <v>1783423</v>
      </c>
      <c r="E962">
        <v>1</v>
      </c>
      <c r="F962" t="s">
        <v>1348</v>
      </c>
    </row>
    <row r="963" spans="1:6" x14ac:dyDescent="0.25">
      <c r="A963" t="s">
        <v>716</v>
      </c>
      <c r="B963" t="s">
        <v>362</v>
      </c>
      <c r="C963" t="s">
        <v>363</v>
      </c>
      <c r="D963" t="str">
        <f>HYPERLINK("http://service.sap.com/sap/support/notes/1786809","1786809")</f>
        <v>1786809</v>
      </c>
      <c r="E963">
        <v>1</v>
      </c>
      <c r="F963" t="s">
        <v>1349</v>
      </c>
    </row>
    <row r="964" spans="1:6" x14ac:dyDescent="0.25">
      <c r="A964" t="s">
        <v>716</v>
      </c>
      <c r="B964" t="s">
        <v>362</v>
      </c>
      <c r="C964" t="s">
        <v>363</v>
      </c>
      <c r="D964" t="str">
        <f>HYPERLINK("http://service.sap.com/sap/support/notes/1787893","1787893")</f>
        <v>1787893</v>
      </c>
      <c r="E964">
        <v>1</v>
      </c>
      <c r="F964" t="s">
        <v>1350</v>
      </c>
    </row>
    <row r="965" spans="1:6" x14ac:dyDescent="0.25">
      <c r="A965" t="s">
        <v>716</v>
      </c>
      <c r="B965" t="s">
        <v>362</v>
      </c>
      <c r="C965" t="s">
        <v>363</v>
      </c>
      <c r="D965" t="str">
        <f>HYPERLINK("http://service.sap.com/sap/support/notes/1787979","1787979")</f>
        <v>1787979</v>
      </c>
      <c r="E965">
        <v>1</v>
      </c>
      <c r="F965" t="s">
        <v>1351</v>
      </c>
    </row>
    <row r="966" spans="1:6" x14ac:dyDescent="0.25">
      <c r="A966" t="s">
        <v>716</v>
      </c>
      <c r="B966" t="s">
        <v>362</v>
      </c>
      <c r="C966" t="s">
        <v>363</v>
      </c>
      <c r="D966" t="str">
        <f>HYPERLINK("http://service.sap.com/sap/support/notes/1789851","1789851")</f>
        <v>1789851</v>
      </c>
      <c r="E966">
        <v>1</v>
      </c>
      <c r="F966" t="s">
        <v>1352</v>
      </c>
    </row>
    <row r="967" spans="1:6" x14ac:dyDescent="0.25">
      <c r="A967" t="s">
        <v>716</v>
      </c>
      <c r="B967" t="s">
        <v>362</v>
      </c>
      <c r="C967" t="s">
        <v>363</v>
      </c>
      <c r="D967" t="str">
        <f>HYPERLINK("http://service.sap.com/sap/support/notes/1790224","1790224")</f>
        <v>1790224</v>
      </c>
      <c r="E967">
        <v>2</v>
      </c>
      <c r="F967" t="s">
        <v>1353</v>
      </c>
    </row>
    <row r="968" spans="1:6" x14ac:dyDescent="0.25">
      <c r="A968" t="s">
        <v>716</v>
      </c>
      <c r="B968" t="s">
        <v>362</v>
      </c>
      <c r="C968" t="s">
        <v>363</v>
      </c>
      <c r="D968" t="str">
        <f>HYPERLINK("http://service.sap.com/sap/support/notes/1790913","1790913")</f>
        <v>1790913</v>
      </c>
      <c r="E968">
        <v>1</v>
      </c>
      <c r="F968" t="s">
        <v>1354</v>
      </c>
    </row>
    <row r="969" spans="1:6" x14ac:dyDescent="0.25">
      <c r="A969" t="s">
        <v>716</v>
      </c>
      <c r="B969" t="s">
        <v>362</v>
      </c>
      <c r="C969" t="s">
        <v>363</v>
      </c>
      <c r="D969" t="str">
        <f>HYPERLINK("http://service.sap.com/sap/support/notes/1815084","1815084")</f>
        <v>1815084</v>
      </c>
      <c r="F969" t="s">
        <v>1355</v>
      </c>
    </row>
    <row r="970" spans="1:6" x14ac:dyDescent="0.25">
      <c r="A970" t="s">
        <v>716</v>
      </c>
      <c r="B970" t="s">
        <v>379</v>
      </c>
      <c r="C970" t="s">
        <v>1356</v>
      </c>
      <c r="D970" t="str">
        <f>HYPERLINK("http://service.sap.com/sap/support/notes/1774008","1774008")</f>
        <v>1774008</v>
      </c>
      <c r="E970">
        <v>4</v>
      </c>
      <c r="F970" t="s">
        <v>1357</v>
      </c>
    </row>
    <row r="971" spans="1:6" x14ac:dyDescent="0.25">
      <c r="A971" t="s">
        <v>716</v>
      </c>
      <c r="B971" t="s">
        <v>379</v>
      </c>
      <c r="C971" t="s">
        <v>1356</v>
      </c>
      <c r="D971" t="str">
        <f>HYPERLINK("http://service.sap.com/sap/support/notes/1781875","1781875")</f>
        <v>1781875</v>
      </c>
      <c r="E971">
        <v>2</v>
      </c>
      <c r="F971" t="s">
        <v>1358</v>
      </c>
    </row>
    <row r="972" spans="1:6" x14ac:dyDescent="0.25">
      <c r="A972" t="s">
        <v>716</v>
      </c>
      <c r="B972" t="s">
        <v>379</v>
      </c>
      <c r="C972" t="s">
        <v>1356</v>
      </c>
      <c r="D972" t="str">
        <f>HYPERLINK("http://service.sap.com/sap/support/notes/1784318","1784318")</f>
        <v>1784318</v>
      </c>
      <c r="E972">
        <v>3</v>
      </c>
      <c r="F972" t="s">
        <v>1359</v>
      </c>
    </row>
    <row r="973" spans="1:6" x14ac:dyDescent="0.25">
      <c r="A973" t="s">
        <v>716</v>
      </c>
      <c r="B973" t="s">
        <v>379</v>
      </c>
      <c r="C973" t="s">
        <v>1356</v>
      </c>
      <c r="D973" t="str">
        <f>HYPERLINK("http://service.sap.com/sap/support/notes/1784594","1784594")</f>
        <v>1784594</v>
      </c>
      <c r="E973">
        <v>2</v>
      </c>
      <c r="F973" t="s">
        <v>1360</v>
      </c>
    </row>
    <row r="974" spans="1:6" x14ac:dyDescent="0.25">
      <c r="A974" t="s">
        <v>716</v>
      </c>
      <c r="B974" t="s">
        <v>379</v>
      </c>
      <c r="C974" t="s">
        <v>1356</v>
      </c>
      <c r="D974" t="str">
        <f>HYPERLINK("http://service.sap.com/sap/support/notes/1786748","1786748")</f>
        <v>1786748</v>
      </c>
      <c r="E974">
        <v>1</v>
      </c>
      <c r="F974" t="s">
        <v>1361</v>
      </c>
    </row>
    <row r="975" spans="1:6" x14ac:dyDescent="0.25">
      <c r="A975" t="s">
        <v>716</v>
      </c>
      <c r="B975" t="s">
        <v>384</v>
      </c>
      <c r="C975" t="s">
        <v>595</v>
      </c>
      <c r="D975" t="str">
        <f>HYPERLINK("http://service.sap.com/sap/support/notes/1724017","1724017")</f>
        <v>1724017</v>
      </c>
      <c r="E975">
        <v>1</v>
      </c>
      <c r="F975" t="s">
        <v>387</v>
      </c>
    </row>
    <row r="976" spans="1:6" x14ac:dyDescent="0.25">
      <c r="A976" t="s">
        <v>716</v>
      </c>
      <c r="B976" t="s">
        <v>384</v>
      </c>
      <c r="C976" t="s">
        <v>595</v>
      </c>
      <c r="D976" t="str">
        <f>HYPERLINK("http://service.sap.com/sap/support/notes/1737859","1737859")</f>
        <v>1737859</v>
      </c>
      <c r="E976">
        <v>3</v>
      </c>
      <c r="F976" t="s">
        <v>388</v>
      </c>
    </row>
    <row r="977" spans="1:6" x14ac:dyDescent="0.25">
      <c r="A977" t="s">
        <v>716</v>
      </c>
      <c r="B977" t="s">
        <v>384</v>
      </c>
      <c r="C977" t="s">
        <v>595</v>
      </c>
      <c r="D977" t="str">
        <f>HYPERLINK("http://service.sap.com/sap/support/notes/1772804","1772804")</f>
        <v>1772804</v>
      </c>
      <c r="E977">
        <v>1</v>
      </c>
      <c r="F977" t="s">
        <v>1362</v>
      </c>
    </row>
    <row r="978" spans="1:6" x14ac:dyDescent="0.25">
      <c r="A978" t="s">
        <v>716</v>
      </c>
      <c r="B978" t="s">
        <v>384</v>
      </c>
      <c r="C978" t="s">
        <v>595</v>
      </c>
      <c r="D978" t="str">
        <f>HYPERLINK("http://service.sap.com/sap/support/notes/1774095","1774095")</f>
        <v>1774095</v>
      </c>
      <c r="E978">
        <v>1</v>
      </c>
      <c r="F978" t="s">
        <v>1363</v>
      </c>
    </row>
    <row r="979" spans="1:6" x14ac:dyDescent="0.25">
      <c r="A979" t="s">
        <v>716</v>
      </c>
      <c r="B979" t="s">
        <v>384</v>
      </c>
      <c r="C979" t="s">
        <v>595</v>
      </c>
      <c r="D979" t="str">
        <f>HYPERLINK("http://service.sap.com/sap/support/notes/1781359","1781359")</f>
        <v>1781359</v>
      </c>
      <c r="E979">
        <v>1</v>
      </c>
      <c r="F979" t="s">
        <v>1364</v>
      </c>
    </row>
    <row r="980" spans="1:6" x14ac:dyDescent="0.25">
      <c r="A980" t="s">
        <v>716</v>
      </c>
      <c r="B980" t="s">
        <v>384</v>
      </c>
      <c r="C980" t="s">
        <v>595</v>
      </c>
      <c r="D980" t="str">
        <f>HYPERLINK("http://service.sap.com/sap/support/notes/1782634","1782634")</f>
        <v>1782634</v>
      </c>
      <c r="E980">
        <v>2</v>
      </c>
      <c r="F980" t="s">
        <v>1365</v>
      </c>
    </row>
    <row r="981" spans="1:6" x14ac:dyDescent="0.25">
      <c r="A981" t="s">
        <v>716</v>
      </c>
      <c r="B981" t="s">
        <v>384</v>
      </c>
      <c r="C981" t="s">
        <v>595</v>
      </c>
      <c r="D981" t="str">
        <f>HYPERLINK("http://service.sap.com/sap/support/notes/1783941","1783941")</f>
        <v>1783941</v>
      </c>
      <c r="E981">
        <v>2</v>
      </c>
      <c r="F981" t="s">
        <v>1366</v>
      </c>
    </row>
    <row r="982" spans="1:6" x14ac:dyDescent="0.25">
      <c r="A982" t="s">
        <v>716</v>
      </c>
      <c r="B982" t="s">
        <v>384</v>
      </c>
      <c r="C982" t="s">
        <v>595</v>
      </c>
      <c r="D982" t="str">
        <f>HYPERLINK("http://service.sap.com/sap/support/notes/1789654","1789654")</f>
        <v>1789654</v>
      </c>
      <c r="E982">
        <v>1</v>
      </c>
      <c r="F982" t="s">
        <v>1367</v>
      </c>
    </row>
    <row r="983" spans="1:6" x14ac:dyDescent="0.25">
      <c r="A983" t="s">
        <v>716</v>
      </c>
      <c r="B983" t="s">
        <v>395</v>
      </c>
      <c r="C983" t="s">
        <v>396</v>
      </c>
      <c r="D983" t="str">
        <f>HYPERLINK("http://service.sap.com/sap/support/notes/808408","808408")</f>
        <v>808408</v>
      </c>
      <c r="E983">
        <v>1</v>
      </c>
      <c r="F983" t="s">
        <v>1368</v>
      </c>
    </row>
    <row r="984" spans="1:6" x14ac:dyDescent="0.25">
      <c r="A984" t="s">
        <v>716</v>
      </c>
      <c r="B984" t="s">
        <v>395</v>
      </c>
      <c r="C984" t="s">
        <v>396</v>
      </c>
      <c r="D984" t="str">
        <f>HYPERLINK("http://service.sap.com/sap/support/notes/1716570","1716570")</f>
        <v>1716570</v>
      </c>
      <c r="E984">
        <v>2</v>
      </c>
      <c r="F984" t="s">
        <v>1369</v>
      </c>
    </row>
    <row r="985" spans="1:6" x14ac:dyDescent="0.25">
      <c r="A985" t="s">
        <v>716</v>
      </c>
      <c r="B985" t="s">
        <v>395</v>
      </c>
      <c r="C985" t="s">
        <v>396</v>
      </c>
      <c r="D985" t="str">
        <f>HYPERLINK("http://service.sap.com/sap/support/notes/1740760","1740760")</f>
        <v>1740760</v>
      </c>
      <c r="E985">
        <v>1</v>
      </c>
      <c r="F985" t="s">
        <v>1370</v>
      </c>
    </row>
    <row r="986" spans="1:6" x14ac:dyDescent="0.25">
      <c r="A986" t="s">
        <v>716</v>
      </c>
      <c r="B986" t="s">
        <v>395</v>
      </c>
      <c r="C986" t="s">
        <v>396</v>
      </c>
      <c r="D986" t="str">
        <f>HYPERLINK("http://service.sap.com/sap/support/notes/1754362","1754362")</f>
        <v>1754362</v>
      </c>
      <c r="E986">
        <v>2</v>
      </c>
      <c r="F986" t="s">
        <v>1371</v>
      </c>
    </row>
    <row r="987" spans="1:6" x14ac:dyDescent="0.25">
      <c r="A987" t="s">
        <v>716</v>
      </c>
      <c r="B987" t="s">
        <v>395</v>
      </c>
      <c r="C987" t="s">
        <v>396</v>
      </c>
      <c r="D987" t="str">
        <f>HYPERLINK("http://service.sap.com/sap/support/notes/1763841","1763841")</f>
        <v>1763841</v>
      </c>
      <c r="E987">
        <v>4</v>
      </c>
      <c r="F987" t="s">
        <v>1372</v>
      </c>
    </row>
    <row r="988" spans="1:6" x14ac:dyDescent="0.25">
      <c r="A988" t="s">
        <v>716</v>
      </c>
      <c r="B988" t="s">
        <v>395</v>
      </c>
      <c r="C988" t="s">
        <v>396</v>
      </c>
      <c r="D988" t="str">
        <f>HYPERLINK("http://service.sap.com/sap/support/notes/1769862","1769862")</f>
        <v>1769862</v>
      </c>
      <c r="E988">
        <v>1</v>
      </c>
      <c r="F988" t="s">
        <v>1373</v>
      </c>
    </row>
    <row r="989" spans="1:6" x14ac:dyDescent="0.25">
      <c r="A989" t="s">
        <v>716</v>
      </c>
      <c r="B989" t="s">
        <v>395</v>
      </c>
      <c r="C989" t="s">
        <v>396</v>
      </c>
      <c r="D989" t="str">
        <f>HYPERLINK("http://service.sap.com/sap/support/notes/1772363","1772363")</f>
        <v>1772363</v>
      </c>
      <c r="E989">
        <v>2</v>
      </c>
      <c r="F989" t="s">
        <v>1374</v>
      </c>
    </row>
    <row r="990" spans="1:6" x14ac:dyDescent="0.25">
      <c r="A990" t="s">
        <v>716</v>
      </c>
      <c r="B990" t="s">
        <v>395</v>
      </c>
      <c r="C990" t="s">
        <v>396</v>
      </c>
      <c r="D990" t="str">
        <f>HYPERLINK("http://service.sap.com/sap/support/notes/1783893","1783893")</f>
        <v>1783893</v>
      </c>
      <c r="E990">
        <v>2</v>
      </c>
      <c r="F990" t="s">
        <v>1375</v>
      </c>
    </row>
    <row r="991" spans="1:6" x14ac:dyDescent="0.25">
      <c r="A991" t="s">
        <v>716</v>
      </c>
      <c r="B991" t="s">
        <v>395</v>
      </c>
      <c r="C991" t="s">
        <v>396</v>
      </c>
      <c r="D991" t="str">
        <f>HYPERLINK("http://service.sap.com/sap/support/notes/1784297","1784297")</f>
        <v>1784297</v>
      </c>
      <c r="E991">
        <v>1</v>
      </c>
      <c r="F991" t="s">
        <v>1376</v>
      </c>
    </row>
    <row r="992" spans="1:6" x14ac:dyDescent="0.25">
      <c r="A992" t="s">
        <v>716</v>
      </c>
      <c r="B992" t="s">
        <v>395</v>
      </c>
      <c r="C992" t="s">
        <v>396</v>
      </c>
      <c r="D992" t="str">
        <f>HYPERLINK("http://service.sap.com/sap/support/notes/1788266","1788266")</f>
        <v>1788266</v>
      </c>
      <c r="E992">
        <v>1</v>
      </c>
      <c r="F992" t="s">
        <v>1377</v>
      </c>
    </row>
    <row r="993" spans="1:6" x14ac:dyDescent="0.25">
      <c r="A993" t="s">
        <v>716</v>
      </c>
      <c r="B993" t="s">
        <v>395</v>
      </c>
      <c r="C993" t="s">
        <v>396</v>
      </c>
      <c r="D993" t="str">
        <f>HYPERLINK("http://service.sap.com/sap/support/notes/1788838","1788838")</f>
        <v>1788838</v>
      </c>
      <c r="E993">
        <v>1</v>
      </c>
      <c r="F993" t="s">
        <v>1378</v>
      </c>
    </row>
    <row r="994" spans="1:6" x14ac:dyDescent="0.25">
      <c r="A994" t="s">
        <v>716</v>
      </c>
      <c r="B994" t="s">
        <v>402</v>
      </c>
      <c r="C994" t="s">
        <v>403</v>
      </c>
      <c r="D994" t="str">
        <f>HYPERLINK("http://service.sap.com/sap/support/notes/1780077","1780077")</f>
        <v>1780077</v>
      </c>
      <c r="E994">
        <v>4</v>
      </c>
      <c r="F994" t="s">
        <v>1379</v>
      </c>
    </row>
    <row r="995" spans="1:6" x14ac:dyDescent="0.25">
      <c r="A995" t="s">
        <v>716</v>
      </c>
      <c r="B995" t="s">
        <v>402</v>
      </c>
      <c r="C995" t="s">
        <v>403</v>
      </c>
      <c r="D995" t="str">
        <f>HYPERLINK("http://service.sap.com/sap/support/notes/1786410","1786410")</f>
        <v>1786410</v>
      </c>
      <c r="E995">
        <v>2</v>
      </c>
      <c r="F995" t="s">
        <v>1380</v>
      </c>
    </row>
    <row r="996" spans="1:6" x14ac:dyDescent="0.25">
      <c r="A996" t="s">
        <v>716</v>
      </c>
      <c r="B996" t="s">
        <v>406</v>
      </c>
      <c r="C996" t="s">
        <v>407</v>
      </c>
      <c r="D996" t="str">
        <f>HYPERLINK("http://service.sap.com/sap/support/notes/1060820","1060820")</f>
        <v>1060820</v>
      </c>
      <c r="E996">
        <v>1</v>
      </c>
      <c r="F996" t="s">
        <v>596</v>
      </c>
    </row>
    <row r="997" spans="1:6" x14ac:dyDescent="0.25">
      <c r="A997" t="s">
        <v>716</v>
      </c>
      <c r="B997" t="s">
        <v>406</v>
      </c>
      <c r="C997" t="s">
        <v>407</v>
      </c>
      <c r="D997" t="str">
        <f>HYPERLINK("http://service.sap.com/sap/support/notes/1752411","1752411")</f>
        <v>1752411</v>
      </c>
      <c r="E997">
        <v>3</v>
      </c>
      <c r="F997" t="s">
        <v>1381</v>
      </c>
    </row>
    <row r="998" spans="1:6" x14ac:dyDescent="0.25">
      <c r="A998" t="s">
        <v>716</v>
      </c>
      <c r="B998" t="s">
        <v>406</v>
      </c>
      <c r="C998" t="s">
        <v>407</v>
      </c>
      <c r="D998" t="str">
        <f>HYPERLINK("http://service.sap.com/sap/support/notes/1762958","1762958")</f>
        <v>1762958</v>
      </c>
      <c r="E998">
        <v>4</v>
      </c>
      <c r="F998" t="s">
        <v>1382</v>
      </c>
    </row>
    <row r="999" spans="1:6" x14ac:dyDescent="0.25">
      <c r="A999" t="s">
        <v>716</v>
      </c>
      <c r="B999" t="s">
        <v>406</v>
      </c>
      <c r="C999" t="s">
        <v>407</v>
      </c>
      <c r="D999" t="str">
        <f>HYPERLINK("http://service.sap.com/sap/support/notes/1764972","1764972")</f>
        <v>1764972</v>
      </c>
      <c r="E999">
        <v>3</v>
      </c>
      <c r="F999" t="s">
        <v>1383</v>
      </c>
    </row>
    <row r="1000" spans="1:6" x14ac:dyDescent="0.25">
      <c r="A1000" t="s">
        <v>716</v>
      </c>
      <c r="B1000" t="s">
        <v>406</v>
      </c>
      <c r="C1000" t="s">
        <v>407</v>
      </c>
      <c r="D1000" t="str">
        <f>HYPERLINK("http://service.sap.com/sap/support/notes/1768226","1768226")</f>
        <v>1768226</v>
      </c>
      <c r="E1000">
        <v>2</v>
      </c>
      <c r="F1000" t="s">
        <v>1384</v>
      </c>
    </row>
    <row r="1001" spans="1:6" x14ac:dyDescent="0.25">
      <c r="A1001" t="s">
        <v>716</v>
      </c>
      <c r="B1001" t="s">
        <v>406</v>
      </c>
      <c r="C1001" t="s">
        <v>407</v>
      </c>
      <c r="D1001" t="str">
        <f>HYPERLINK("http://service.sap.com/sap/support/notes/1774816","1774816")</f>
        <v>1774816</v>
      </c>
      <c r="E1001">
        <v>2</v>
      </c>
      <c r="F1001" t="s">
        <v>1385</v>
      </c>
    </row>
    <row r="1002" spans="1:6" x14ac:dyDescent="0.25">
      <c r="A1002" t="s">
        <v>716</v>
      </c>
      <c r="B1002" t="s">
        <v>406</v>
      </c>
      <c r="C1002" t="s">
        <v>407</v>
      </c>
      <c r="D1002" t="str">
        <f>HYPERLINK("http://service.sap.com/sap/support/notes/1778626","1778626")</f>
        <v>1778626</v>
      </c>
      <c r="E1002">
        <v>1</v>
      </c>
      <c r="F1002" t="s">
        <v>1386</v>
      </c>
    </row>
    <row r="1003" spans="1:6" x14ac:dyDescent="0.25">
      <c r="A1003" t="s">
        <v>716</v>
      </c>
      <c r="B1003" t="s">
        <v>406</v>
      </c>
      <c r="C1003" t="s">
        <v>407</v>
      </c>
      <c r="D1003" t="str">
        <f>HYPERLINK("http://service.sap.com/sap/support/notes/1780868","1780868")</f>
        <v>1780868</v>
      </c>
      <c r="E1003">
        <v>4</v>
      </c>
      <c r="F1003" t="s">
        <v>1387</v>
      </c>
    </row>
    <row r="1004" spans="1:6" x14ac:dyDescent="0.25">
      <c r="A1004" t="s">
        <v>716</v>
      </c>
      <c r="B1004" t="s">
        <v>406</v>
      </c>
      <c r="C1004" t="s">
        <v>407</v>
      </c>
      <c r="D1004" t="str">
        <f>HYPERLINK("http://service.sap.com/sap/support/notes/1784480","1784480")</f>
        <v>1784480</v>
      </c>
      <c r="E1004">
        <v>2</v>
      </c>
      <c r="F1004" t="s">
        <v>1388</v>
      </c>
    </row>
    <row r="1005" spans="1:6" x14ac:dyDescent="0.25">
      <c r="A1005" t="s">
        <v>716</v>
      </c>
      <c r="B1005" t="s">
        <v>423</v>
      </c>
      <c r="C1005" t="s">
        <v>598</v>
      </c>
      <c r="D1005" t="str">
        <f>HYPERLINK("http://service.sap.com/sap/support/notes/1756542","1756542")</f>
        <v>1756542</v>
      </c>
      <c r="E1005">
        <v>3</v>
      </c>
      <c r="F1005" t="s">
        <v>1389</v>
      </c>
    </row>
    <row r="1006" spans="1:6" x14ac:dyDescent="0.25">
      <c r="A1006" t="s">
        <v>716</v>
      </c>
      <c r="B1006" t="s">
        <v>423</v>
      </c>
      <c r="C1006" t="s">
        <v>598</v>
      </c>
      <c r="D1006" t="str">
        <f>HYPERLINK("http://service.sap.com/sap/support/notes/1762002","1762002")</f>
        <v>1762002</v>
      </c>
      <c r="E1006">
        <v>2</v>
      </c>
      <c r="F1006" t="s">
        <v>1390</v>
      </c>
    </row>
    <row r="1007" spans="1:6" x14ac:dyDescent="0.25">
      <c r="A1007" t="s">
        <v>716</v>
      </c>
      <c r="B1007" t="s">
        <v>423</v>
      </c>
      <c r="C1007" t="s">
        <v>598</v>
      </c>
      <c r="D1007" t="str">
        <f>HYPERLINK("http://service.sap.com/sap/support/notes/1766473","1766473")</f>
        <v>1766473</v>
      </c>
      <c r="E1007">
        <v>1</v>
      </c>
      <c r="F1007" t="s">
        <v>426</v>
      </c>
    </row>
    <row r="1008" spans="1:6" x14ac:dyDescent="0.25">
      <c r="A1008" t="s">
        <v>716</v>
      </c>
      <c r="B1008" t="s">
        <v>423</v>
      </c>
      <c r="C1008" t="s">
        <v>598</v>
      </c>
      <c r="D1008" t="str">
        <f>HYPERLINK("http://service.sap.com/sap/support/notes/1777967","1777967")</f>
        <v>1777967</v>
      </c>
      <c r="E1008">
        <v>2</v>
      </c>
      <c r="F1008" t="s">
        <v>1391</v>
      </c>
    </row>
    <row r="1009" spans="1:6" x14ac:dyDescent="0.25">
      <c r="A1009" t="s">
        <v>716</v>
      </c>
      <c r="B1009" t="s">
        <v>423</v>
      </c>
      <c r="C1009" t="s">
        <v>598</v>
      </c>
      <c r="D1009" t="str">
        <f>HYPERLINK("http://service.sap.com/sap/support/notes/1780014","1780014")</f>
        <v>1780014</v>
      </c>
      <c r="E1009">
        <v>2</v>
      </c>
      <c r="F1009" t="s">
        <v>1392</v>
      </c>
    </row>
    <row r="1010" spans="1:6" x14ac:dyDescent="0.25">
      <c r="A1010" t="s">
        <v>716</v>
      </c>
      <c r="B1010" t="s">
        <v>423</v>
      </c>
      <c r="C1010" t="s">
        <v>598</v>
      </c>
      <c r="D1010" t="str">
        <f>HYPERLINK("http://service.sap.com/sap/support/notes/1782554","1782554")</f>
        <v>1782554</v>
      </c>
      <c r="E1010">
        <v>1</v>
      </c>
      <c r="F1010" t="s">
        <v>1393</v>
      </c>
    </row>
    <row r="1011" spans="1:6" x14ac:dyDescent="0.25">
      <c r="A1011" t="s">
        <v>716</v>
      </c>
      <c r="B1011" t="s">
        <v>423</v>
      </c>
      <c r="C1011" t="s">
        <v>598</v>
      </c>
      <c r="D1011" t="str">
        <f>HYPERLINK("http://service.sap.com/sap/support/notes/1782601","1782601")</f>
        <v>1782601</v>
      </c>
      <c r="E1011">
        <v>2</v>
      </c>
      <c r="F1011" t="s">
        <v>1394</v>
      </c>
    </row>
    <row r="1012" spans="1:6" x14ac:dyDescent="0.25">
      <c r="A1012" t="s">
        <v>716</v>
      </c>
      <c r="B1012" t="s">
        <v>423</v>
      </c>
      <c r="C1012" t="s">
        <v>598</v>
      </c>
      <c r="D1012" t="str">
        <f>HYPERLINK("http://service.sap.com/sap/support/notes/1783097","1783097")</f>
        <v>1783097</v>
      </c>
      <c r="E1012">
        <v>2</v>
      </c>
      <c r="F1012" t="s">
        <v>1395</v>
      </c>
    </row>
    <row r="1013" spans="1:6" x14ac:dyDescent="0.25">
      <c r="A1013" t="s">
        <v>716</v>
      </c>
      <c r="B1013" t="s">
        <v>423</v>
      </c>
      <c r="C1013" t="s">
        <v>598</v>
      </c>
      <c r="D1013" t="str">
        <f>HYPERLINK("http://service.sap.com/sap/support/notes/1783333","1783333")</f>
        <v>1783333</v>
      </c>
      <c r="E1013">
        <v>2</v>
      </c>
      <c r="F1013" t="s">
        <v>1396</v>
      </c>
    </row>
    <row r="1014" spans="1:6" x14ac:dyDescent="0.25">
      <c r="A1014" t="s">
        <v>716</v>
      </c>
      <c r="B1014" t="s">
        <v>423</v>
      </c>
      <c r="C1014" t="s">
        <v>598</v>
      </c>
      <c r="D1014" t="str">
        <f>HYPERLINK("http://service.sap.com/sap/support/notes/1784490","1784490")</f>
        <v>1784490</v>
      </c>
      <c r="E1014">
        <v>2</v>
      </c>
      <c r="F1014" t="s">
        <v>1397</v>
      </c>
    </row>
    <row r="1015" spans="1:6" x14ac:dyDescent="0.25">
      <c r="A1015" t="s">
        <v>716</v>
      </c>
      <c r="B1015" t="s">
        <v>423</v>
      </c>
      <c r="C1015" t="s">
        <v>598</v>
      </c>
      <c r="D1015" t="str">
        <f>HYPERLINK("http://service.sap.com/sap/support/notes/1784689","1784689")</f>
        <v>1784689</v>
      </c>
      <c r="E1015">
        <v>1</v>
      </c>
      <c r="F1015" t="s">
        <v>1398</v>
      </c>
    </row>
    <row r="1016" spans="1:6" x14ac:dyDescent="0.25">
      <c r="A1016" t="s">
        <v>716</v>
      </c>
      <c r="B1016" t="s">
        <v>423</v>
      </c>
      <c r="C1016" t="s">
        <v>598</v>
      </c>
      <c r="D1016" t="str">
        <f>HYPERLINK("http://service.sap.com/sap/support/notes/1784690","1784690")</f>
        <v>1784690</v>
      </c>
      <c r="E1016">
        <v>1</v>
      </c>
      <c r="F1016" t="s">
        <v>1399</v>
      </c>
    </row>
    <row r="1017" spans="1:6" x14ac:dyDescent="0.25">
      <c r="A1017" t="s">
        <v>716</v>
      </c>
      <c r="B1017" t="s">
        <v>430</v>
      </c>
      <c r="C1017" t="s">
        <v>431</v>
      </c>
      <c r="D1017" t="str">
        <f>HYPERLINK("http://service.sap.com/sap/support/notes/1766380","1766380")</f>
        <v>1766380</v>
      </c>
      <c r="E1017">
        <v>4</v>
      </c>
      <c r="F1017" t="s">
        <v>1400</v>
      </c>
    </row>
    <row r="1018" spans="1:6" x14ac:dyDescent="0.25">
      <c r="A1018" t="s">
        <v>716</v>
      </c>
      <c r="B1018" t="s">
        <v>430</v>
      </c>
      <c r="C1018" t="s">
        <v>431</v>
      </c>
      <c r="D1018" t="str">
        <f>HYPERLINK("http://service.sap.com/sap/support/notes/1767146","1767146")</f>
        <v>1767146</v>
      </c>
      <c r="E1018">
        <v>2</v>
      </c>
      <c r="F1018" t="s">
        <v>1401</v>
      </c>
    </row>
    <row r="1019" spans="1:6" x14ac:dyDescent="0.25">
      <c r="A1019" t="s">
        <v>716</v>
      </c>
      <c r="B1019" t="s">
        <v>430</v>
      </c>
      <c r="C1019" t="s">
        <v>431</v>
      </c>
      <c r="D1019" t="str">
        <f>HYPERLINK("http://service.sap.com/sap/support/notes/1769611","1769611")</f>
        <v>1769611</v>
      </c>
      <c r="E1019">
        <v>1</v>
      </c>
      <c r="F1019" t="s">
        <v>1402</v>
      </c>
    </row>
    <row r="1020" spans="1:6" x14ac:dyDescent="0.25">
      <c r="A1020" t="s">
        <v>716</v>
      </c>
      <c r="B1020" t="s">
        <v>437</v>
      </c>
      <c r="C1020" t="s">
        <v>438</v>
      </c>
      <c r="D1020" t="str">
        <f>HYPERLINK("http://service.sap.com/sap/support/notes/1772756","1772756")</f>
        <v>1772756</v>
      </c>
      <c r="E1020">
        <v>1</v>
      </c>
      <c r="F1020" t="s">
        <v>1403</v>
      </c>
    </row>
    <row r="1021" spans="1:6" x14ac:dyDescent="0.25">
      <c r="A1021" t="s">
        <v>716</v>
      </c>
      <c r="B1021" t="s">
        <v>437</v>
      </c>
      <c r="C1021" t="s">
        <v>438</v>
      </c>
      <c r="D1021" t="str">
        <f>HYPERLINK("http://service.sap.com/sap/support/notes/1772826","1772826")</f>
        <v>1772826</v>
      </c>
      <c r="E1021">
        <v>2</v>
      </c>
      <c r="F1021" t="s">
        <v>1404</v>
      </c>
    </row>
    <row r="1022" spans="1:6" x14ac:dyDescent="0.25">
      <c r="A1022" t="s">
        <v>716</v>
      </c>
      <c r="B1022" t="s">
        <v>437</v>
      </c>
      <c r="C1022" t="s">
        <v>438</v>
      </c>
      <c r="D1022" t="str">
        <f>HYPERLINK("http://service.sap.com/sap/support/notes/1779932","1779932")</f>
        <v>1779932</v>
      </c>
      <c r="E1022">
        <v>4</v>
      </c>
      <c r="F1022" t="s">
        <v>1405</v>
      </c>
    </row>
    <row r="1023" spans="1:6" x14ac:dyDescent="0.25">
      <c r="A1023" t="s">
        <v>716</v>
      </c>
      <c r="B1023" t="s">
        <v>437</v>
      </c>
      <c r="C1023" t="s">
        <v>438</v>
      </c>
      <c r="D1023" t="str">
        <f>HYPERLINK("http://service.sap.com/sap/support/notes/1787780","1787780")</f>
        <v>1787780</v>
      </c>
      <c r="E1023">
        <v>1</v>
      </c>
      <c r="F1023" t="s">
        <v>1406</v>
      </c>
    </row>
    <row r="1024" spans="1:6" x14ac:dyDescent="0.25">
      <c r="A1024" t="s">
        <v>716</v>
      </c>
      <c r="B1024" t="s">
        <v>443</v>
      </c>
      <c r="C1024" t="s">
        <v>444</v>
      </c>
      <c r="D1024" t="str">
        <f>HYPERLINK("http://service.sap.com/sap/support/notes/1765729","1765729")</f>
        <v>1765729</v>
      </c>
      <c r="E1024">
        <v>1</v>
      </c>
      <c r="F1024" t="s">
        <v>446</v>
      </c>
    </row>
    <row r="1025" spans="1:6" x14ac:dyDescent="0.25">
      <c r="A1025" t="s">
        <v>716</v>
      </c>
      <c r="B1025" t="s">
        <v>443</v>
      </c>
      <c r="C1025" t="s">
        <v>444</v>
      </c>
      <c r="D1025" t="str">
        <f>HYPERLINK("http://service.sap.com/sap/support/notes/1778409","1778409")</f>
        <v>1778409</v>
      </c>
      <c r="E1025">
        <v>1</v>
      </c>
      <c r="F1025" t="s">
        <v>1407</v>
      </c>
    </row>
    <row r="1026" spans="1:6" x14ac:dyDescent="0.25">
      <c r="A1026" t="s">
        <v>716</v>
      </c>
      <c r="B1026" t="s">
        <v>443</v>
      </c>
      <c r="C1026" t="s">
        <v>444</v>
      </c>
      <c r="D1026" t="str">
        <f>HYPERLINK("http://service.sap.com/sap/support/notes/1783858","1783858")</f>
        <v>1783858</v>
      </c>
      <c r="E1026">
        <v>1</v>
      </c>
      <c r="F1026" t="s">
        <v>1408</v>
      </c>
    </row>
    <row r="1027" spans="1:6" x14ac:dyDescent="0.25">
      <c r="A1027" t="s">
        <v>716</v>
      </c>
      <c r="B1027" t="s">
        <v>443</v>
      </c>
      <c r="C1027" t="s">
        <v>444</v>
      </c>
      <c r="D1027" t="str">
        <f>HYPERLINK("http://service.sap.com/sap/support/notes/1790824","1790824")</f>
        <v>1790824</v>
      </c>
      <c r="E1027">
        <v>1</v>
      </c>
      <c r="F1027" t="s">
        <v>1409</v>
      </c>
    </row>
    <row r="1028" spans="1:6" x14ac:dyDescent="0.25">
      <c r="A1028" t="s">
        <v>716</v>
      </c>
      <c r="B1028" t="s">
        <v>450</v>
      </c>
      <c r="C1028" t="s">
        <v>451</v>
      </c>
      <c r="D1028" t="str">
        <f>HYPERLINK("http://service.sap.com/sap/support/notes/1763027","1763027")</f>
        <v>1763027</v>
      </c>
      <c r="E1028">
        <v>1</v>
      </c>
      <c r="F1028" t="s">
        <v>1410</v>
      </c>
    </row>
    <row r="1029" spans="1:6" x14ac:dyDescent="0.25">
      <c r="A1029" t="s">
        <v>716</v>
      </c>
      <c r="B1029" t="s">
        <v>450</v>
      </c>
      <c r="C1029" t="s">
        <v>451</v>
      </c>
      <c r="D1029" t="str">
        <f>HYPERLINK("http://service.sap.com/sap/support/notes/1782474","1782474")</f>
        <v>1782474</v>
      </c>
      <c r="E1029">
        <v>1</v>
      </c>
      <c r="F1029" t="s">
        <v>1411</v>
      </c>
    </row>
    <row r="1030" spans="1:6" x14ac:dyDescent="0.25">
      <c r="A1030" t="s">
        <v>716</v>
      </c>
      <c r="B1030" t="s">
        <v>450</v>
      </c>
      <c r="C1030" t="s">
        <v>451</v>
      </c>
      <c r="D1030" t="str">
        <f>HYPERLINK("http://service.sap.com/sap/support/notes/1784403","1784403")</f>
        <v>1784403</v>
      </c>
      <c r="E1030">
        <v>1</v>
      </c>
      <c r="F1030" t="s">
        <v>1412</v>
      </c>
    </row>
    <row r="1031" spans="1:6" x14ac:dyDescent="0.25">
      <c r="A1031" t="s">
        <v>716</v>
      </c>
      <c r="B1031" t="s">
        <v>450</v>
      </c>
      <c r="C1031" t="s">
        <v>451</v>
      </c>
      <c r="D1031" t="str">
        <f>HYPERLINK("http://service.sap.com/sap/support/notes/1788272","1788272")</f>
        <v>1788272</v>
      </c>
      <c r="E1031">
        <v>1</v>
      </c>
      <c r="F1031" t="s">
        <v>1413</v>
      </c>
    </row>
    <row r="1032" spans="1:6" x14ac:dyDescent="0.25">
      <c r="A1032" t="s">
        <v>716</v>
      </c>
      <c r="B1032" t="s">
        <v>450</v>
      </c>
      <c r="C1032" t="s">
        <v>451</v>
      </c>
      <c r="D1032" t="str">
        <f>HYPERLINK("http://service.sap.com/sap/support/notes/1789956","1789956")</f>
        <v>1789956</v>
      </c>
      <c r="E1032">
        <v>2</v>
      </c>
      <c r="F1032" t="s">
        <v>1414</v>
      </c>
    </row>
    <row r="1033" spans="1:6" x14ac:dyDescent="0.25">
      <c r="A1033" t="s">
        <v>716</v>
      </c>
      <c r="B1033" t="s">
        <v>453</v>
      </c>
      <c r="C1033" t="s">
        <v>74</v>
      </c>
      <c r="D1033" t="str">
        <f>HYPERLINK("http://service.sap.com/sap/support/notes/1672888","1672888")</f>
        <v>1672888</v>
      </c>
      <c r="E1033">
        <v>7</v>
      </c>
      <c r="F1033" t="s">
        <v>1415</v>
      </c>
    </row>
    <row r="1034" spans="1:6" x14ac:dyDescent="0.25">
      <c r="A1034" t="s">
        <v>716</v>
      </c>
      <c r="B1034" t="s">
        <v>453</v>
      </c>
      <c r="C1034" t="s">
        <v>74</v>
      </c>
      <c r="D1034" t="str">
        <f>HYPERLINK("http://service.sap.com/sap/support/notes/1713226","1713226")</f>
        <v>1713226</v>
      </c>
      <c r="E1034">
        <v>9</v>
      </c>
      <c r="F1034" t="s">
        <v>1416</v>
      </c>
    </row>
    <row r="1035" spans="1:6" x14ac:dyDescent="0.25">
      <c r="A1035" t="s">
        <v>716</v>
      </c>
      <c r="B1035" t="s">
        <v>453</v>
      </c>
      <c r="C1035" t="s">
        <v>74</v>
      </c>
      <c r="D1035" t="str">
        <f>HYPERLINK("http://service.sap.com/sap/support/notes/1714319","1714319")</f>
        <v>1714319</v>
      </c>
      <c r="E1035">
        <v>2</v>
      </c>
      <c r="F1035" t="s">
        <v>1417</v>
      </c>
    </row>
    <row r="1036" spans="1:6" x14ac:dyDescent="0.25">
      <c r="A1036" t="s">
        <v>716</v>
      </c>
      <c r="B1036" t="s">
        <v>453</v>
      </c>
      <c r="C1036" t="s">
        <v>74</v>
      </c>
      <c r="D1036" t="str">
        <f>HYPERLINK("http://service.sap.com/sap/support/notes/1723744","1723744")</f>
        <v>1723744</v>
      </c>
      <c r="E1036">
        <v>8</v>
      </c>
      <c r="F1036" t="s">
        <v>1418</v>
      </c>
    </row>
    <row r="1037" spans="1:6" x14ac:dyDescent="0.25">
      <c r="A1037" t="s">
        <v>716</v>
      </c>
      <c r="B1037" t="s">
        <v>453</v>
      </c>
      <c r="C1037" t="s">
        <v>74</v>
      </c>
      <c r="D1037" t="str">
        <f>HYPERLINK("http://service.sap.com/sap/support/notes/1735465","1735465")</f>
        <v>1735465</v>
      </c>
      <c r="E1037">
        <v>3</v>
      </c>
      <c r="F1037" t="s">
        <v>1419</v>
      </c>
    </row>
    <row r="1038" spans="1:6" x14ac:dyDescent="0.25">
      <c r="A1038" t="s">
        <v>716</v>
      </c>
      <c r="B1038" t="s">
        <v>453</v>
      </c>
      <c r="C1038" t="s">
        <v>74</v>
      </c>
      <c r="D1038" t="str">
        <f>HYPERLINK("http://service.sap.com/sap/support/notes/1744749","1744749")</f>
        <v>1744749</v>
      </c>
      <c r="E1038">
        <v>2</v>
      </c>
      <c r="F1038" t="s">
        <v>1420</v>
      </c>
    </row>
    <row r="1039" spans="1:6" x14ac:dyDescent="0.25">
      <c r="A1039" t="s">
        <v>716</v>
      </c>
      <c r="B1039" t="s">
        <v>453</v>
      </c>
      <c r="C1039" t="s">
        <v>74</v>
      </c>
      <c r="D1039" t="str">
        <f>HYPERLINK("http://service.sap.com/sap/support/notes/1753809","1753809")</f>
        <v>1753809</v>
      </c>
      <c r="E1039">
        <v>5</v>
      </c>
      <c r="F1039" t="s">
        <v>1421</v>
      </c>
    </row>
    <row r="1040" spans="1:6" x14ac:dyDescent="0.25">
      <c r="A1040" t="s">
        <v>716</v>
      </c>
      <c r="B1040" t="s">
        <v>453</v>
      </c>
      <c r="C1040" t="s">
        <v>74</v>
      </c>
      <c r="D1040" t="str">
        <f>HYPERLINK("http://service.sap.com/sap/support/notes/1787478","1787478")</f>
        <v>1787478</v>
      </c>
      <c r="E1040">
        <v>3</v>
      </c>
      <c r="F1040" t="s">
        <v>1422</v>
      </c>
    </row>
    <row r="1041" spans="1:6" x14ac:dyDescent="0.25">
      <c r="A1041" t="s">
        <v>716</v>
      </c>
      <c r="B1041" t="s">
        <v>601</v>
      </c>
      <c r="C1041" t="s">
        <v>196</v>
      </c>
    </row>
    <row r="1042" spans="1:6" x14ac:dyDescent="0.25">
      <c r="A1042" t="s">
        <v>716</v>
      </c>
      <c r="B1042" t="s">
        <v>604</v>
      </c>
      <c r="C1042" t="s">
        <v>605</v>
      </c>
      <c r="D1042" t="str">
        <f>HYPERLINK("http://service.sap.com/sap/support/notes/1628237","1628237")</f>
        <v>1628237</v>
      </c>
      <c r="E1042">
        <v>2</v>
      </c>
      <c r="F1042" t="s">
        <v>1423</v>
      </c>
    </row>
    <row r="1043" spans="1:6" x14ac:dyDescent="0.25">
      <c r="A1043" t="s">
        <v>716</v>
      </c>
      <c r="B1043" t="s">
        <v>604</v>
      </c>
      <c r="C1043" t="s">
        <v>605</v>
      </c>
      <c r="D1043" t="str">
        <f>HYPERLINK("http://service.sap.com/sap/support/notes/1788042","1788042")</f>
        <v>1788042</v>
      </c>
      <c r="E1043">
        <v>2</v>
      </c>
      <c r="F1043" t="s">
        <v>606</v>
      </c>
    </row>
    <row r="1044" spans="1:6" x14ac:dyDescent="0.25">
      <c r="A1044" t="s">
        <v>716</v>
      </c>
      <c r="B1044" t="s">
        <v>653</v>
      </c>
      <c r="C1044" t="s">
        <v>128</v>
      </c>
      <c r="D1044" t="str">
        <f>HYPERLINK("http://service.sap.com/sap/support/notes/1601910","1601910")</f>
        <v>1601910</v>
      </c>
      <c r="E1044">
        <v>2</v>
      </c>
      <c r="F1044" t="s">
        <v>1424</v>
      </c>
    </row>
    <row r="1045" spans="1:6" x14ac:dyDescent="0.25">
      <c r="A1045" t="s">
        <v>716</v>
      </c>
      <c r="B1045" t="s">
        <v>653</v>
      </c>
      <c r="C1045" t="s">
        <v>128</v>
      </c>
      <c r="D1045" t="str">
        <f>HYPERLINK("http://service.sap.com/sap/support/notes/1610565","1610565")</f>
        <v>1610565</v>
      </c>
      <c r="E1045">
        <v>2</v>
      </c>
      <c r="F1045" t="s">
        <v>1425</v>
      </c>
    </row>
    <row r="1046" spans="1:6" x14ac:dyDescent="0.25">
      <c r="A1046" t="s">
        <v>716</v>
      </c>
      <c r="B1046" t="s">
        <v>653</v>
      </c>
      <c r="C1046" t="s">
        <v>128</v>
      </c>
      <c r="D1046" t="str">
        <f>HYPERLINK("http://service.sap.com/sap/support/notes/1667630","1667630")</f>
        <v>1667630</v>
      </c>
      <c r="E1046">
        <v>3</v>
      </c>
      <c r="F1046" t="s">
        <v>1426</v>
      </c>
    </row>
    <row r="1047" spans="1:6" x14ac:dyDescent="0.25">
      <c r="A1047" t="s">
        <v>716</v>
      </c>
      <c r="B1047" t="s">
        <v>607</v>
      </c>
      <c r="C1047" t="s">
        <v>156</v>
      </c>
      <c r="D1047" t="str">
        <f>HYPERLINK("http://service.sap.com/sap/support/notes/1696965","1696965")</f>
        <v>1696965</v>
      </c>
      <c r="E1047">
        <v>2</v>
      </c>
      <c r="F1047" t="s">
        <v>1427</v>
      </c>
    </row>
    <row r="1048" spans="1:6" x14ac:dyDescent="0.25">
      <c r="A1048" t="s">
        <v>716</v>
      </c>
      <c r="B1048" t="s">
        <v>607</v>
      </c>
      <c r="C1048" t="s">
        <v>156</v>
      </c>
      <c r="D1048" t="str">
        <f>HYPERLINK("http://service.sap.com/sap/support/notes/1769970","1769970")</f>
        <v>1769970</v>
      </c>
      <c r="E1048">
        <v>1</v>
      </c>
      <c r="F1048" t="s">
        <v>1428</v>
      </c>
    </row>
    <row r="1049" spans="1:6" x14ac:dyDescent="0.25">
      <c r="A1049" t="s">
        <v>716</v>
      </c>
      <c r="B1049" t="s">
        <v>607</v>
      </c>
      <c r="C1049" t="s">
        <v>156</v>
      </c>
      <c r="D1049" t="str">
        <f>HYPERLINK("http://service.sap.com/sap/support/notes/1772212","1772212")</f>
        <v>1772212</v>
      </c>
      <c r="E1049">
        <v>3</v>
      </c>
      <c r="F1049" t="s">
        <v>1429</v>
      </c>
    </row>
    <row r="1050" spans="1:6" x14ac:dyDescent="0.25">
      <c r="A1050" t="s">
        <v>716</v>
      </c>
      <c r="B1050" t="s">
        <v>454</v>
      </c>
      <c r="C1050" t="s">
        <v>573</v>
      </c>
      <c r="D1050" t="str">
        <f>HYPERLINK("http://service.sap.com/sap/support/notes/1560765","1560765")</f>
        <v>1560765</v>
      </c>
      <c r="E1050">
        <v>2</v>
      </c>
      <c r="F1050" t="s">
        <v>1430</v>
      </c>
    </row>
    <row r="1051" spans="1:6" x14ac:dyDescent="0.25">
      <c r="A1051" t="s">
        <v>716</v>
      </c>
      <c r="B1051" t="s">
        <v>454</v>
      </c>
      <c r="C1051" t="s">
        <v>573</v>
      </c>
      <c r="D1051" t="str">
        <f>HYPERLINK("http://service.sap.com/sap/support/notes/1621930","1621930")</f>
        <v>1621930</v>
      </c>
      <c r="E1051">
        <v>4</v>
      </c>
      <c r="F1051" t="s">
        <v>1431</v>
      </c>
    </row>
    <row r="1052" spans="1:6" x14ac:dyDescent="0.25">
      <c r="A1052" t="s">
        <v>716</v>
      </c>
      <c r="B1052" t="s">
        <v>454</v>
      </c>
      <c r="C1052" t="s">
        <v>573</v>
      </c>
      <c r="D1052" t="str">
        <f>HYPERLINK("http://service.sap.com/sap/support/notes/1636912","1636912")</f>
        <v>1636912</v>
      </c>
      <c r="E1052">
        <v>5</v>
      </c>
      <c r="F1052" t="s">
        <v>1432</v>
      </c>
    </row>
    <row r="1053" spans="1:6" x14ac:dyDescent="0.25">
      <c r="A1053" t="s">
        <v>716</v>
      </c>
      <c r="B1053" t="s">
        <v>454</v>
      </c>
      <c r="C1053" t="s">
        <v>573</v>
      </c>
      <c r="D1053" t="str">
        <f>HYPERLINK("http://service.sap.com/sap/support/notes/1676600","1676600")</f>
        <v>1676600</v>
      </c>
      <c r="E1053">
        <v>7</v>
      </c>
      <c r="F1053" t="s">
        <v>1433</v>
      </c>
    </row>
    <row r="1054" spans="1:6" x14ac:dyDescent="0.25">
      <c r="A1054" t="s">
        <v>716</v>
      </c>
      <c r="B1054" t="s">
        <v>454</v>
      </c>
      <c r="C1054" t="s">
        <v>573</v>
      </c>
      <c r="D1054" t="str">
        <f>HYPERLINK("http://service.sap.com/sap/support/notes/1683650","1683650")</f>
        <v>1683650</v>
      </c>
      <c r="E1054">
        <v>2</v>
      </c>
      <c r="F1054" t="s">
        <v>1434</v>
      </c>
    </row>
    <row r="1055" spans="1:6" x14ac:dyDescent="0.25">
      <c r="A1055" t="s">
        <v>716</v>
      </c>
      <c r="B1055" t="s">
        <v>454</v>
      </c>
      <c r="C1055" t="s">
        <v>573</v>
      </c>
      <c r="D1055" t="str">
        <f>HYPERLINK("http://service.sap.com/sap/support/notes/1750053","1750053")</f>
        <v>1750053</v>
      </c>
      <c r="E1055">
        <v>3</v>
      </c>
      <c r="F1055" t="s">
        <v>1435</v>
      </c>
    </row>
    <row r="1056" spans="1:6" x14ac:dyDescent="0.25">
      <c r="A1056" t="s">
        <v>716</v>
      </c>
      <c r="B1056" t="s">
        <v>454</v>
      </c>
      <c r="C1056" t="s">
        <v>573</v>
      </c>
      <c r="D1056" t="str">
        <f>HYPERLINK("http://service.sap.com/sap/support/notes/1770507","1770507")</f>
        <v>1770507</v>
      </c>
      <c r="E1056">
        <v>4</v>
      </c>
      <c r="F1056" t="s">
        <v>456</v>
      </c>
    </row>
    <row r="1057" spans="1:6" x14ac:dyDescent="0.25">
      <c r="A1057" t="s">
        <v>716</v>
      </c>
      <c r="B1057" t="s">
        <v>454</v>
      </c>
      <c r="C1057" t="s">
        <v>573</v>
      </c>
      <c r="D1057" t="str">
        <f>HYPERLINK("http://service.sap.com/sap/support/notes/1778095","1778095")</f>
        <v>1778095</v>
      </c>
      <c r="E1057">
        <v>1</v>
      </c>
      <c r="F1057" t="s">
        <v>1436</v>
      </c>
    </row>
    <row r="1058" spans="1:6" x14ac:dyDescent="0.25">
      <c r="A1058" t="s">
        <v>716</v>
      </c>
      <c r="B1058" t="s">
        <v>457</v>
      </c>
      <c r="C1058" t="s">
        <v>458</v>
      </c>
      <c r="D1058" t="str">
        <f>HYPERLINK("http://service.sap.com/sap/support/notes/1730924","1730924")</f>
        <v>1730924</v>
      </c>
      <c r="E1058">
        <v>2</v>
      </c>
      <c r="F1058" t="s">
        <v>1437</v>
      </c>
    </row>
    <row r="1059" spans="1:6" x14ac:dyDescent="0.25">
      <c r="A1059" t="s">
        <v>716</v>
      </c>
      <c r="B1059" t="s">
        <v>457</v>
      </c>
      <c r="C1059" t="s">
        <v>458</v>
      </c>
      <c r="D1059" t="str">
        <f>HYPERLINK("http://service.sap.com/sap/support/notes/1764123","1764123")</f>
        <v>1764123</v>
      </c>
      <c r="E1059">
        <v>9</v>
      </c>
      <c r="F1059" t="s">
        <v>1438</v>
      </c>
    </row>
    <row r="1060" spans="1:6" x14ac:dyDescent="0.25">
      <c r="A1060" t="s">
        <v>716</v>
      </c>
      <c r="B1060" t="s">
        <v>457</v>
      </c>
      <c r="C1060" t="s">
        <v>458</v>
      </c>
      <c r="D1060" t="str">
        <f>HYPERLINK("http://service.sap.com/sap/support/notes/1768878","1768878")</f>
        <v>1768878</v>
      </c>
      <c r="E1060">
        <v>1</v>
      </c>
      <c r="F1060" t="s">
        <v>1439</v>
      </c>
    </row>
    <row r="1061" spans="1:6" x14ac:dyDescent="0.25">
      <c r="A1061" t="s">
        <v>716</v>
      </c>
      <c r="B1061" t="s">
        <v>608</v>
      </c>
      <c r="C1061" t="s">
        <v>609</v>
      </c>
      <c r="D1061" t="str">
        <f>HYPERLINK("http://service.sap.com/sap/support/notes/1555266","1555266")</f>
        <v>1555266</v>
      </c>
      <c r="E1061">
        <v>3</v>
      </c>
      <c r="F1061" t="s">
        <v>1440</v>
      </c>
    </row>
    <row r="1062" spans="1:6" x14ac:dyDescent="0.25">
      <c r="A1062" t="s">
        <v>716</v>
      </c>
      <c r="B1062" t="s">
        <v>608</v>
      </c>
      <c r="C1062" t="s">
        <v>609</v>
      </c>
      <c r="D1062" t="str">
        <f>HYPERLINK("http://service.sap.com/sap/support/notes/1763997","1763997")</f>
        <v>1763997</v>
      </c>
      <c r="E1062">
        <v>1</v>
      </c>
      <c r="F1062" t="s">
        <v>1441</v>
      </c>
    </row>
    <row r="1063" spans="1:6" x14ac:dyDescent="0.25">
      <c r="A1063" t="s">
        <v>716</v>
      </c>
      <c r="B1063" t="s">
        <v>608</v>
      </c>
      <c r="C1063" t="s">
        <v>609</v>
      </c>
      <c r="D1063" t="str">
        <f>HYPERLINK("http://service.sap.com/sap/support/notes/1773111","1773111")</f>
        <v>1773111</v>
      </c>
      <c r="E1063">
        <v>1</v>
      </c>
      <c r="F1063" t="s">
        <v>1442</v>
      </c>
    </row>
    <row r="1064" spans="1:6" x14ac:dyDescent="0.25">
      <c r="A1064" t="s">
        <v>716</v>
      </c>
      <c r="B1064" t="s">
        <v>461</v>
      </c>
      <c r="C1064" t="s">
        <v>462</v>
      </c>
      <c r="D1064" t="str">
        <f>HYPERLINK("http://service.sap.com/sap/support/notes/870012","870012")</f>
        <v>870012</v>
      </c>
      <c r="E1064">
        <v>1</v>
      </c>
      <c r="F1064" t="s">
        <v>1443</v>
      </c>
    </row>
    <row r="1065" spans="1:6" x14ac:dyDescent="0.25">
      <c r="A1065" t="s">
        <v>716</v>
      </c>
      <c r="B1065" t="s">
        <v>461</v>
      </c>
      <c r="C1065" t="s">
        <v>462</v>
      </c>
      <c r="D1065" t="str">
        <f>HYPERLINK("http://service.sap.com/sap/support/notes/1754157","1754157")</f>
        <v>1754157</v>
      </c>
      <c r="E1065">
        <v>6</v>
      </c>
      <c r="F1065" t="s">
        <v>1444</v>
      </c>
    </row>
    <row r="1066" spans="1:6" x14ac:dyDescent="0.25">
      <c r="A1066" t="s">
        <v>716</v>
      </c>
      <c r="B1066" t="s">
        <v>461</v>
      </c>
      <c r="C1066" t="s">
        <v>462</v>
      </c>
      <c r="D1066" t="str">
        <f>HYPERLINK("http://service.sap.com/sap/support/notes/1773579","1773579")</f>
        <v>1773579</v>
      </c>
      <c r="E1066">
        <v>2</v>
      </c>
      <c r="F1066" t="s">
        <v>1445</v>
      </c>
    </row>
    <row r="1067" spans="1:6" x14ac:dyDescent="0.25">
      <c r="A1067" t="s">
        <v>716</v>
      </c>
      <c r="B1067" t="s">
        <v>461</v>
      </c>
      <c r="C1067" t="s">
        <v>462</v>
      </c>
      <c r="D1067" t="str">
        <f>HYPERLINK("http://service.sap.com/sap/support/notes/1776427","1776427")</f>
        <v>1776427</v>
      </c>
      <c r="E1067">
        <v>3</v>
      </c>
      <c r="F1067" t="s">
        <v>1446</v>
      </c>
    </row>
    <row r="1068" spans="1:6" x14ac:dyDescent="0.25">
      <c r="A1068" t="s">
        <v>716</v>
      </c>
      <c r="B1068" t="s">
        <v>461</v>
      </c>
      <c r="C1068" t="s">
        <v>462</v>
      </c>
      <c r="D1068" t="str">
        <f>HYPERLINK("http://service.sap.com/sap/support/notes/1777635","1777635")</f>
        <v>1777635</v>
      </c>
      <c r="E1068">
        <v>4</v>
      </c>
      <c r="F1068" t="s">
        <v>1446</v>
      </c>
    </row>
    <row r="1069" spans="1:6" x14ac:dyDescent="0.25">
      <c r="A1069" t="s">
        <v>716</v>
      </c>
      <c r="B1069" t="s">
        <v>461</v>
      </c>
      <c r="C1069" t="s">
        <v>462</v>
      </c>
      <c r="D1069" t="str">
        <f>HYPERLINK("http://service.sap.com/sap/support/notes/1779628","1779628")</f>
        <v>1779628</v>
      </c>
      <c r="E1069">
        <v>1</v>
      </c>
      <c r="F1069" t="s">
        <v>1447</v>
      </c>
    </row>
    <row r="1070" spans="1:6" x14ac:dyDescent="0.25">
      <c r="A1070" t="s">
        <v>716</v>
      </c>
      <c r="B1070" t="s">
        <v>610</v>
      </c>
      <c r="C1070" t="s">
        <v>532</v>
      </c>
      <c r="D1070" t="str">
        <f>HYPERLINK("http://service.sap.com/sap/support/notes/1713904","1713904")</f>
        <v>1713904</v>
      </c>
      <c r="E1070">
        <v>1</v>
      </c>
      <c r="F1070" t="s">
        <v>1448</v>
      </c>
    </row>
    <row r="1071" spans="1:6" x14ac:dyDescent="0.25">
      <c r="A1071" t="s">
        <v>716</v>
      </c>
      <c r="B1071" t="s">
        <v>610</v>
      </c>
      <c r="C1071" t="s">
        <v>532</v>
      </c>
      <c r="D1071" t="str">
        <f>HYPERLINK("http://service.sap.com/sap/support/notes/1760908","1760908")</f>
        <v>1760908</v>
      </c>
      <c r="E1071">
        <v>1</v>
      </c>
      <c r="F1071" t="s">
        <v>1449</v>
      </c>
    </row>
    <row r="1072" spans="1:6" x14ac:dyDescent="0.25">
      <c r="A1072" t="s">
        <v>716</v>
      </c>
      <c r="B1072" t="s">
        <v>610</v>
      </c>
      <c r="C1072" t="s">
        <v>532</v>
      </c>
      <c r="D1072" t="str">
        <f>HYPERLINK("http://service.sap.com/sap/support/notes/1775417","1775417")</f>
        <v>1775417</v>
      </c>
      <c r="E1072">
        <v>1</v>
      </c>
      <c r="F1072" t="s">
        <v>1450</v>
      </c>
    </row>
    <row r="1073" spans="1:6" x14ac:dyDescent="0.25">
      <c r="A1073" t="s">
        <v>716</v>
      </c>
      <c r="B1073" t="s">
        <v>610</v>
      </c>
      <c r="C1073" t="s">
        <v>532</v>
      </c>
      <c r="D1073" t="str">
        <f>HYPERLINK("http://service.sap.com/sap/support/notes/1787826","1787826")</f>
        <v>1787826</v>
      </c>
      <c r="E1073">
        <v>1</v>
      </c>
      <c r="F1073" t="s">
        <v>1451</v>
      </c>
    </row>
    <row r="1074" spans="1:6" x14ac:dyDescent="0.25">
      <c r="A1074" t="s">
        <v>716</v>
      </c>
      <c r="B1074" t="s">
        <v>611</v>
      </c>
      <c r="C1074" t="s">
        <v>515</v>
      </c>
      <c r="D1074" t="str">
        <f>HYPERLINK("http://service.sap.com/sap/support/notes/1652111","1652111")</f>
        <v>1652111</v>
      </c>
      <c r="E1074">
        <v>2</v>
      </c>
      <c r="F1074" t="s">
        <v>1452</v>
      </c>
    </row>
    <row r="1075" spans="1:6" x14ac:dyDescent="0.25">
      <c r="A1075" t="s">
        <v>716</v>
      </c>
      <c r="B1075" t="s">
        <v>611</v>
      </c>
      <c r="C1075" t="s">
        <v>515</v>
      </c>
      <c r="D1075" t="str">
        <f>HYPERLINK("http://service.sap.com/sap/support/notes/1702335","1702335")</f>
        <v>1702335</v>
      </c>
      <c r="E1075">
        <v>3</v>
      </c>
      <c r="F1075" t="s">
        <v>1453</v>
      </c>
    </row>
    <row r="1076" spans="1:6" x14ac:dyDescent="0.25">
      <c r="A1076" t="s">
        <v>716</v>
      </c>
      <c r="B1076" t="s">
        <v>611</v>
      </c>
      <c r="C1076" t="s">
        <v>515</v>
      </c>
      <c r="D1076" t="str">
        <f>HYPERLINK("http://service.sap.com/sap/support/notes/1749877","1749877")</f>
        <v>1749877</v>
      </c>
      <c r="E1076">
        <v>4</v>
      </c>
      <c r="F1076" t="s">
        <v>1454</v>
      </c>
    </row>
    <row r="1077" spans="1:6" x14ac:dyDescent="0.25">
      <c r="A1077" t="s">
        <v>716</v>
      </c>
      <c r="B1077" t="s">
        <v>611</v>
      </c>
      <c r="C1077" t="s">
        <v>515</v>
      </c>
      <c r="D1077" t="str">
        <f>HYPERLINK("http://service.sap.com/sap/support/notes/1766505","1766505")</f>
        <v>1766505</v>
      </c>
      <c r="E1077">
        <v>1</v>
      </c>
      <c r="F1077" t="s">
        <v>1455</v>
      </c>
    </row>
    <row r="1078" spans="1:6" x14ac:dyDescent="0.25">
      <c r="A1078" t="s">
        <v>716</v>
      </c>
      <c r="B1078" t="s">
        <v>611</v>
      </c>
      <c r="C1078" t="s">
        <v>515</v>
      </c>
      <c r="D1078" t="str">
        <f>HYPERLINK("http://service.sap.com/sap/support/notes/1774918","1774918")</f>
        <v>1774918</v>
      </c>
      <c r="E1078">
        <v>1</v>
      </c>
      <c r="F1078" t="s">
        <v>1456</v>
      </c>
    </row>
    <row r="1079" spans="1:6" x14ac:dyDescent="0.25">
      <c r="A1079" t="s">
        <v>716</v>
      </c>
      <c r="B1079" t="s">
        <v>611</v>
      </c>
      <c r="C1079" t="s">
        <v>515</v>
      </c>
      <c r="D1079" t="str">
        <f>HYPERLINK("http://service.sap.com/sap/support/notes/1781438","1781438")</f>
        <v>1781438</v>
      </c>
      <c r="E1079">
        <v>2</v>
      </c>
      <c r="F1079" t="s">
        <v>1457</v>
      </c>
    </row>
    <row r="1080" spans="1:6" x14ac:dyDescent="0.25">
      <c r="A1080" t="s">
        <v>716</v>
      </c>
      <c r="B1080" t="s">
        <v>614</v>
      </c>
      <c r="C1080" t="s">
        <v>615</v>
      </c>
      <c r="D1080" t="str">
        <f>HYPERLINK("http://service.sap.com/sap/support/notes/1709353","1709353")</f>
        <v>1709353</v>
      </c>
      <c r="E1080">
        <v>2</v>
      </c>
      <c r="F1080" t="s">
        <v>1458</v>
      </c>
    </row>
    <row r="1081" spans="1:6" x14ac:dyDescent="0.25">
      <c r="A1081" t="s">
        <v>716</v>
      </c>
      <c r="B1081" t="s">
        <v>614</v>
      </c>
      <c r="C1081" t="s">
        <v>615</v>
      </c>
      <c r="D1081" t="str">
        <f>HYPERLINK("http://service.sap.com/sap/support/notes/1724396","1724396")</f>
        <v>1724396</v>
      </c>
      <c r="E1081">
        <v>1</v>
      </c>
      <c r="F1081" t="s">
        <v>1459</v>
      </c>
    </row>
    <row r="1082" spans="1:6" x14ac:dyDescent="0.25">
      <c r="A1082" t="s">
        <v>716</v>
      </c>
      <c r="B1082" t="s">
        <v>614</v>
      </c>
      <c r="C1082" t="s">
        <v>615</v>
      </c>
      <c r="D1082" t="str">
        <f>HYPERLINK("http://service.sap.com/sap/support/notes/1745322","1745322")</f>
        <v>1745322</v>
      </c>
      <c r="E1082">
        <v>5</v>
      </c>
      <c r="F1082" t="s">
        <v>1460</v>
      </c>
    </row>
    <row r="1083" spans="1:6" x14ac:dyDescent="0.25">
      <c r="A1083" t="s">
        <v>716</v>
      </c>
      <c r="B1083" t="s">
        <v>614</v>
      </c>
      <c r="C1083" t="s">
        <v>615</v>
      </c>
      <c r="D1083" t="str">
        <f>HYPERLINK("http://service.sap.com/sap/support/notes/1770486","1770486")</f>
        <v>1770486</v>
      </c>
      <c r="E1083">
        <v>2</v>
      </c>
      <c r="F1083" t="s">
        <v>1461</v>
      </c>
    </row>
    <row r="1084" spans="1:6" x14ac:dyDescent="0.25">
      <c r="A1084" t="s">
        <v>716</v>
      </c>
      <c r="B1084" t="s">
        <v>614</v>
      </c>
      <c r="C1084" t="s">
        <v>615</v>
      </c>
      <c r="D1084" t="str">
        <f>HYPERLINK("http://service.sap.com/sap/support/notes/1775938","1775938")</f>
        <v>1775938</v>
      </c>
      <c r="E1084">
        <v>1</v>
      </c>
      <c r="F1084" t="s">
        <v>1462</v>
      </c>
    </row>
    <row r="1085" spans="1:6" x14ac:dyDescent="0.25">
      <c r="A1085" t="s">
        <v>716</v>
      </c>
      <c r="B1085" t="s">
        <v>616</v>
      </c>
      <c r="C1085" t="s">
        <v>617</v>
      </c>
      <c r="D1085" t="str">
        <f>HYPERLINK("http://service.sap.com/sap/support/notes/1602958","1602958")</f>
        <v>1602958</v>
      </c>
      <c r="E1085">
        <v>5</v>
      </c>
      <c r="F1085" t="s">
        <v>1463</v>
      </c>
    </row>
    <row r="1086" spans="1:6" x14ac:dyDescent="0.25">
      <c r="A1086" t="s">
        <v>716</v>
      </c>
      <c r="B1086" t="s">
        <v>616</v>
      </c>
      <c r="C1086" t="s">
        <v>617</v>
      </c>
      <c r="D1086" t="str">
        <f>HYPERLINK("http://service.sap.com/sap/support/notes/1717634","1717634")</f>
        <v>1717634</v>
      </c>
      <c r="E1086">
        <v>4</v>
      </c>
      <c r="F1086" t="s">
        <v>1464</v>
      </c>
    </row>
    <row r="1087" spans="1:6" x14ac:dyDescent="0.25">
      <c r="A1087" t="s">
        <v>716</v>
      </c>
      <c r="B1087" t="s">
        <v>616</v>
      </c>
      <c r="C1087" t="s">
        <v>617</v>
      </c>
      <c r="D1087" t="str">
        <f>HYPERLINK("http://service.sap.com/sap/support/notes/1732698","1732698")</f>
        <v>1732698</v>
      </c>
      <c r="E1087">
        <v>1</v>
      </c>
      <c r="F1087" t="s">
        <v>1465</v>
      </c>
    </row>
    <row r="1088" spans="1:6" x14ac:dyDescent="0.25">
      <c r="A1088" t="s">
        <v>716</v>
      </c>
      <c r="B1088" t="s">
        <v>616</v>
      </c>
      <c r="C1088" t="s">
        <v>617</v>
      </c>
      <c r="D1088" t="str">
        <f>HYPERLINK("http://service.sap.com/sap/support/notes/1739525","1739525")</f>
        <v>1739525</v>
      </c>
      <c r="E1088">
        <v>2</v>
      </c>
      <c r="F1088" t="s">
        <v>1466</v>
      </c>
    </row>
    <row r="1089" spans="1:6" x14ac:dyDescent="0.25">
      <c r="A1089" t="s">
        <v>716</v>
      </c>
      <c r="B1089" t="s">
        <v>616</v>
      </c>
      <c r="C1089" t="s">
        <v>617</v>
      </c>
      <c r="D1089" t="str">
        <f>HYPERLINK("http://service.sap.com/sap/support/notes/1745021","1745021")</f>
        <v>1745021</v>
      </c>
      <c r="E1089">
        <v>2</v>
      </c>
      <c r="F1089" t="s">
        <v>1467</v>
      </c>
    </row>
    <row r="1090" spans="1:6" x14ac:dyDescent="0.25">
      <c r="A1090" t="s">
        <v>716</v>
      </c>
      <c r="B1090" t="s">
        <v>616</v>
      </c>
      <c r="C1090" t="s">
        <v>617</v>
      </c>
      <c r="D1090" t="str">
        <f>HYPERLINK("http://service.sap.com/sap/support/notes/1769662","1769662")</f>
        <v>1769662</v>
      </c>
      <c r="E1090">
        <v>3</v>
      </c>
      <c r="F1090" t="s">
        <v>1468</v>
      </c>
    </row>
    <row r="1091" spans="1:6" x14ac:dyDescent="0.25">
      <c r="A1091" t="s">
        <v>716</v>
      </c>
      <c r="B1091" t="s">
        <v>616</v>
      </c>
      <c r="C1091" t="s">
        <v>617</v>
      </c>
      <c r="D1091" t="str">
        <f>HYPERLINK("http://service.sap.com/sap/support/notes/1775097","1775097")</f>
        <v>1775097</v>
      </c>
      <c r="E1091">
        <v>3</v>
      </c>
      <c r="F1091" t="s">
        <v>1469</v>
      </c>
    </row>
    <row r="1092" spans="1:6" x14ac:dyDescent="0.25">
      <c r="A1092" t="s">
        <v>716</v>
      </c>
      <c r="B1092" t="s">
        <v>616</v>
      </c>
      <c r="C1092" t="s">
        <v>617</v>
      </c>
      <c r="D1092" t="str">
        <f>HYPERLINK("http://service.sap.com/sap/support/notes/1778850","1778850")</f>
        <v>1778850</v>
      </c>
      <c r="E1092">
        <v>2</v>
      </c>
      <c r="F1092" t="s">
        <v>1470</v>
      </c>
    </row>
    <row r="1093" spans="1:6" x14ac:dyDescent="0.25">
      <c r="A1093" t="s">
        <v>716</v>
      </c>
      <c r="B1093" t="s">
        <v>620</v>
      </c>
      <c r="C1093" t="s">
        <v>621</v>
      </c>
      <c r="D1093" t="str">
        <f>HYPERLINK("http://service.sap.com/sap/support/notes/1780849","1780849")</f>
        <v>1780849</v>
      </c>
      <c r="E1093">
        <v>2</v>
      </c>
      <c r="F1093" t="s">
        <v>1471</v>
      </c>
    </row>
    <row r="1094" spans="1:6" x14ac:dyDescent="0.25">
      <c r="A1094" t="s">
        <v>716</v>
      </c>
      <c r="B1094" t="s">
        <v>622</v>
      </c>
      <c r="C1094" t="s">
        <v>623</v>
      </c>
      <c r="D1094" t="str">
        <f>HYPERLINK("http://service.sap.com/sap/support/notes/1712175","1712175")</f>
        <v>1712175</v>
      </c>
      <c r="E1094">
        <v>2</v>
      </c>
      <c r="F1094" t="s">
        <v>1472</v>
      </c>
    </row>
    <row r="1095" spans="1:6" x14ac:dyDescent="0.25">
      <c r="A1095" t="s">
        <v>716</v>
      </c>
      <c r="B1095" t="s">
        <v>622</v>
      </c>
      <c r="C1095" t="s">
        <v>623</v>
      </c>
      <c r="D1095" t="str">
        <f>HYPERLINK("http://service.sap.com/sap/support/notes/1751017","1751017")</f>
        <v>1751017</v>
      </c>
      <c r="E1095">
        <v>2</v>
      </c>
      <c r="F1095" t="s">
        <v>1473</v>
      </c>
    </row>
    <row r="1096" spans="1:6" x14ac:dyDescent="0.25">
      <c r="A1096" t="s">
        <v>716</v>
      </c>
      <c r="B1096" t="s">
        <v>622</v>
      </c>
      <c r="C1096" t="s">
        <v>623</v>
      </c>
      <c r="D1096" t="str">
        <f>HYPERLINK("http://service.sap.com/sap/support/notes/1752412","1752412")</f>
        <v>1752412</v>
      </c>
      <c r="E1096">
        <v>2</v>
      </c>
      <c r="F1096" t="s">
        <v>1474</v>
      </c>
    </row>
    <row r="1097" spans="1:6" x14ac:dyDescent="0.25">
      <c r="A1097" t="s">
        <v>716</v>
      </c>
      <c r="B1097" t="s">
        <v>624</v>
      </c>
      <c r="C1097" t="s">
        <v>625</v>
      </c>
      <c r="D1097" t="str">
        <f>HYPERLINK("http://service.sap.com/sap/support/notes/1272366","1272366")</f>
        <v>1272366</v>
      </c>
      <c r="E1097">
        <v>1</v>
      </c>
      <c r="F1097" t="s">
        <v>1475</v>
      </c>
    </row>
    <row r="1098" spans="1:6" x14ac:dyDescent="0.25">
      <c r="A1098" t="s">
        <v>716</v>
      </c>
      <c r="B1098" t="s">
        <v>624</v>
      </c>
      <c r="C1098" t="s">
        <v>625</v>
      </c>
      <c r="D1098" t="str">
        <f>HYPERLINK("http://service.sap.com/sap/support/notes/1634730","1634730")</f>
        <v>1634730</v>
      </c>
      <c r="E1098">
        <v>3</v>
      </c>
      <c r="F1098" t="s">
        <v>1476</v>
      </c>
    </row>
    <row r="1099" spans="1:6" x14ac:dyDescent="0.25">
      <c r="A1099" t="s">
        <v>716</v>
      </c>
      <c r="B1099" t="s">
        <v>624</v>
      </c>
      <c r="C1099" t="s">
        <v>625</v>
      </c>
      <c r="D1099" t="str">
        <f>HYPERLINK("http://service.sap.com/sap/support/notes/1682557","1682557")</f>
        <v>1682557</v>
      </c>
      <c r="E1099">
        <v>2</v>
      </c>
      <c r="F1099" t="s">
        <v>1477</v>
      </c>
    </row>
    <row r="1100" spans="1:6" x14ac:dyDescent="0.25">
      <c r="A1100" t="s">
        <v>716</v>
      </c>
      <c r="B1100" t="s">
        <v>624</v>
      </c>
      <c r="C1100" t="s">
        <v>625</v>
      </c>
      <c r="D1100" t="str">
        <f>HYPERLINK("http://service.sap.com/sap/support/notes/1691392","1691392")</f>
        <v>1691392</v>
      </c>
      <c r="E1100">
        <v>3</v>
      </c>
      <c r="F1100" t="s">
        <v>1478</v>
      </c>
    </row>
    <row r="1101" spans="1:6" x14ac:dyDescent="0.25">
      <c r="A1101" t="s">
        <v>716</v>
      </c>
      <c r="B1101" t="s">
        <v>624</v>
      </c>
      <c r="C1101" t="s">
        <v>625</v>
      </c>
      <c r="D1101" t="str">
        <f>HYPERLINK("http://service.sap.com/sap/support/notes/1715095","1715095")</f>
        <v>1715095</v>
      </c>
      <c r="E1101">
        <v>2</v>
      </c>
      <c r="F1101" t="s">
        <v>1479</v>
      </c>
    </row>
    <row r="1102" spans="1:6" x14ac:dyDescent="0.25">
      <c r="A1102" t="s">
        <v>716</v>
      </c>
      <c r="B1102" t="s">
        <v>624</v>
      </c>
      <c r="C1102" t="s">
        <v>625</v>
      </c>
      <c r="D1102" t="str">
        <f>HYPERLINK("http://service.sap.com/sap/support/notes/1723310","1723310")</f>
        <v>1723310</v>
      </c>
      <c r="E1102">
        <v>2</v>
      </c>
      <c r="F1102" t="s">
        <v>1480</v>
      </c>
    </row>
    <row r="1103" spans="1:6" x14ac:dyDescent="0.25">
      <c r="A1103" t="s">
        <v>716</v>
      </c>
      <c r="B1103" t="s">
        <v>624</v>
      </c>
      <c r="C1103" t="s">
        <v>625</v>
      </c>
      <c r="D1103" t="str">
        <f>HYPERLINK("http://service.sap.com/sap/support/notes/1726317","1726317")</f>
        <v>1726317</v>
      </c>
      <c r="E1103">
        <v>3</v>
      </c>
      <c r="F1103" t="s">
        <v>1481</v>
      </c>
    </row>
    <row r="1104" spans="1:6" x14ac:dyDescent="0.25">
      <c r="A1104" t="s">
        <v>716</v>
      </c>
      <c r="B1104" t="s">
        <v>624</v>
      </c>
      <c r="C1104" t="s">
        <v>625</v>
      </c>
      <c r="D1104" t="str">
        <f>HYPERLINK("http://service.sap.com/sap/support/notes/1727587","1727587")</f>
        <v>1727587</v>
      </c>
      <c r="E1104">
        <v>1</v>
      </c>
      <c r="F1104" t="s">
        <v>1482</v>
      </c>
    </row>
    <row r="1105" spans="1:6" x14ac:dyDescent="0.25">
      <c r="A1105" t="s">
        <v>716</v>
      </c>
      <c r="B1105" t="s">
        <v>624</v>
      </c>
      <c r="C1105" t="s">
        <v>625</v>
      </c>
      <c r="D1105" t="str">
        <f>HYPERLINK("http://service.sap.com/sap/support/notes/1733827","1733827")</f>
        <v>1733827</v>
      </c>
      <c r="E1105">
        <v>2</v>
      </c>
      <c r="F1105" t="s">
        <v>1483</v>
      </c>
    </row>
    <row r="1106" spans="1:6" x14ac:dyDescent="0.25">
      <c r="A1106" t="s">
        <v>716</v>
      </c>
      <c r="B1106" t="s">
        <v>624</v>
      </c>
      <c r="C1106" t="s">
        <v>625</v>
      </c>
      <c r="D1106" t="str">
        <f>HYPERLINK("http://service.sap.com/sap/support/notes/1768305","1768305")</f>
        <v>1768305</v>
      </c>
      <c r="E1106">
        <v>1</v>
      </c>
      <c r="F1106" t="s">
        <v>1484</v>
      </c>
    </row>
    <row r="1107" spans="1:6" x14ac:dyDescent="0.25">
      <c r="A1107" t="s">
        <v>716</v>
      </c>
      <c r="B1107" t="s">
        <v>624</v>
      </c>
      <c r="C1107" t="s">
        <v>625</v>
      </c>
      <c r="D1107" t="str">
        <f>HYPERLINK("http://service.sap.com/sap/support/notes/1778601","1778601")</f>
        <v>1778601</v>
      </c>
      <c r="E1107">
        <v>1</v>
      </c>
      <c r="F1107" t="s">
        <v>1485</v>
      </c>
    </row>
    <row r="1108" spans="1:6" x14ac:dyDescent="0.25">
      <c r="A1108" t="s">
        <v>716</v>
      </c>
      <c r="B1108" t="s">
        <v>624</v>
      </c>
      <c r="C1108" t="s">
        <v>625</v>
      </c>
      <c r="D1108" t="str">
        <f>HYPERLINK("http://service.sap.com/sap/support/notes/1792056","1792056")</f>
        <v>1792056</v>
      </c>
      <c r="E1108">
        <v>1</v>
      </c>
      <c r="F1108" t="s">
        <v>1486</v>
      </c>
    </row>
    <row r="1109" spans="1:6" x14ac:dyDescent="0.25">
      <c r="A1109" t="s">
        <v>716</v>
      </c>
      <c r="B1109" t="s">
        <v>626</v>
      </c>
      <c r="C1109" t="s">
        <v>627</v>
      </c>
      <c r="D1109" t="str">
        <f>HYPERLINK("http://service.sap.com/sap/support/notes/1623571","1623571")</f>
        <v>1623571</v>
      </c>
      <c r="E1109">
        <v>3</v>
      </c>
      <c r="F1109" t="s">
        <v>1487</v>
      </c>
    </row>
    <row r="1110" spans="1:6" x14ac:dyDescent="0.25">
      <c r="A1110" t="s">
        <v>716</v>
      </c>
      <c r="B1110" t="s">
        <v>626</v>
      </c>
      <c r="C1110" t="s">
        <v>627</v>
      </c>
      <c r="D1110" t="str">
        <f>HYPERLINK("http://service.sap.com/sap/support/notes/1627248","1627248")</f>
        <v>1627248</v>
      </c>
      <c r="E1110">
        <v>3</v>
      </c>
      <c r="F1110" t="s">
        <v>1488</v>
      </c>
    </row>
    <row r="1111" spans="1:6" x14ac:dyDescent="0.25">
      <c r="A1111" t="s">
        <v>716</v>
      </c>
      <c r="B1111" t="s">
        <v>626</v>
      </c>
      <c r="C1111" t="s">
        <v>627</v>
      </c>
      <c r="D1111" t="str">
        <f>HYPERLINK("http://service.sap.com/sap/support/notes/1700421","1700421")</f>
        <v>1700421</v>
      </c>
      <c r="E1111">
        <v>3</v>
      </c>
      <c r="F1111" t="s">
        <v>1489</v>
      </c>
    </row>
    <row r="1112" spans="1:6" x14ac:dyDescent="0.25">
      <c r="A1112" t="s">
        <v>716</v>
      </c>
      <c r="B1112" t="s">
        <v>626</v>
      </c>
      <c r="C1112" t="s">
        <v>627</v>
      </c>
      <c r="D1112" t="str">
        <f>HYPERLINK("http://service.sap.com/sap/support/notes/1718195","1718195")</f>
        <v>1718195</v>
      </c>
      <c r="E1112">
        <v>3</v>
      </c>
      <c r="F1112" t="s">
        <v>1490</v>
      </c>
    </row>
    <row r="1113" spans="1:6" x14ac:dyDescent="0.25">
      <c r="A1113" t="s">
        <v>716</v>
      </c>
      <c r="B1113" t="s">
        <v>626</v>
      </c>
      <c r="C1113" t="s">
        <v>627</v>
      </c>
      <c r="D1113" t="str">
        <f>HYPERLINK("http://service.sap.com/sap/support/notes/1723219","1723219")</f>
        <v>1723219</v>
      </c>
      <c r="E1113">
        <v>2</v>
      </c>
      <c r="F1113" t="s">
        <v>1491</v>
      </c>
    </row>
    <row r="1114" spans="1:6" x14ac:dyDescent="0.25">
      <c r="A1114" t="s">
        <v>716</v>
      </c>
      <c r="B1114" t="s">
        <v>626</v>
      </c>
      <c r="C1114" t="s">
        <v>627</v>
      </c>
      <c r="D1114" t="str">
        <f>HYPERLINK("http://service.sap.com/sap/support/notes/1729694","1729694")</f>
        <v>1729694</v>
      </c>
      <c r="E1114">
        <v>2</v>
      </c>
      <c r="F1114" t="s">
        <v>1492</v>
      </c>
    </row>
    <row r="1115" spans="1:6" x14ac:dyDescent="0.25">
      <c r="A1115" t="s">
        <v>716</v>
      </c>
      <c r="B1115" t="s">
        <v>626</v>
      </c>
      <c r="C1115" t="s">
        <v>627</v>
      </c>
      <c r="D1115" t="str">
        <f>HYPERLINK("http://service.sap.com/sap/support/notes/1734747","1734747")</f>
        <v>1734747</v>
      </c>
      <c r="E1115">
        <v>2</v>
      </c>
      <c r="F1115" t="s">
        <v>1493</v>
      </c>
    </row>
    <row r="1116" spans="1:6" x14ac:dyDescent="0.25">
      <c r="A1116" t="s">
        <v>716</v>
      </c>
      <c r="B1116" t="s">
        <v>626</v>
      </c>
      <c r="C1116" t="s">
        <v>627</v>
      </c>
      <c r="D1116" t="str">
        <f>HYPERLINK("http://service.sap.com/sap/support/notes/1737617","1737617")</f>
        <v>1737617</v>
      </c>
      <c r="E1116">
        <v>2</v>
      </c>
      <c r="F1116" t="s">
        <v>1494</v>
      </c>
    </row>
    <row r="1117" spans="1:6" x14ac:dyDescent="0.25">
      <c r="A1117" t="s">
        <v>716</v>
      </c>
      <c r="B1117" t="s">
        <v>626</v>
      </c>
      <c r="C1117" t="s">
        <v>627</v>
      </c>
      <c r="D1117" t="str">
        <f>HYPERLINK("http://service.sap.com/sap/support/notes/1742367","1742367")</f>
        <v>1742367</v>
      </c>
      <c r="E1117">
        <v>2</v>
      </c>
      <c r="F1117" t="s">
        <v>1495</v>
      </c>
    </row>
    <row r="1118" spans="1:6" x14ac:dyDescent="0.25">
      <c r="A1118" t="s">
        <v>716</v>
      </c>
      <c r="B1118" t="s">
        <v>626</v>
      </c>
      <c r="C1118" t="s">
        <v>627</v>
      </c>
      <c r="D1118" t="str">
        <f>HYPERLINK("http://service.sap.com/sap/support/notes/1751313","1751313")</f>
        <v>1751313</v>
      </c>
      <c r="E1118">
        <v>1</v>
      </c>
      <c r="F1118" t="s">
        <v>1496</v>
      </c>
    </row>
    <row r="1119" spans="1:6" x14ac:dyDescent="0.25">
      <c r="A1119" t="s">
        <v>716</v>
      </c>
      <c r="B1119" t="s">
        <v>626</v>
      </c>
      <c r="C1119" t="s">
        <v>627</v>
      </c>
      <c r="D1119" t="str">
        <f>HYPERLINK("http://service.sap.com/sap/support/notes/1752449","1752449")</f>
        <v>1752449</v>
      </c>
      <c r="E1119">
        <v>2</v>
      </c>
      <c r="F1119" t="s">
        <v>1497</v>
      </c>
    </row>
    <row r="1120" spans="1:6" x14ac:dyDescent="0.25">
      <c r="A1120" t="s">
        <v>716</v>
      </c>
      <c r="B1120" t="s">
        <v>626</v>
      </c>
      <c r="C1120" t="s">
        <v>627</v>
      </c>
      <c r="D1120" t="str">
        <f>HYPERLINK("http://service.sap.com/sap/support/notes/1757755","1757755")</f>
        <v>1757755</v>
      </c>
      <c r="E1120">
        <v>2</v>
      </c>
      <c r="F1120" t="s">
        <v>1498</v>
      </c>
    </row>
    <row r="1121" spans="1:6" x14ac:dyDescent="0.25">
      <c r="A1121" t="s">
        <v>716</v>
      </c>
      <c r="B1121" t="s">
        <v>626</v>
      </c>
      <c r="C1121" t="s">
        <v>627</v>
      </c>
      <c r="D1121" t="str">
        <f>HYPERLINK("http://service.sap.com/sap/support/notes/1761251","1761251")</f>
        <v>1761251</v>
      </c>
      <c r="E1121">
        <v>3</v>
      </c>
      <c r="F1121" t="s">
        <v>1499</v>
      </c>
    </row>
    <row r="1122" spans="1:6" x14ac:dyDescent="0.25">
      <c r="A1122" t="s">
        <v>716</v>
      </c>
      <c r="B1122" t="s">
        <v>626</v>
      </c>
      <c r="C1122" t="s">
        <v>627</v>
      </c>
      <c r="D1122" t="str">
        <f>HYPERLINK("http://service.sap.com/sap/support/notes/1765299","1765299")</f>
        <v>1765299</v>
      </c>
      <c r="E1122">
        <v>3</v>
      </c>
      <c r="F1122" t="s">
        <v>1500</v>
      </c>
    </row>
    <row r="1123" spans="1:6" x14ac:dyDescent="0.25">
      <c r="A1123" t="s">
        <v>716</v>
      </c>
      <c r="B1123" t="s">
        <v>626</v>
      </c>
      <c r="C1123" t="s">
        <v>627</v>
      </c>
      <c r="D1123" t="str">
        <f>HYPERLINK("http://service.sap.com/sap/support/notes/1765423","1765423")</f>
        <v>1765423</v>
      </c>
      <c r="E1123">
        <v>2</v>
      </c>
      <c r="F1123" t="s">
        <v>1501</v>
      </c>
    </row>
    <row r="1124" spans="1:6" x14ac:dyDescent="0.25">
      <c r="A1124" t="s">
        <v>716</v>
      </c>
      <c r="B1124" t="s">
        <v>626</v>
      </c>
      <c r="C1124" t="s">
        <v>627</v>
      </c>
      <c r="D1124" t="str">
        <f>HYPERLINK("http://service.sap.com/sap/support/notes/1768999","1768999")</f>
        <v>1768999</v>
      </c>
      <c r="E1124">
        <v>1</v>
      </c>
      <c r="F1124" t="s">
        <v>1502</v>
      </c>
    </row>
    <row r="1125" spans="1:6" x14ac:dyDescent="0.25">
      <c r="A1125" t="s">
        <v>716</v>
      </c>
      <c r="B1125" t="s">
        <v>626</v>
      </c>
      <c r="C1125" t="s">
        <v>627</v>
      </c>
      <c r="D1125" t="str">
        <f>HYPERLINK("http://service.sap.com/sap/support/notes/1787576","1787576")</f>
        <v>1787576</v>
      </c>
      <c r="E1125">
        <v>2</v>
      </c>
      <c r="F1125" t="s">
        <v>1503</v>
      </c>
    </row>
    <row r="1126" spans="1:6" x14ac:dyDescent="0.25">
      <c r="A1126" t="s">
        <v>716</v>
      </c>
      <c r="B1126" t="s">
        <v>628</v>
      </c>
      <c r="C1126" t="s">
        <v>629</v>
      </c>
      <c r="D1126" t="str">
        <f>HYPERLINK("http://service.sap.com/sap/support/notes/1715252","1715252")</f>
        <v>1715252</v>
      </c>
      <c r="E1126">
        <v>2</v>
      </c>
      <c r="F1126" t="s">
        <v>1504</v>
      </c>
    </row>
    <row r="1127" spans="1:6" x14ac:dyDescent="0.25">
      <c r="A1127" t="s">
        <v>716</v>
      </c>
      <c r="B1127" t="s">
        <v>628</v>
      </c>
      <c r="C1127" t="s">
        <v>629</v>
      </c>
      <c r="D1127" t="str">
        <f>HYPERLINK("http://service.sap.com/sap/support/notes/1719993","1719993")</f>
        <v>1719993</v>
      </c>
      <c r="E1127">
        <v>2</v>
      </c>
      <c r="F1127" t="s">
        <v>1505</v>
      </c>
    </row>
    <row r="1128" spans="1:6" x14ac:dyDescent="0.25">
      <c r="A1128" t="s">
        <v>716</v>
      </c>
      <c r="B1128" t="s">
        <v>628</v>
      </c>
      <c r="C1128" t="s">
        <v>629</v>
      </c>
      <c r="D1128" t="str">
        <f>HYPERLINK("http://service.sap.com/sap/support/notes/1728687","1728687")</f>
        <v>1728687</v>
      </c>
      <c r="E1128">
        <v>1</v>
      </c>
      <c r="F1128" t="s">
        <v>1506</v>
      </c>
    </row>
    <row r="1129" spans="1:6" x14ac:dyDescent="0.25">
      <c r="A1129" t="s">
        <v>716</v>
      </c>
      <c r="B1129" t="s">
        <v>628</v>
      </c>
      <c r="C1129" t="s">
        <v>629</v>
      </c>
      <c r="D1129" t="str">
        <f>HYPERLINK("http://service.sap.com/sap/support/notes/1775998","1775998")</f>
        <v>1775998</v>
      </c>
      <c r="E1129">
        <v>2</v>
      </c>
      <c r="F1129" t="s">
        <v>1507</v>
      </c>
    </row>
    <row r="1130" spans="1:6" x14ac:dyDescent="0.25">
      <c r="A1130" t="s">
        <v>716</v>
      </c>
      <c r="B1130" t="s">
        <v>464</v>
      </c>
      <c r="C1130" t="s">
        <v>465</v>
      </c>
      <c r="D1130" t="str">
        <f>HYPERLINK("http://service.sap.com/sap/support/notes/1481819","1481819")</f>
        <v>1481819</v>
      </c>
      <c r="E1130">
        <v>2</v>
      </c>
      <c r="F1130" t="s">
        <v>1508</v>
      </c>
    </row>
    <row r="1131" spans="1:6" x14ac:dyDescent="0.25">
      <c r="A1131" t="s">
        <v>716</v>
      </c>
      <c r="B1131" t="s">
        <v>464</v>
      </c>
      <c r="C1131" t="s">
        <v>465</v>
      </c>
      <c r="D1131" t="str">
        <f>HYPERLINK("http://service.sap.com/sap/support/notes/1618519","1618519")</f>
        <v>1618519</v>
      </c>
      <c r="E1131">
        <v>2</v>
      </c>
      <c r="F1131" t="s">
        <v>1509</v>
      </c>
    </row>
    <row r="1132" spans="1:6" x14ac:dyDescent="0.25">
      <c r="A1132" t="s">
        <v>716</v>
      </c>
      <c r="B1132" t="s">
        <v>464</v>
      </c>
      <c r="C1132" t="s">
        <v>465</v>
      </c>
      <c r="D1132" t="str">
        <f>HYPERLINK("http://service.sap.com/sap/support/notes/1774935","1774935")</f>
        <v>1774935</v>
      </c>
      <c r="E1132">
        <v>2</v>
      </c>
      <c r="F1132" t="s">
        <v>1510</v>
      </c>
    </row>
    <row r="1133" spans="1:6" x14ac:dyDescent="0.25">
      <c r="A1133" t="s">
        <v>716</v>
      </c>
      <c r="B1133" t="s">
        <v>464</v>
      </c>
      <c r="C1133" t="s">
        <v>465</v>
      </c>
      <c r="D1133" t="str">
        <f>HYPERLINK("http://service.sap.com/sap/support/notes/1777204","1777204")</f>
        <v>1777204</v>
      </c>
      <c r="E1133">
        <v>2</v>
      </c>
      <c r="F1133" t="s">
        <v>1511</v>
      </c>
    </row>
    <row r="1134" spans="1:6" x14ac:dyDescent="0.25">
      <c r="A1134" t="s">
        <v>716</v>
      </c>
      <c r="B1134" t="s">
        <v>464</v>
      </c>
      <c r="C1134" t="s">
        <v>465</v>
      </c>
      <c r="D1134" t="str">
        <f>HYPERLINK("http://service.sap.com/sap/support/notes/1787630","1787630")</f>
        <v>1787630</v>
      </c>
      <c r="E1134">
        <v>1</v>
      </c>
      <c r="F1134" t="s">
        <v>1512</v>
      </c>
    </row>
    <row r="1135" spans="1:6" x14ac:dyDescent="0.25">
      <c r="A1135" t="s">
        <v>716</v>
      </c>
      <c r="B1135" t="s">
        <v>464</v>
      </c>
      <c r="C1135" t="s">
        <v>465</v>
      </c>
      <c r="D1135" t="str">
        <f>HYPERLINK("http://service.sap.com/sap/support/notes/1787974","1787974")</f>
        <v>1787974</v>
      </c>
      <c r="E1135">
        <v>1</v>
      </c>
      <c r="F1135" t="s">
        <v>1513</v>
      </c>
    </row>
    <row r="1136" spans="1:6" x14ac:dyDescent="0.25">
      <c r="A1136" t="s">
        <v>716</v>
      </c>
      <c r="B1136" t="s">
        <v>464</v>
      </c>
      <c r="C1136" t="s">
        <v>465</v>
      </c>
      <c r="D1136" t="str">
        <f>HYPERLINK("http://service.sap.com/sap/support/notes/1790235","1790235")</f>
        <v>1790235</v>
      </c>
      <c r="E1136">
        <v>2</v>
      </c>
      <c r="F1136" t="s">
        <v>1514</v>
      </c>
    </row>
    <row r="1137" spans="1:6" x14ac:dyDescent="0.25">
      <c r="A1137" t="s">
        <v>716</v>
      </c>
      <c r="B1137" t="s">
        <v>670</v>
      </c>
      <c r="C1137" t="s">
        <v>671</v>
      </c>
    </row>
    <row r="1138" spans="1:6" x14ac:dyDescent="0.25">
      <c r="A1138" t="s">
        <v>716</v>
      </c>
      <c r="B1138" t="s">
        <v>675</v>
      </c>
      <c r="C1138" t="s">
        <v>676</v>
      </c>
    </row>
    <row r="1139" spans="1:6" x14ac:dyDescent="0.25">
      <c r="A1139" t="s">
        <v>716</v>
      </c>
      <c r="B1139" t="s">
        <v>677</v>
      </c>
      <c r="C1139" t="s">
        <v>678</v>
      </c>
    </row>
    <row r="1140" spans="1:6" x14ac:dyDescent="0.25">
      <c r="A1140" t="s">
        <v>716</v>
      </c>
      <c r="B1140" t="s">
        <v>679</v>
      </c>
      <c r="C1140" t="s">
        <v>1515</v>
      </c>
      <c r="D1140" t="str">
        <f>HYPERLINK("http://service.sap.com/sap/support/notes/1790154","1790154")</f>
        <v>1790154</v>
      </c>
      <c r="E1140">
        <v>1</v>
      </c>
      <c r="F1140" t="s">
        <v>1516</v>
      </c>
    </row>
    <row r="1141" spans="1:6" x14ac:dyDescent="0.25">
      <c r="A1141" t="s">
        <v>1517</v>
      </c>
      <c r="B1141" t="s">
        <v>24</v>
      </c>
      <c r="C1141" t="s">
        <v>10</v>
      </c>
    </row>
    <row r="1142" spans="1:6" x14ac:dyDescent="0.25">
      <c r="A1142" t="s">
        <v>1517</v>
      </c>
      <c r="B1142" t="s">
        <v>25</v>
      </c>
      <c r="C1142" t="s">
        <v>26</v>
      </c>
    </row>
    <row r="1143" spans="1:6" x14ac:dyDescent="0.25">
      <c r="A1143" t="s">
        <v>1517</v>
      </c>
      <c r="B1143" t="s">
        <v>63</v>
      </c>
      <c r="C1143" t="s">
        <v>64</v>
      </c>
      <c r="D1143" t="str">
        <f>HYPERLINK("http://service.sap.com/sap/support/notes/1744322","1744322")</f>
        <v>1744322</v>
      </c>
      <c r="E1143">
        <v>1</v>
      </c>
      <c r="F1143" t="s">
        <v>66</v>
      </c>
    </row>
    <row r="1144" spans="1:6" x14ac:dyDescent="0.25">
      <c r="A1144" t="s">
        <v>1517</v>
      </c>
      <c r="B1144" t="s">
        <v>531</v>
      </c>
      <c r="C1144" t="s">
        <v>532</v>
      </c>
      <c r="D1144" t="str">
        <f>HYPERLINK("http://service.sap.com/sap/support/notes/1779519","1779519")</f>
        <v>1779519</v>
      </c>
      <c r="E1144">
        <v>2</v>
      </c>
      <c r="F1144" t="s">
        <v>893</v>
      </c>
    </row>
    <row r="1145" spans="1:6" x14ac:dyDescent="0.25">
      <c r="A1145" t="s">
        <v>1517</v>
      </c>
      <c r="B1145" t="s">
        <v>95</v>
      </c>
      <c r="C1145" t="s">
        <v>96</v>
      </c>
    </row>
    <row r="1146" spans="1:6" x14ac:dyDescent="0.25">
      <c r="A1146" t="s">
        <v>1517</v>
      </c>
      <c r="B1146" t="s">
        <v>97</v>
      </c>
      <c r="C1146" t="s">
        <v>98</v>
      </c>
    </row>
    <row r="1147" spans="1:6" x14ac:dyDescent="0.25">
      <c r="A1147" t="s">
        <v>1517</v>
      </c>
      <c r="B1147" t="s">
        <v>570</v>
      </c>
      <c r="C1147" t="s">
        <v>128</v>
      </c>
      <c r="D1147" t="str">
        <f>HYPERLINK("http://service.sap.com/sap/support/notes/1795594","1795594")</f>
        <v>1795594</v>
      </c>
      <c r="E1147">
        <v>2</v>
      </c>
      <c r="F1147" t="s">
        <v>1518</v>
      </c>
    </row>
    <row r="1148" spans="1:6" x14ac:dyDescent="0.25">
      <c r="A1148" t="s">
        <v>1517</v>
      </c>
      <c r="B1148" t="s">
        <v>150</v>
      </c>
      <c r="C1148" t="s">
        <v>151</v>
      </c>
      <c r="D1148" t="str">
        <f>HYPERLINK("http://service.sap.com/sap/support/notes/1789927","1789927")</f>
        <v>1789927</v>
      </c>
      <c r="E1148">
        <v>2</v>
      </c>
      <c r="F1148" t="s">
        <v>1519</v>
      </c>
    </row>
    <row r="1149" spans="1:6" x14ac:dyDescent="0.25">
      <c r="A1149" t="s">
        <v>1517</v>
      </c>
      <c r="B1149" t="s">
        <v>150</v>
      </c>
      <c r="C1149" t="s">
        <v>151</v>
      </c>
      <c r="D1149" t="str">
        <f>HYPERLINK("http://service.sap.com/sap/support/notes/1790554","1790554")</f>
        <v>1790554</v>
      </c>
      <c r="E1149">
        <v>3</v>
      </c>
      <c r="F1149" t="s">
        <v>1520</v>
      </c>
    </row>
    <row r="1150" spans="1:6" x14ac:dyDescent="0.25">
      <c r="A1150" t="s">
        <v>1517</v>
      </c>
      <c r="B1150" t="s">
        <v>175</v>
      </c>
      <c r="C1150" t="s">
        <v>176</v>
      </c>
    </row>
    <row r="1151" spans="1:6" x14ac:dyDescent="0.25">
      <c r="A1151" t="s">
        <v>1517</v>
      </c>
      <c r="B1151" t="s">
        <v>177</v>
      </c>
      <c r="C1151" t="s">
        <v>178</v>
      </c>
      <c r="D1151" t="str">
        <f>HYPERLINK("http://service.sap.com/sap/support/notes/1791191","1791191")</f>
        <v>1791191</v>
      </c>
      <c r="E1151">
        <v>2</v>
      </c>
      <c r="F1151" t="s">
        <v>1521</v>
      </c>
    </row>
    <row r="1152" spans="1:6" x14ac:dyDescent="0.25">
      <c r="A1152" t="s">
        <v>1517</v>
      </c>
      <c r="B1152" t="s">
        <v>183</v>
      </c>
      <c r="C1152" t="s">
        <v>184</v>
      </c>
    </row>
    <row r="1153" spans="1:6" x14ac:dyDescent="0.25">
      <c r="A1153" t="s">
        <v>1517</v>
      </c>
      <c r="B1153" t="s">
        <v>1522</v>
      </c>
      <c r="C1153" t="s">
        <v>1523</v>
      </c>
      <c r="D1153" t="str">
        <f>HYPERLINK("http://service.sap.com/sap/support/notes/1796213","1796213")</f>
        <v>1796213</v>
      </c>
      <c r="E1153">
        <v>2</v>
      </c>
      <c r="F1153" t="s">
        <v>1524</v>
      </c>
    </row>
    <row r="1154" spans="1:6" x14ac:dyDescent="0.25">
      <c r="A1154" t="s">
        <v>1517</v>
      </c>
      <c r="B1154" t="s">
        <v>185</v>
      </c>
      <c r="C1154" t="s">
        <v>186</v>
      </c>
      <c r="D1154" t="str">
        <f>HYPERLINK("http://service.sap.com/sap/support/notes/1794579","1794579")</f>
        <v>1794579</v>
      </c>
      <c r="E1154">
        <v>1</v>
      </c>
      <c r="F1154" t="s">
        <v>1525</v>
      </c>
    </row>
    <row r="1155" spans="1:6" x14ac:dyDescent="0.25">
      <c r="A1155" t="s">
        <v>1517</v>
      </c>
      <c r="B1155" t="s">
        <v>195</v>
      </c>
      <c r="C1155" t="s">
        <v>196</v>
      </c>
    </row>
    <row r="1156" spans="1:6" x14ac:dyDescent="0.25">
      <c r="A1156" t="s">
        <v>1517</v>
      </c>
      <c r="B1156" t="s">
        <v>197</v>
      </c>
      <c r="C1156" t="s">
        <v>198</v>
      </c>
      <c r="D1156" t="str">
        <f>HYPERLINK("http://service.sap.com/sap/support/notes/1796889","1796889")</f>
        <v>1796889</v>
      </c>
      <c r="E1156">
        <v>3</v>
      </c>
      <c r="F1156" t="s">
        <v>1526</v>
      </c>
    </row>
    <row r="1157" spans="1:6" x14ac:dyDescent="0.25">
      <c r="A1157" t="s">
        <v>1517</v>
      </c>
      <c r="B1157" t="s">
        <v>666</v>
      </c>
      <c r="C1157" t="s">
        <v>667</v>
      </c>
      <c r="D1157" t="str">
        <f>HYPERLINK("http://service.sap.com/sap/support/notes/1770844","1770844")</f>
        <v>1770844</v>
      </c>
      <c r="E1157">
        <v>3</v>
      </c>
      <c r="F1157" t="s">
        <v>1527</v>
      </c>
    </row>
    <row r="1158" spans="1:6" x14ac:dyDescent="0.25">
      <c r="A1158" t="s">
        <v>1517</v>
      </c>
      <c r="B1158" t="s">
        <v>666</v>
      </c>
      <c r="C1158" t="s">
        <v>667</v>
      </c>
      <c r="D1158" t="str">
        <f>HYPERLINK("http://service.sap.com/sap/support/notes/1784995","1784995")</f>
        <v>1784995</v>
      </c>
      <c r="E1158">
        <v>2</v>
      </c>
      <c r="F1158" t="s">
        <v>1528</v>
      </c>
    </row>
    <row r="1159" spans="1:6" x14ac:dyDescent="0.25">
      <c r="A1159" t="s">
        <v>1517</v>
      </c>
      <c r="B1159" t="s">
        <v>204</v>
      </c>
      <c r="C1159" t="s">
        <v>205</v>
      </c>
      <c r="D1159" t="str">
        <f>HYPERLINK("http://service.sap.com/sap/support/notes/1791895","1791895")</f>
        <v>1791895</v>
      </c>
      <c r="E1159">
        <v>1</v>
      </c>
      <c r="F1159" t="s">
        <v>1529</v>
      </c>
    </row>
    <row r="1160" spans="1:6" x14ac:dyDescent="0.25">
      <c r="A1160" t="s">
        <v>1517</v>
      </c>
      <c r="B1160" t="s">
        <v>204</v>
      </c>
      <c r="C1160" t="s">
        <v>205</v>
      </c>
      <c r="D1160" t="str">
        <f>HYPERLINK("http://service.sap.com/sap/support/notes/1793147","1793147")</f>
        <v>1793147</v>
      </c>
      <c r="E1160">
        <v>2</v>
      </c>
      <c r="F1160" t="s">
        <v>1530</v>
      </c>
    </row>
    <row r="1161" spans="1:6" x14ac:dyDescent="0.25">
      <c r="A1161" t="s">
        <v>1517</v>
      </c>
      <c r="B1161" t="s">
        <v>211</v>
      </c>
      <c r="C1161" t="s">
        <v>128</v>
      </c>
      <c r="D1161" t="str">
        <f>HYPERLINK("http://service.sap.com/sap/support/notes/1766115","1766115")</f>
        <v>1766115</v>
      </c>
      <c r="E1161">
        <v>1</v>
      </c>
      <c r="F1161" t="s">
        <v>1132</v>
      </c>
    </row>
    <row r="1162" spans="1:6" x14ac:dyDescent="0.25">
      <c r="A1162" t="s">
        <v>1517</v>
      </c>
      <c r="B1162" t="s">
        <v>211</v>
      </c>
      <c r="C1162" t="s">
        <v>128</v>
      </c>
      <c r="D1162" t="str">
        <f>HYPERLINK("http://service.sap.com/sap/support/notes/1793289","1793289")</f>
        <v>1793289</v>
      </c>
      <c r="E1162">
        <v>1</v>
      </c>
      <c r="F1162" t="s">
        <v>1142</v>
      </c>
    </row>
    <row r="1163" spans="1:6" x14ac:dyDescent="0.25">
      <c r="A1163" t="s">
        <v>1517</v>
      </c>
      <c r="B1163" t="s">
        <v>211</v>
      </c>
      <c r="C1163" t="s">
        <v>128</v>
      </c>
      <c r="D1163" t="str">
        <f>HYPERLINK("http://service.sap.com/sap/support/notes/1794241","1794241")</f>
        <v>1794241</v>
      </c>
      <c r="E1163">
        <v>2</v>
      </c>
      <c r="F1163" t="s">
        <v>1531</v>
      </c>
    </row>
    <row r="1164" spans="1:6" x14ac:dyDescent="0.25">
      <c r="A1164" t="s">
        <v>1517</v>
      </c>
      <c r="B1164" t="s">
        <v>221</v>
      </c>
      <c r="C1164" t="s">
        <v>222</v>
      </c>
      <c r="D1164" t="str">
        <f>HYPERLINK("http://service.sap.com/sap/support/notes/1759277","1759277")</f>
        <v>1759277</v>
      </c>
      <c r="E1164">
        <v>2</v>
      </c>
      <c r="F1164" t="s">
        <v>1149</v>
      </c>
    </row>
    <row r="1165" spans="1:6" x14ac:dyDescent="0.25">
      <c r="A1165" t="s">
        <v>1517</v>
      </c>
      <c r="B1165" t="s">
        <v>224</v>
      </c>
      <c r="C1165" t="s">
        <v>156</v>
      </c>
    </row>
    <row r="1166" spans="1:6" x14ac:dyDescent="0.25">
      <c r="A1166" t="s">
        <v>1517</v>
      </c>
      <c r="B1166" t="s">
        <v>225</v>
      </c>
      <c r="C1166" t="s">
        <v>226</v>
      </c>
      <c r="D1166" t="str">
        <f>HYPERLINK("http://service.sap.com/sap/support/notes/1791927","1791927")</f>
        <v>1791927</v>
      </c>
      <c r="E1166">
        <v>1</v>
      </c>
      <c r="F1166" t="s">
        <v>1532</v>
      </c>
    </row>
    <row r="1167" spans="1:6" x14ac:dyDescent="0.25">
      <c r="A1167" t="s">
        <v>1517</v>
      </c>
      <c r="B1167" t="s">
        <v>225</v>
      </c>
      <c r="C1167" t="s">
        <v>226</v>
      </c>
      <c r="D1167" t="str">
        <f>HYPERLINK("http://service.sap.com/sap/support/notes/1792419","1792419")</f>
        <v>1792419</v>
      </c>
      <c r="E1167">
        <v>1</v>
      </c>
      <c r="F1167" t="s">
        <v>1533</v>
      </c>
    </row>
    <row r="1168" spans="1:6" x14ac:dyDescent="0.25">
      <c r="A1168" t="s">
        <v>1517</v>
      </c>
      <c r="B1168" t="s">
        <v>260</v>
      </c>
      <c r="C1168" t="s">
        <v>37</v>
      </c>
      <c r="D1168" t="str">
        <f>HYPERLINK("http://service.sap.com/sap/support/notes/1783992","1783992")</f>
        <v>1783992</v>
      </c>
      <c r="E1168">
        <v>10</v>
      </c>
      <c r="F1168" t="s">
        <v>1534</v>
      </c>
    </row>
    <row r="1169" spans="1:6" x14ac:dyDescent="0.25">
      <c r="A1169" t="s">
        <v>1517</v>
      </c>
      <c r="B1169" t="s">
        <v>286</v>
      </c>
      <c r="C1169" t="s">
        <v>287</v>
      </c>
      <c r="D1169" t="str">
        <f>HYPERLINK("http://service.sap.com/sap/support/notes/1755561","1755561")</f>
        <v>1755561</v>
      </c>
      <c r="E1169">
        <v>1</v>
      </c>
      <c r="F1169" t="s">
        <v>1535</v>
      </c>
    </row>
    <row r="1170" spans="1:6" x14ac:dyDescent="0.25">
      <c r="A1170" t="s">
        <v>1517</v>
      </c>
      <c r="B1170" t="s">
        <v>286</v>
      </c>
      <c r="C1170" t="s">
        <v>287</v>
      </c>
      <c r="D1170" t="str">
        <f>HYPERLINK("http://service.sap.com/sap/support/notes/1795893","1795893")</f>
        <v>1795893</v>
      </c>
      <c r="E1170">
        <v>1</v>
      </c>
      <c r="F1170" t="s">
        <v>1536</v>
      </c>
    </row>
    <row r="1171" spans="1:6" x14ac:dyDescent="0.25">
      <c r="A1171" t="s">
        <v>1517</v>
      </c>
      <c r="B1171" t="s">
        <v>286</v>
      </c>
      <c r="C1171" t="s">
        <v>287</v>
      </c>
      <c r="D1171" t="str">
        <f>HYPERLINK("http://service.sap.com/sap/support/notes/1796121","1796121")</f>
        <v>1796121</v>
      </c>
      <c r="E1171">
        <v>1</v>
      </c>
      <c r="F1171" t="s">
        <v>1537</v>
      </c>
    </row>
    <row r="1172" spans="1:6" x14ac:dyDescent="0.25">
      <c r="A1172" t="s">
        <v>1517</v>
      </c>
      <c r="B1172" t="s">
        <v>313</v>
      </c>
      <c r="C1172" t="s">
        <v>314</v>
      </c>
      <c r="D1172" t="str">
        <f>HYPERLINK("http://service.sap.com/sap/support/notes/1696792","1696792")</f>
        <v>1696792</v>
      </c>
      <c r="E1172">
        <v>2</v>
      </c>
      <c r="F1172" t="s">
        <v>1538</v>
      </c>
    </row>
    <row r="1173" spans="1:6" x14ac:dyDescent="0.25">
      <c r="A1173" t="s">
        <v>1517</v>
      </c>
      <c r="B1173" t="s">
        <v>327</v>
      </c>
      <c r="C1173" t="s">
        <v>328</v>
      </c>
      <c r="D1173" t="str">
        <f>HYPERLINK("http://service.sap.com/sap/support/notes/1768943","1768943")</f>
        <v>1768943</v>
      </c>
      <c r="E1173">
        <v>3</v>
      </c>
      <c r="F1173" t="s">
        <v>1294</v>
      </c>
    </row>
    <row r="1174" spans="1:6" x14ac:dyDescent="0.25">
      <c r="A1174" t="s">
        <v>1517</v>
      </c>
      <c r="B1174" t="s">
        <v>340</v>
      </c>
      <c r="C1174" t="s">
        <v>52</v>
      </c>
      <c r="D1174" t="str">
        <f>HYPERLINK("http://service.sap.com/sap/support/notes/1781741","1781741")</f>
        <v>1781741</v>
      </c>
      <c r="E1174">
        <v>2</v>
      </c>
      <c r="F1174" t="s">
        <v>1539</v>
      </c>
    </row>
    <row r="1175" spans="1:6" x14ac:dyDescent="0.25">
      <c r="A1175" t="s">
        <v>1517</v>
      </c>
      <c r="B1175" t="s">
        <v>340</v>
      </c>
      <c r="C1175" t="s">
        <v>52</v>
      </c>
      <c r="D1175" t="str">
        <f>HYPERLINK("http://service.sap.com/sap/support/notes/1787078","1787078")</f>
        <v>1787078</v>
      </c>
      <c r="E1175">
        <v>2</v>
      </c>
      <c r="F1175" t="s">
        <v>1311</v>
      </c>
    </row>
    <row r="1176" spans="1:6" x14ac:dyDescent="0.25">
      <c r="A1176" t="s">
        <v>1517</v>
      </c>
      <c r="B1176" t="s">
        <v>340</v>
      </c>
      <c r="C1176" t="s">
        <v>52</v>
      </c>
      <c r="D1176" t="str">
        <f>HYPERLINK("http://service.sap.com/sap/support/notes/1792364","1792364")</f>
        <v>1792364</v>
      </c>
      <c r="E1176">
        <v>2</v>
      </c>
      <c r="F1176" t="s">
        <v>1540</v>
      </c>
    </row>
    <row r="1177" spans="1:6" x14ac:dyDescent="0.25">
      <c r="A1177" t="s">
        <v>1517</v>
      </c>
      <c r="B1177" t="s">
        <v>340</v>
      </c>
      <c r="C1177" t="s">
        <v>52</v>
      </c>
      <c r="D1177" t="str">
        <f>HYPERLINK("http://service.sap.com/sap/support/notes/1795576","1795576")</f>
        <v>1795576</v>
      </c>
      <c r="E1177">
        <v>4</v>
      </c>
      <c r="F1177" t="s">
        <v>1541</v>
      </c>
    </row>
    <row r="1178" spans="1:6" x14ac:dyDescent="0.25">
      <c r="A1178" t="s">
        <v>1517</v>
      </c>
      <c r="B1178" t="s">
        <v>340</v>
      </c>
      <c r="C1178" t="s">
        <v>52</v>
      </c>
      <c r="D1178" t="str">
        <f>HYPERLINK("http://service.sap.com/sap/support/notes/1796686","1796686")</f>
        <v>1796686</v>
      </c>
      <c r="E1178">
        <v>2</v>
      </c>
      <c r="F1178" t="s">
        <v>1542</v>
      </c>
    </row>
    <row r="1179" spans="1:6" x14ac:dyDescent="0.25">
      <c r="A1179" t="s">
        <v>1517</v>
      </c>
      <c r="B1179" t="s">
        <v>350</v>
      </c>
      <c r="C1179" t="s">
        <v>351</v>
      </c>
      <c r="D1179" t="str">
        <f>HYPERLINK("http://service.sap.com/sap/support/notes/1784311","1784311")</f>
        <v>1784311</v>
      </c>
      <c r="E1179">
        <v>1</v>
      </c>
      <c r="F1179" t="s">
        <v>1543</v>
      </c>
    </row>
    <row r="1180" spans="1:6" x14ac:dyDescent="0.25">
      <c r="A1180" t="s">
        <v>1517</v>
      </c>
      <c r="B1180" t="s">
        <v>356</v>
      </c>
      <c r="C1180" t="s">
        <v>55</v>
      </c>
      <c r="D1180" t="str">
        <f>HYPERLINK("http://service.sap.com/sap/support/notes/1785507","1785507")</f>
        <v>1785507</v>
      </c>
      <c r="E1180">
        <v>1</v>
      </c>
      <c r="F1180" t="s">
        <v>1544</v>
      </c>
    </row>
    <row r="1181" spans="1:6" x14ac:dyDescent="0.25">
      <c r="A1181" t="s">
        <v>1517</v>
      </c>
      <c r="B1181" t="s">
        <v>356</v>
      </c>
      <c r="C1181" t="s">
        <v>55</v>
      </c>
      <c r="D1181" t="str">
        <f>HYPERLINK("http://service.sap.com/sap/support/notes/1785613","1785613")</f>
        <v>1785613</v>
      </c>
      <c r="E1181">
        <v>1</v>
      </c>
      <c r="F1181" t="s">
        <v>1331</v>
      </c>
    </row>
    <row r="1182" spans="1:6" x14ac:dyDescent="0.25">
      <c r="A1182" t="s">
        <v>1517</v>
      </c>
      <c r="B1182" t="s">
        <v>356</v>
      </c>
      <c r="C1182" t="s">
        <v>55</v>
      </c>
      <c r="D1182" t="str">
        <f>HYPERLINK("http://service.sap.com/sap/support/notes/1790151","1790151")</f>
        <v>1790151</v>
      </c>
      <c r="E1182">
        <v>1</v>
      </c>
      <c r="F1182" t="s">
        <v>1545</v>
      </c>
    </row>
    <row r="1183" spans="1:6" x14ac:dyDescent="0.25">
      <c r="A1183" t="s">
        <v>1517</v>
      </c>
      <c r="B1183" t="s">
        <v>356</v>
      </c>
      <c r="C1183" t="s">
        <v>55</v>
      </c>
      <c r="D1183" t="str">
        <f>HYPERLINK("http://service.sap.com/sap/support/notes/1792348","1792348")</f>
        <v>1792348</v>
      </c>
      <c r="E1183">
        <v>1</v>
      </c>
      <c r="F1183" t="s">
        <v>1546</v>
      </c>
    </row>
    <row r="1184" spans="1:6" x14ac:dyDescent="0.25">
      <c r="A1184" t="s">
        <v>1517</v>
      </c>
      <c r="B1184" t="s">
        <v>356</v>
      </c>
      <c r="C1184" t="s">
        <v>55</v>
      </c>
      <c r="D1184" t="str">
        <f>HYPERLINK("http://service.sap.com/sap/support/notes/1792466","1792466")</f>
        <v>1792466</v>
      </c>
      <c r="E1184">
        <v>1</v>
      </c>
      <c r="F1184" t="s">
        <v>1547</v>
      </c>
    </row>
    <row r="1185" spans="1:6" x14ac:dyDescent="0.25">
      <c r="A1185" t="s">
        <v>1517</v>
      </c>
      <c r="B1185" t="s">
        <v>356</v>
      </c>
      <c r="C1185" t="s">
        <v>55</v>
      </c>
      <c r="D1185" t="str">
        <f>HYPERLINK("http://service.sap.com/sap/support/notes/1793998","1793998")</f>
        <v>1793998</v>
      </c>
      <c r="F1185" t="s">
        <v>1548</v>
      </c>
    </row>
    <row r="1186" spans="1:6" x14ac:dyDescent="0.25">
      <c r="A1186" t="s">
        <v>1517</v>
      </c>
      <c r="B1186" t="s">
        <v>356</v>
      </c>
      <c r="C1186" t="s">
        <v>55</v>
      </c>
      <c r="D1186" t="str">
        <f>HYPERLINK("http://service.sap.com/sap/support/notes/1794911","1794911")</f>
        <v>1794911</v>
      </c>
      <c r="F1186" t="s">
        <v>1549</v>
      </c>
    </row>
    <row r="1187" spans="1:6" x14ac:dyDescent="0.25">
      <c r="A1187" t="s">
        <v>1517</v>
      </c>
      <c r="B1187" t="s">
        <v>356</v>
      </c>
      <c r="C1187" t="s">
        <v>55</v>
      </c>
      <c r="D1187" t="str">
        <f>HYPERLINK("http://service.sap.com/sap/support/notes/1795102","1795102")</f>
        <v>1795102</v>
      </c>
      <c r="E1187">
        <v>1</v>
      </c>
      <c r="F1187" t="s">
        <v>1550</v>
      </c>
    </row>
    <row r="1188" spans="1:6" x14ac:dyDescent="0.25">
      <c r="A1188" t="s">
        <v>1517</v>
      </c>
      <c r="B1188" t="s">
        <v>356</v>
      </c>
      <c r="C1188" t="s">
        <v>55</v>
      </c>
      <c r="D1188" t="str">
        <f>HYPERLINK("http://service.sap.com/sap/support/notes/1795586","1795586")</f>
        <v>1795586</v>
      </c>
      <c r="E1188">
        <v>2</v>
      </c>
      <c r="F1188" t="s">
        <v>1551</v>
      </c>
    </row>
    <row r="1189" spans="1:6" x14ac:dyDescent="0.25">
      <c r="A1189" t="s">
        <v>1517</v>
      </c>
      <c r="B1189" t="s">
        <v>356</v>
      </c>
      <c r="C1189" t="s">
        <v>55</v>
      </c>
      <c r="D1189" t="str">
        <f>HYPERLINK("http://service.sap.com/sap/support/notes/1796627","1796627")</f>
        <v>1796627</v>
      </c>
      <c r="E1189">
        <v>1</v>
      </c>
      <c r="F1189" t="s">
        <v>1552</v>
      </c>
    </row>
    <row r="1190" spans="1:6" x14ac:dyDescent="0.25">
      <c r="A1190" t="s">
        <v>1517</v>
      </c>
      <c r="B1190" t="s">
        <v>356</v>
      </c>
      <c r="C1190" t="s">
        <v>55</v>
      </c>
      <c r="D1190" t="str">
        <f>HYPERLINK("http://service.sap.com/sap/support/notes/1797314","1797314")</f>
        <v>1797314</v>
      </c>
      <c r="E1190">
        <v>1</v>
      </c>
      <c r="F1190" t="s">
        <v>1553</v>
      </c>
    </row>
    <row r="1191" spans="1:6" x14ac:dyDescent="0.25">
      <c r="A1191" t="s">
        <v>1517</v>
      </c>
      <c r="B1191" t="s">
        <v>384</v>
      </c>
      <c r="C1191" t="s">
        <v>385</v>
      </c>
      <c r="D1191" t="str">
        <f>HYPERLINK("http://service.sap.com/sap/support/notes/1737859","1737859")</f>
        <v>1737859</v>
      </c>
      <c r="E1191">
        <v>3</v>
      </c>
      <c r="F1191" t="s">
        <v>388</v>
      </c>
    </row>
    <row r="1192" spans="1:6" x14ac:dyDescent="0.25">
      <c r="A1192" t="s">
        <v>1517</v>
      </c>
      <c r="B1192" t="s">
        <v>402</v>
      </c>
      <c r="C1192" t="s">
        <v>403</v>
      </c>
      <c r="D1192" t="str">
        <f>HYPERLINK("http://service.sap.com/sap/support/notes/1772779","1772779")</f>
        <v>1772779</v>
      </c>
      <c r="E1192">
        <v>1</v>
      </c>
      <c r="F1192" t="s">
        <v>1554</v>
      </c>
    </row>
    <row r="1193" spans="1:6" x14ac:dyDescent="0.25">
      <c r="A1193" t="s">
        <v>1517</v>
      </c>
      <c r="B1193" t="s">
        <v>430</v>
      </c>
      <c r="C1193" t="s">
        <v>431</v>
      </c>
      <c r="D1193" t="str">
        <f>HYPERLINK("http://service.sap.com/sap/support/notes/1791651","1791651")</f>
        <v>1791651</v>
      </c>
      <c r="E1193">
        <v>1</v>
      </c>
      <c r="F1193" t="s">
        <v>1555</v>
      </c>
    </row>
    <row r="1194" spans="1:6" x14ac:dyDescent="0.25">
      <c r="A1194" t="s">
        <v>1517</v>
      </c>
      <c r="B1194" t="s">
        <v>430</v>
      </c>
      <c r="C1194" t="s">
        <v>431</v>
      </c>
      <c r="D1194" t="str">
        <f>HYPERLINK("http://service.sap.com/sap/support/notes/1796033","1796033")</f>
        <v>1796033</v>
      </c>
      <c r="E1194">
        <v>2</v>
      </c>
      <c r="F1194" t="s">
        <v>1556</v>
      </c>
    </row>
    <row r="1195" spans="1:6" x14ac:dyDescent="0.25">
      <c r="A1195" t="s">
        <v>1517</v>
      </c>
      <c r="B1195" t="s">
        <v>450</v>
      </c>
      <c r="C1195" t="s">
        <v>451</v>
      </c>
      <c r="D1195" t="str">
        <f>HYPERLINK("http://service.sap.com/sap/support/notes/1774995","1774995")</f>
        <v>1774995</v>
      </c>
      <c r="E1195">
        <v>1</v>
      </c>
      <c r="F1195" t="s">
        <v>1557</v>
      </c>
    </row>
    <row r="1196" spans="1:6" x14ac:dyDescent="0.25">
      <c r="A1196" t="s">
        <v>1517</v>
      </c>
      <c r="B1196" t="s">
        <v>450</v>
      </c>
      <c r="C1196" t="s">
        <v>451</v>
      </c>
      <c r="D1196" t="str">
        <f>HYPERLINK("http://service.sap.com/sap/support/notes/1789956","1789956")</f>
        <v>1789956</v>
      </c>
      <c r="E1196">
        <v>2</v>
      </c>
      <c r="F1196" t="s">
        <v>1414</v>
      </c>
    </row>
    <row r="1197" spans="1:6" x14ac:dyDescent="0.25">
      <c r="A1197" t="s">
        <v>1517</v>
      </c>
      <c r="B1197" t="s">
        <v>610</v>
      </c>
      <c r="C1197" t="s">
        <v>635</v>
      </c>
    </row>
    <row r="1198" spans="1:6" x14ac:dyDescent="0.25">
      <c r="A1198" t="s">
        <v>1517</v>
      </c>
      <c r="B1198" t="s">
        <v>624</v>
      </c>
      <c r="C1198" t="s">
        <v>625</v>
      </c>
      <c r="D1198" t="str">
        <f>HYPERLINK("http://service.sap.com/sap/support/notes/1792056","1792056")</f>
        <v>1792056</v>
      </c>
      <c r="E1198">
        <v>1</v>
      </c>
      <c r="F1198" t="s">
        <v>1486</v>
      </c>
    </row>
    <row r="1199" spans="1:6" x14ac:dyDescent="0.25">
      <c r="A1199" t="s">
        <v>1558</v>
      </c>
      <c r="B1199" t="s">
        <v>5</v>
      </c>
      <c r="C1199" t="s">
        <v>6</v>
      </c>
    </row>
    <row r="1200" spans="1:6" x14ac:dyDescent="0.25">
      <c r="A1200" t="s">
        <v>1558</v>
      </c>
      <c r="B1200" t="s">
        <v>7</v>
      </c>
      <c r="C1200" t="s">
        <v>8</v>
      </c>
    </row>
    <row r="1201" spans="1:6" x14ac:dyDescent="0.25">
      <c r="A1201" t="s">
        <v>1558</v>
      </c>
      <c r="B1201" t="s">
        <v>12</v>
      </c>
      <c r="C1201" t="s">
        <v>13</v>
      </c>
      <c r="D1201" t="str">
        <f>HYPERLINK("http://service.sap.com/sap/support/notes/1793434","1793434")</f>
        <v>1793434</v>
      </c>
      <c r="E1201">
        <v>1</v>
      </c>
      <c r="F1201" t="s">
        <v>1559</v>
      </c>
    </row>
    <row r="1202" spans="1:6" x14ac:dyDescent="0.25">
      <c r="A1202" t="s">
        <v>1558</v>
      </c>
      <c r="B1202" t="s">
        <v>1560</v>
      </c>
      <c r="C1202" t="s">
        <v>1561</v>
      </c>
    </row>
    <row r="1203" spans="1:6" x14ac:dyDescent="0.25">
      <c r="A1203" t="s">
        <v>1558</v>
      </c>
      <c r="B1203" t="s">
        <v>1562</v>
      </c>
      <c r="C1203" t="s">
        <v>1563</v>
      </c>
      <c r="D1203" t="str">
        <f>HYPERLINK("http://service.sap.com/sap/support/notes/1792654","1792654")</f>
        <v>1792654</v>
      </c>
      <c r="E1203">
        <v>1</v>
      </c>
      <c r="F1203" t="s">
        <v>1564</v>
      </c>
    </row>
    <row r="1204" spans="1:6" x14ac:dyDescent="0.25">
      <c r="A1204" t="s">
        <v>1558</v>
      </c>
      <c r="B1204" t="s">
        <v>15</v>
      </c>
      <c r="C1204" t="s">
        <v>16</v>
      </c>
    </row>
    <row r="1205" spans="1:6" x14ac:dyDescent="0.25">
      <c r="A1205" t="s">
        <v>1558</v>
      </c>
      <c r="B1205" t="s">
        <v>17</v>
      </c>
      <c r="C1205" t="s">
        <v>18</v>
      </c>
    </row>
    <row r="1206" spans="1:6" x14ac:dyDescent="0.25">
      <c r="A1206" t="s">
        <v>1558</v>
      </c>
      <c r="B1206" t="s">
        <v>19</v>
      </c>
      <c r="C1206" t="s">
        <v>20</v>
      </c>
    </row>
    <row r="1207" spans="1:6" x14ac:dyDescent="0.25">
      <c r="A1207" t="s">
        <v>1558</v>
      </c>
      <c r="B1207" t="s">
        <v>21</v>
      </c>
      <c r="C1207" t="s">
        <v>22</v>
      </c>
      <c r="D1207" t="str">
        <f>HYPERLINK("http://service.sap.com/sap/support/notes/1772836","1772836")</f>
        <v>1772836</v>
      </c>
      <c r="E1207">
        <v>2</v>
      </c>
      <c r="F1207" t="s">
        <v>23</v>
      </c>
    </row>
    <row r="1208" spans="1:6" x14ac:dyDescent="0.25">
      <c r="A1208" t="s">
        <v>1558</v>
      </c>
      <c r="B1208" t="s">
        <v>21</v>
      </c>
      <c r="C1208" t="s">
        <v>22</v>
      </c>
      <c r="D1208" t="str">
        <f>HYPERLINK("http://service.sap.com/sap/support/notes/1791807","1791807")</f>
        <v>1791807</v>
      </c>
      <c r="E1208">
        <v>1</v>
      </c>
      <c r="F1208" t="s">
        <v>1565</v>
      </c>
    </row>
    <row r="1209" spans="1:6" x14ac:dyDescent="0.25">
      <c r="A1209" t="s">
        <v>1558</v>
      </c>
      <c r="B1209" t="s">
        <v>21</v>
      </c>
      <c r="C1209" t="s">
        <v>22</v>
      </c>
      <c r="D1209" t="str">
        <f>HYPERLINK("http://service.sap.com/sap/support/notes/1796074","1796074")</f>
        <v>1796074</v>
      </c>
      <c r="E1209">
        <v>1</v>
      </c>
      <c r="F1209" t="s">
        <v>1566</v>
      </c>
    </row>
    <row r="1210" spans="1:6" x14ac:dyDescent="0.25">
      <c r="A1210" t="s">
        <v>1558</v>
      </c>
      <c r="B1210" t="s">
        <v>493</v>
      </c>
      <c r="C1210" t="s">
        <v>494</v>
      </c>
    </row>
    <row r="1211" spans="1:6" x14ac:dyDescent="0.25">
      <c r="A1211" t="s">
        <v>1558</v>
      </c>
      <c r="B1211" t="s">
        <v>495</v>
      </c>
      <c r="C1211" t="s">
        <v>655</v>
      </c>
      <c r="D1211" t="str">
        <f>HYPERLINK("http://service.sap.com/sap/support/notes/1706835","1706835")</f>
        <v>1706835</v>
      </c>
      <c r="E1211">
        <v>1</v>
      </c>
      <c r="F1211" t="s">
        <v>1567</v>
      </c>
    </row>
    <row r="1212" spans="1:6" x14ac:dyDescent="0.25">
      <c r="A1212" t="s">
        <v>1558</v>
      </c>
      <c r="B1212" t="s">
        <v>495</v>
      </c>
      <c r="C1212" t="s">
        <v>655</v>
      </c>
      <c r="D1212" t="str">
        <f>HYPERLINK("http://service.sap.com/sap/support/notes/1778701","1778701")</f>
        <v>1778701</v>
      </c>
      <c r="E1212">
        <v>5</v>
      </c>
      <c r="F1212" t="s">
        <v>1568</v>
      </c>
    </row>
    <row r="1213" spans="1:6" x14ac:dyDescent="0.25">
      <c r="A1213" t="s">
        <v>1558</v>
      </c>
      <c r="B1213" t="s">
        <v>24</v>
      </c>
      <c r="C1213" t="s">
        <v>10</v>
      </c>
    </row>
    <row r="1214" spans="1:6" x14ac:dyDescent="0.25">
      <c r="A1214" t="s">
        <v>1558</v>
      </c>
      <c r="B1214" t="s">
        <v>503</v>
      </c>
      <c r="C1214" t="s">
        <v>504</v>
      </c>
      <c r="D1214" t="str">
        <f>HYPERLINK("http://service.sap.com/sap/support/notes/1796261","1796261")</f>
        <v>1796261</v>
      </c>
      <c r="E1214">
        <v>1</v>
      </c>
      <c r="F1214" t="s">
        <v>1569</v>
      </c>
    </row>
    <row r="1215" spans="1:6" x14ac:dyDescent="0.25">
      <c r="A1215" t="s">
        <v>1558</v>
      </c>
      <c r="B1215" t="s">
        <v>25</v>
      </c>
      <c r="C1215" t="s">
        <v>26</v>
      </c>
    </row>
    <row r="1216" spans="1:6" x14ac:dyDescent="0.25">
      <c r="A1216" t="s">
        <v>1558</v>
      </c>
      <c r="B1216" t="s">
        <v>519</v>
      </c>
      <c r="C1216" t="s">
        <v>132</v>
      </c>
      <c r="D1216" t="str">
        <f>HYPERLINK("http://service.sap.com/sap/support/notes/1805012","1805012")</f>
        <v>1805012</v>
      </c>
      <c r="E1216">
        <v>2</v>
      </c>
      <c r="F1216" t="s">
        <v>1570</v>
      </c>
    </row>
    <row r="1217" spans="1:6" x14ac:dyDescent="0.25">
      <c r="A1217" t="s">
        <v>1558</v>
      </c>
      <c r="B1217" t="s">
        <v>33</v>
      </c>
      <c r="C1217" t="s">
        <v>34</v>
      </c>
      <c r="D1217" t="str">
        <f>HYPERLINK("http://service.sap.com/sap/support/notes/1790489","1790489")</f>
        <v>1790489</v>
      </c>
      <c r="E1217">
        <v>1</v>
      </c>
      <c r="F1217" t="s">
        <v>1571</v>
      </c>
    </row>
    <row r="1218" spans="1:6" x14ac:dyDescent="0.25">
      <c r="A1218" t="s">
        <v>1558</v>
      </c>
      <c r="B1218" t="s">
        <v>33</v>
      </c>
      <c r="C1218" t="s">
        <v>34</v>
      </c>
      <c r="D1218" t="str">
        <f>HYPERLINK("http://service.sap.com/sap/support/notes/1797209","1797209")</f>
        <v>1797209</v>
      </c>
      <c r="E1218">
        <v>1</v>
      </c>
      <c r="F1218" t="s">
        <v>1572</v>
      </c>
    </row>
    <row r="1219" spans="1:6" x14ac:dyDescent="0.25">
      <c r="A1219" t="s">
        <v>1558</v>
      </c>
      <c r="B1219" t="s">
        <v>520</v>
      </c>
      <c r="C1219" t="s">
        <v>176</v>
      </c>
      <c r="D1219" t="str">
        <f>HYPERLINK("http://service.sap.com/sap/support/notes/1791643","1791643")</f>
        <v>1791643</v>
      </c>
      <c r="E1219">
        <v>1</v>
      </c>
      <c r="F1219" t="s">
        <v>1573</v>
      </c>
    </row>
    <row r="1220" spans="1:6" x14ac:dyDescent="0.25">
      <c r="A1220" t="s">
        <v>1558</v>
      </c>
      <c r="B1220" t="s">
        <v>40</v>
      </c>
      <c r="C1220" t="s">
        <v>41</v>
      </c>
      <c r="D1220" t="str">
        <f>HYPERLINK("http://service.sap.com/sap/support/notes/700094","700094")</f>
        <v>700094</v>
      </c>
      <c r="E1220">
        <v>8</v>
      </c>
      <c r="F1220" t="s">
        <v>42</v>
      </c>
    </row>
    <row r="1221" spans="1:6" x14ac:dyDescent="0.25">
      <c r="A1221" t="s">
        <v>1558</v>
      </c>
      <c r="B1221" t="s">
        <v>40</v>
      </c>
      <c r="C1221" t="s">
        <v>41</v>
      </c>
      <c r="D1221" t="str">
        <f>HYPERLINK("http://service.sap.com/sap/support/notes/1796887","1796887")</f>
        <v>1796887</v>
      </c>
      <c r="E1221">
        <v>1</v>
      </c>
      <c r="F1221" t="s">
        <v>1574</v>
      </c>
    </row>
    <row r="1222" spans="1:6" x14ac:dyDescent="0.25">
      <c r="A1222" t="s">
        <v>1558</v>
      </c>
      <c r="B1222" t="s">
        <v>43</v>
      </c>
      <c r="C1222" t="s">
        <v>44</v>
      </c>
      <c r="D1222" t="str">
        <f>HYPERLINK("http://service.sap.com/sap/support/notes/1793477","1793477")</f>
        <v>1793477</v>
      </c>
      <c r="E1222">
        <v>2</v>
      </c>
      <c r="F1222" t="s">
        <v>1575</v>
      </c>
    </row>
    <row r="1223" spans="1:6" x14ac:dyDescent="0.25">
      <c r="A1223" t="s">
        <v>1558</v>
      </c>
      <c r="B1223" t="s">
        <v>43</v>
      </c>
      <c r="C1223" t="s">
        <v>44</v>
      </c>
      <c r="D1223" t="str">
        <f>HYPERLINK("http://service.sap.com/sap/support/notes/1793525","1793525")</f>
        <v>1793525</v>
      </c>
      <c r="E1223">
        <v>2</v>
      </c>
      <c r="F1223" t="s">
        <v>1576</v>
      </c>
    </row>
    <row r="1224" spans="1:6" x14ac:dyDescent="0.25">
      <c r="A1224" t="s">
        <v>1558</v>
      </c>
      <c r="B1224" t="s">
        <v>43</v>
      </c>
      <c r="C1224" t="s">
        <v>44</v>
      </c>
      <c r="D1224" t="str">
        <f>HYPERLINK("http://service.sap.com/sap/support/notes/1795751","1795751")</f>
        <v>1795751</v>
      </c>
      <c r="E1224">
        <v>4</v>
      </c>
      <c r="F1224" t="s">
        <v>1577</v>
      </c>
    </row>
    <row r="1225" spans="1:6" x14ac:dyDescent="0.25">
      <c r="A1225" t="s">
        <v>1558</v>
      </c>
      <c r="B1225" t="s">
        <v>43</v>
      </c>
      <c r="C1225" t="s">
        <v>44</v>
      </c>
      <c r="D1225" t="str">
        <f>HYPERLINK("http://service.sap.com/sap/support/notes/1804020","1804020")</f>
        <v>1804020</v>
      </c>
      <c r="E1225">
        <v>1</v>
      </c>
      <c r="F1225" t="s">
        <v>1578</v>
      </c>
    </row>
    <row r="1226" spans="1:6" x14ac:dyDescent="0.25">
      <c r="A1226" t="s">
        <v>1558</v>
      </c>
      <c r="B1226" t="s">
        <v>43</v>
      </c>
      <c r="C1226" t="s">
        <v>44</v>
      </c>
      <c r="D1226" t="str">
        <f>HYPERLINK("http://service.sap.com/sap/support/notes/1804137","1804137")</f>
        <v>1804137</v>
      </c>
      <c r="E1226">
        <v>2</v>
      </c>
      <c r="F1226" t="s">
        <v>1579</v>
      </c>
    </row>
    <row r="1227" spans="1:6" x14ac:dyDescent="0.25">
      <c r="A1227" t="s">
        <v>1558</v>
      </c>
      <c r="B1227" t="s">
        <v>1580</v>
      </c>
      <c r="C1227" t="s">
        <v>307</v>
      </c>
      <c r="D1227" t="str">
        <f>HYPERLINK("http://service.sap.com/sap/support/notes/1797210","1797210")</f>
        <v>1797210</v>
      </c>
      <c r="E1227">
        <v>1</v>
      </c>
      <c r="F1227" t="s">
        <v>1581</v>
      </c>
    </row>
    <row r="1228" spans="1:6" x14ac:dyDescent="0.25">
      <c r="A1228" t="s">
        <v>1558</v>
      </c>
      <c r="B1228" t="s">
        <v>1582</v>
      </c>
      <c r="C1228" t="s">
        <v>314</v>
      </c>
      <c r="D1228" t="str">
        <f>HYPERLINK("http://service.sap.com/sap/support/notes/1776811","1776811")</f>
        <v>1776811</v>
      </c>
      <c r="E1228">
        <v>1</v>
      </c>
      <c r="F1228" t="s">
        <v>1583</v>
      </c>
    </row>
    <row r="1229" spans="1:6" x14ac:dyDescent="0.25">
      <c r="A1229" t="s">
        <v>1558</v>
      </c>
      <c r="B1229" t="s">
        <v>801</v>
      </c>
      <c r="C1229" t="s">
        <v>328</v>
      </c>
      <c r="D1229" t="str">
        <f>HYPERLINK("http://service.sap.com/sap/support/notes/1803938","1803938")</f>
        <v>1803938</v>
      </c>
      <c r="E1229">
        <v>1</v>
      </c>
      <c r="F1229" t="s">
        <v>1584</v>
      </c>
    </row>
    <row r="1230" spans="1:6" x14ac:dyDescent="0.25">
      <c r="A1230" t="s">
        <v>1558</v>
      </c>
      <c r="B1230" t="s">
        <v>47</v>
      </c>
      <c r="C1230" t="s">
        <v>48</v>
      </c>
      <c r="D1230" t="str">
        <f>HYPERLINK("http://service.sap.com/sap/support/notes/1794214","1794214")</f>
        <v>1794214</v>
      </c>
      <c r="E1230">
        <v>2</v>
      </c>
      <c r="F1230" t="s">
        <v>1585</v>
      </c>
    </row>
    <row r="1231" spans="1:6" x14ac:dyDescent="0.25">
      <c r="A1231" t="s">
        <v>1558</v>
      </c>
      <c r="B1231" t="s">
        <v>47</v>
      </c>
      <c r="C1231" t="s">
        <v>48</v>
      </c>
      <c r="D1231" t="str">
        <f>HYPERLINK("http://service.sap.com/sap/support/notes/1797334","1797334")</f>
        <v>1797334</v>
      </c>
      <c r="E1231">
        <v>1</v>
      </c>
      <c r="F1231" t="s">
        <v>1586</v>
      </c>
    </row>
    <row r="1232" spans="1:6" x14ac:dyDescent="0.25">
      <c r="A1232" t="s">
        <v>1558</v>
      </c>
      <c r="B1232" t="s">
        <v>51</v>
      </c>
      <c r="C1232" t="s">
        <v>52</v>
      </c>
      <c r="D1232" t="str">
        <f>HYPERLINK("http://service.sap.com/sap/support/notes/1797336","1797336")</f>
        <v>1797336</v>
      </c>
      <c r="E1232">
        <v>1</v>
      </c>
      <c r="F1232" t="s">
        <v>1587</v>
      </c>
    </row>
    <row r="1233" spans="1:6" x14ac:dyDescent="0.25">
      <c r="A1233" t="s">
        <v>1558</v>
      </c>
      <c r="B1233" t="s">
        <v>51</v>
      </c>
      <c r="C1233" t="s">
        <v>52</v>
      </c>
      <c r="D1233" t="str">
        <f>HYPERLINK("http://service.sap.com/sap/support/notes/1799064","1799064")</f>
        <v>1799064</v>
      </c>
      <c r="E1233">
        <v>4</v>
      </c>
      <c r="F1233" t="s">
        <v>1588</v>
      </c>
    </row>
    <row r="1234" spans="1:6" x14ac:dyDescent="0.25">
      <c r="A1234" t="s">
        <v>1558</v>
      </c>
      <c r="B1234" t="s">
        <v>51</v>
      </c>
      <c r="C1234" t="s">
        <v>52</v>
      </c>
      <c r="D1234" t="str">
        <f>HYPERLINK("http://service.sap.com/sap/support/notes/1800801","1800801")</f>
        <v>1800801</v>
      </c>
      <c r="E1234">
        <v>1</v>
      </c>
      <c r="F1234" t="s">
        <v>1589</v>
      </c>
    </row>
    <row r="1235" spans="1:6" x14ac:dyDescent="0.25">
      <c r="A1235" t="s">
        <v>1558</v>
      </c>
      <c r="B1235" t="s">
        <v>525</v>
      </c>
      <c r="C1235" t="s">
        <v>351</v>
      </c>
      <c r="D1235" t="str">
        <f>HYPERLINK("http://service.sap.com/sap/support/notes/1805522","1805522")</f>
        <v>1805522</v>
      </c>
      <c r="E1235">
        <v>1</v>
      </c>
      <c r="F1235" t="s">
        <v>1590</v>
      </c>
    </row>
    <row r="1236" spans="1:6" x14ac:dyDescent="0.25">
      <c r="A1236" t="s">
        <v>1558</v>
      </c>
      <c r="B1236" t="s">
        <v>54</v>
      </c>
      <c r="C1236" t="s">
        <v>55</v>
      </c>
      <c r="D1236" t="str">
        <f>HYPERLINK("http://service.sap.com/sap/support/notes/1797114","1797114")</f>
        <v>1797114</v>
      </c>
      <c r="E1236">
        <v>1</v>
      </c>
      <c r="F1236" t="s">
        <v>1591</v>
      </c>
    </row>
    <row r="1237" spans="1:6" x14ac:dyDescent="0.25">
      <c r="A1237" t="s">
        <v>1558</v>
      </c>
      <c r="B1237" t="s">
        <v>54</v>
      </c>
      <c r="C1237" t="s">
        <v>55</v>
      </c>
      <c r="D1237" t="str">
        <f>HYPERLINK("http://service.sap.com/sap/support/notes/1797939","1797939")</f>
        <v>1797939</v>
      </c>
      <c r="E1237">
        <v>1</v>
      </c>
      <c r="F1237" t="s">
        <v>1592</v>
      </c>
    </row>
    <row r="1238" spans="1:6" x14ac:dyDescent="0.25">
      <c r="A1238" t="s">
        <v>1558</v>
      </c>
      <c r="B1238" t="s">
        <v>54</v>
      </c>
      <c r="C1238" t="s">
        <v>55</v>
      </c>
      <c r="D1238" t="str">
        <f>HYPERLINK("http://service.sap.com/sap/support/notes/1800083","1800083")</f>
        <v>1800083</v>
      </c>
      <c r="F1238" t="s">
        <v>1593</v>
      </c>
    </row>
    <row r="1239" spans="1:6" x14ac:dyDescent="0.25">
      <c r="A1239" t="s">
        <v>1558</v>
      </c>
      <c r="B1239" t="s">
        <v>60</v>
      </c>
      <c r="C1239" t="s">
        <v>61</v>
      </c>
      <c r="D1239" t="str">
        <f>HYPERLINK("http://service.sap.com/sap/support/notes/1765129","1765129")</f>
        <v>1765129</v>
      </c>
      <c r="E1239">
        <v>1</v>
      </c>
      <c r="F1239" t="s">
        <v>1594</v>
      </c>
    </row>
    <row r="1240" spans="1:6" x14ac:dyDescent="0.25">
      <c r="A1240" t="s">
        <v>1558</v>
      </c>
      <c r="B1240" t="s">
        <v>60</v>
      </c>
      <c r="C1240" t="s">
        <v>61</v>
      </c>
      <c r="D1240" t="str">
        <f>HYPERLINK("http://service.sap.com/sap/support/notes/1791333","1791333")</f>
        <v>1791333</v>
      </c>
      <c r="E1240">
        <v>1</v>
      </c>
      <c r="F1240" t="s">
        <v>1595</v>
      </c>
    </row>
    <row r="1241" spans="1:6" x14ac:dyDescent="0.25">
      <c r="A1241" t="s">
        <v>1558</v>
      </c>
      <c r="B1241" t="s">
        <v>60</v>
      </c>
      <c r="C1241" t="s">
        <v>61</v>
      </c>
      <c r="D1241" t="str">
        <f>HYPERLINK("http://service.sap.com/sap/support/notes/1797211","1797211")</f>
        <v>1797211</v>
      </c>
      <c r="E1241">
        <v>1</v>
      </c>
      <c r="F1241" t="s">
        <v>1596</v>
      </c>
    </row>
    <row r="1242" spans="1:6" x14ac:dyDescent="0.25">
      <c r="A1242" t="s">
        <v>1558</v>
      </c>
      <c r="B1242" t="s">
        <v>60</v>
      </c>
      <c r="C1242" t="s">
        <v>61</v>
      </c>
      <c r="D1242" t="str">
        <f>HYPERLINK("http://service.sap.com/sap/support/notes/1803760","1803760")</f>
        <v>1803760</v>
      </c>
      <c r="E1242">
        <v>1</v>
      </c>
      <c r="F1242" t="s">
        <v>1597</v>
      </c>
    </row>
    <row r="1243" spans="1:6" x14ac:dyDescent="0.25">
      <c r="A1243" t="s">
        <v>1558</v>
      </c>
      <c r="B1243" t="s">
        <v>63</v>
      </c>
      <c r="C1243" t="s">
        <v>64</v>
      </c>
      <c r="D1243" t="str">
        <f>HYPERLINK("http://service.sap.com/sap/support/notes/960754","960754")</f>
        <v>960754</v>
      </c>
      <c r="E1243">
        <v>9</v>
      </c>
      <c r="F1243" t="s">
        <v>65</v>
      </c>
    </row>
    <row r="1244" spans="1:6" x14ac:dyDescent="0.25">
      <c r="A1244" t="s">
        <v>1558</v>
      </c>
      <c r="B1244" t="s">
        <v>63</v>
      </c>
      <c r="C1244" t="s">
        <v>64</v>
      </c>
      <c r="D1244" t="str">
        <f>HYPERLINK("http://service.sap.com/sap/support/notes/1744322","1744322")</f>
        <v>1744322</v>
      </c>
      <c r="E1244">
        <v>1</v>
      </c>
      <c r="F1244" t="s">
        <v>66</v>
      </c>
    </row>
    <row r="1245" spans="1:6" x14ac:dyDescent="0.25">
      <c r="A1245" t="s">
        <v>1558</v>
      </c>
      <c r="B1245" t="s">
        <v>63</v>
      </c>
      <c r="C1245" t="s">
        <v>64</v>
      </c>
      <c r="D1245" t="str">
        <f>HYPERLINK("http://service.sap.com/sap/support/notes/1791793","1791793")</f>
        <v>1791793</v>
      </c>
      <c r="E1245">
        <v>2</v>
      </c>
      <c r="F1245" t="s">
        <v>1598</v>
      </c>
    </row>
    <row r="1246" spans="1:6" x14ac:dyDescent="0.25">
      <c r="A1246" t="s">
        <v>1558</v>
      </c>
      <c r="B1246" t="s">
        <v>63</v>
      </c>
      <c r="C1246" t="s">
        <v>64</v>
      </c>
      <c r="D1246" t="str">
        <f>HYPERLINK("http://service.sap.com/sap/support/notes/1793062","1793062")</f>
        <v>1793062</v>
      </c>
      <c r="E1246">
        <v>2</v>
      </c>
      <c r="F1246" t="s">
        <v>1599</v>
      </c>
    </row>
    <row r="1247" spans="1:6" x14ac:dyDescent="0.25">
      <c r="A1247" t="s">
        <v>1558</v>
      </c>
      <c r="B1247" t="s">
        <v>63</v>
      </c>
      <c r="C1247" t="s">
        <v>64</v>
      </c>
      <c r="D1247" t="str">
        <f>HYPERLINK("http://service.sap.com/sap/support/notes/1794628","1794628")</f>
        <v>1794628</v>
      </c>
      <c r="E1247">
        <v>3</v>
      </c>
      <c r="F1247" t="s">
        <v>1600</v>
      </c>
    </row>
    <row r="1248" spans="1:6" x14ac:dyDescent="0.25">
      <c r="A1248" t="s">
        <v>1558</v>
      </c>
      <c r="B1248" t="s">
        <v>63</v>
      </c>
      <c r="C1248" t="s">
        <v>64</v>
      </c>
      <c r="D1248" t="str">
        <f>HYPERLINK("http://service.sap.com/sap/support/notes/1802766","1802766")</f>
        <v>1802766</v>
      </c>
      <c r="E1248">
        <v>1</v>
      </c>
      <c r="F1248" t="s">
        <v>1601</v>
      </c>
    </row>
    <row r="1249" spans="1:6" x14ac:dyDescent="0.25">
      <c r="A1249" t="s">
        <v>1558</v>
      </c>
      <c r="B1249" t="s">
        <v>63</v>
      </c>
      <c r="C1249" t="s">
        <v>64</v>
      </c>
      <c r="D1249" t="str">
        <f>HYPERLINK("http://service.sap.com/sap/support/notes/1804269","1804269")</f>
        <v>1804269</v>
      </c>
      <c r="E1249">
        <v>2</v>
      </c>
      <c r="F1249" t="s">
        <v>1602</v>
      </c>
    </row>
    <row r="1250" spans="1:6" x14ac:dyDescent="0.25">
      <c r="A1250" t="s">
        <v>1558</v>
      </c>
      <c r="B1250" t="s">
        <v>1603</v>
      </c>
      <c r="C1250" t="s">
        <v>431</v>
      </c>
      <c r="D1250" t="str">
        <f>HYPERLINK("http://service.sap.com/sap/support/notes/1794447","1794447")</f>
        <v>1794447</v>
      </c>
      <c r="E1250">
        <v>1</v>
      </c>
      <c r="F1250" t="s">
        <v>1604</v>
      </c>
    </row>
    <row r="1251" spans="1:6" x14ac:dyDescent="0.25">
      <c r="A1251" t="s">
        <v>1558</v>
      </c>
      <c r="B1251" t="s">
        <v>684</v>
      </c>
      <c r="C1251" t="s">
        <v>451</v>
      </c>
      <c r="D1251" t="str">
        <f>HYPERLINK("http://service.sap.com/sap/support/notes/1805306","1805306")</f>
        <v>1805306</v>
      </c>
      <c r="E1251">
        <v>2</v>
      </c>
      <c r="F1251" t="s">
        <v>1605</v>
      </c>
    </row>
    <row r="1252" spans="1:6" x14ac:dyDescent="0.25">
      <c r="A1252" t="s">
        <v>1558</v>
      </c>
      <c r="B1252" t="s">
        <v>73</v>
      </c>
      <c r="C1252" t="s">
        <v>74</v>
      </c>
    </row>
    <row r="1253" spans="1:6" x14ac:dyDescent="0.25">
      <c r="A1253" t="s">
        <v>1558</v>
      </c>
      <c r="B1253" t="s">
        <v>529</v>
      </c>
      <c r="C1253" t="s">
        <v>530</v>
      </c>
      <c r="D1253" t="str">
        <f>HYPERLINK("http://service.sap.com/sap/support/notes/1752963","1752963")</f>
        <v>1752963</v>
      </c>
      <c r="E1253">
        <v>2</v>
      </c>
      <c r="F1253" t="s">
        <v>1606</v>
      </c>
    </row>
    <row r="1254" spans="1:6" x14ac:dyDescent="0.25">
      <c r="A1254" t="s">
        <v>1558</v>
      </c>
      <c r="B1254" t="s">
        <v>79</v>
      </c>
      <c r="C1254" t="s">
        <v>80</v>
      </c>
    </row>
    <row r="1255" spans="1:6" x14ac:dyDescent="0.25">
      <c r="A1255" t="s">
        <v>1558</v>
      </c>
      <c r="B1255" t="s">
        <v>538</v>
      </c>
      <c r="C1255" t="s">
        <v>632</v>
      </c>
      <c r="D1255" t="str">
        <f>HYPERLINK("http://service.sap.com/sap/support/notes/1799730","1799730")</f>
        <v>1799730</v>
      </c>
      <c r="E1255">
        <v>1</v>
      </c>
      <c r="F1255" t="s">
        <v>1607</v>
      </c>
    </row>
    <row r="1256" spans="1:6" x14ac:dyDescent="0.25">
      <c r="A1256" t="s">
        <v>1558</v>
      </c>
      <c r="B1256" t="s">
        <v>90</v>
      </c>
      <c r="C1256" t="s">
        <v>13</v>
      </c>
    </row>
    <row r="1257" spans="1:6" x14ac:dyDescent="0.25">
      <c r="A1257" t="s">
        <v>1558</v>
      </c>
      <c r="B1257" t="s">
        <v>91</v>
      </c>
      <c r="C1257" t="s">
        <v>92</v>
      </c>
      <c r="D1257" t="str">
        <f>HYPERLINK("http://service.sap.com/sap/support/notes/1564950","1564950")</f>
        <v>1564950</v>
      </c>
      <c r="E1257">
        <v>3</v>
      </c>
      <c r="F1257" t="s">
        <v>1608</v>
      </c>
    </row>
    <row r="1258" spans="1:6" x14ac:dyDescent="0.25">
      <c r="A1258" t="s">
        <v>1558</v>
      </c>
      <c r="B1258" t="s">
        <v>91</v>
      </c>
      <c r="C1258" t="s">
        <v>92</v>
      </c>
      <c r="D1258" t="str">
        <f>HYPERLINK("http://service.sap.com/sap/support/notes/1766603","1766603")</f>
        <v>1766603</v>
      </c>
      <c r="E1258">
        <v>3</v>
      </c>
      <c r="F1258" t="s">
        <v>1609</v>
      </c>
    </row>
    <row r="1259" spans="1:6" x14ac:dyDescent="0.25">
      <c r="A1259" t="s">
        <v>1558</v>
      </c>
      <c r="B1259" t="s">
        <v>91</v>
      </c>
      <c r="C1259" t="s">
        <v>92</v>
      </c>
      <c r="D1259" t="str">
        <f>HYPERLINK("http://service.sap.com/sap/support/notes/1772228","1772228")</f>
        <v>1772228</v>
      </c>
      <c r="E1259">
        <v>1</v>
      </c>
      <c r="F1259" t="s">
        <v>1610</v>
      </c>
    </row>
    <row r="1260" spans="1:6" x14ac:dyDescent="0.25">
      <c r="A1260" t="s">
        <v>1558</v>
      </c>
      <c r="B1260" t="s">
        <v>91</v>
      </c>
      <c r="C1260" t="s">
        <v>92</v>
      </c>
      <c r="D1260" t="str">
        <f>HYPERLINK("http://service.sap.com/sap/support/notes/1796441","1796441")</f>
        <v>1796441</v>
      </c>
      <c r="E1260">
        <v>3</v>
      </c>
      <c r="F1260" t="s">
        <v>1611</v>
      </c>
    </row>
    <row r="1261" spans="1:6" x14ac:dyDescent="0.25">
      <c r="A1261" t="s">
        <v>1558</v>
      </c>
      <c r="B1261" t="s">
        <v>91</v>
      </c>
      <c r="C1261" t="s">
        <v>92</v>
      </c>
      <c r="D1261" t="str">
        <f>HYPERLINK("http://service.sap.com/sap/support/notes/1797805","1797805")</f>
        <v>1797805</v>
      </c>
      <c r="E1261">
        <v>3</v>
      </c>
      <c r="F1261" t="s">
        <v>1612</v>
      </c>
    </row>
    <row r="1262" spans="1:6" x14ac:dyDescent="0.25">
      <c r="A1262" t="s">
        <v>1558</v>
      </c>
      <c r="B1262" t="s">
        <v>95</v>
      </c>
      <c r="C1262" t="s">
        <v>96</v>
      </c>
    </row>
    <row r="1263" spans="1:6" x14ac:dyDescent="0.25">
      <c r="A1263" t="s">
        <v>1558</v>
      </c>
      <c r="B1263" t="s">
        <v>569</v>
      </c>
      <c r="C1263" t="s">
        <v>28</v>
      </c>
      <c r="D1263" t="str">
        <f>HYPERLINK("http://service.sap.com/sap/support/notes/1773224","1773224")</f>
        <v>1773224</v>
      </c>
      <c r="E1263">
        <v>4</v>
      </c>
      <c r="F1263" t="s">
        <v>1613</v>
      </c>
    </row>
    <row r="1264" spans="1:6" x14ac:dyDescent="0.25">
      <c r="A1264" t="s">
        <v>1558</v>
      </c>
      <c r="B1264" t="s">
        <v>569</v>
      </c>
      <c r="C1264" t="s">
        <v>28</v>
      </c>
      <c r="D1264" t="str">
        <f>HYPERLINK("http://service.sap.com/sap/support/notes/1779893","1779893")</f>
        <v>1779893</v>
      </c>
      <c r="E1264">
        <v>2</v>
      </c>
      <c r="F1264" t="s">
        <v>1614</v>
      </c>
    </row>
    <row r="1265" spans="1:6" x14ac:dyDescent="0.25">
      <c r="A1265" t="s">
        <v>1558</v>
      </c>
      <c r="B1265" t="s">
        <v>569</v>
      </c>
      <c r="C1265" t="s">
        <v>28</v>
      </c>
      <c r="D1265" t="str">
        <f>HYPERLINK("http://service.sap.com/sap/support/notes/1780166","1780166")</f>
        <v>1780166</v>
      </c>
      <c r="E1265">
        <v>4</v>
      </c>
      <c r="F1265" t="s">
        <v>1615</v>
      </c>
    </row>
    <row r="1266" spans="1:6" x14ac:dyDescent="0.25">
      <c r="A1266" t="s">
        <v>1558</v>
      </c>
      <c r="B1266" t="s">
        <v>569</v>
      </c>
      <c r="C1266" t="s">
        <v>28</v>
      </c>
      <c r="D1266" t="str">
        <f>HYPERLINK("http://service.sap.com/sap/support/notes/1782125","1782125")</f>
        <v>1782125</v>
      </c>
      <c r="E1266">
        <v>3</v>
      </c>
      <c r="F1266" t="s">
        <v>1616</v>
      </c>
    </row>
    <row r="1267" spans="1:6" x14ac:dyDescent="0.25">
      <c r="A1267" t="s">
        <v>1558</v>
      </c>
      <c r="B1267" t="s">
        <v>569</v>
      </c>
      <c r="C1267" t="s">
        <v>28</v>
      </c>
      <c r="D1267" t="str">
        <f>HYPERLINK("http://service.sap.com/sap/support/notes/1789836","1789836")</f>
        <v>1789836</v>
      </c>
      <c r="E1267">
        <v>6</v>
      </c>
      <c r="F1267" t="s">
        <v>1617</v>
      </c>
    </row>
    <row r="1268" spans="1:6" x14ac:dyDescent="0.25">
      <c r="A1268" t="s">
        <v>1558</v>
      </c>
      <c r="B1268" t="s">
        <v>569</v>
      </c>
      <c r="C1268" t="s">
        <v>28</v>
      </c>
      <c r="D1268" t="str">
        <f>HYPERLINK("http://service.sap.com/sap/support/notes/1790410","1790410")</f>
        <v>1790410</v>
      </c>
      <c r="E1268">
        <v>2</v>
      </c>
      <c r="F1268" t="s">
        <v>1618</v>
      </c>
    </row>
    <row r="1269" spans="1:6" x14ac:dyDescent="0.25">
      <c r="A1269" t="s">
        <v>1558</v>
      </c>
      <c r="B1269" t="s">
        <v>569</v>
      </c>
      <c r="C1269" t="s">
        <v>28</v>
      </c>
      <c r="D1269" t="str">
        <f>HYPERLINK("http://service.sap.com/sap/support/notes/1794694","1794694")</f>
        <v>1794694</v>
      </c>
      <c r="E1269">
        <v>3</v>
      </c>
      <c r="F1269" t="s">
        <v>1619</v>
      </c>
    </row>
    <row r="1270" spans="1:6" x14ac:dyDescent="0.25">
      <c r="A1270" t="s">
        <v>1558</v>
      </c>
      <c r="B1270" t="s">
        <v>569</v>
      </c>
      <c r="C1270" t="s">
        <v>28</v>
      </c>
      <c r="D1270" t="str">
        <f>HYPERLINK("http://service.sap.com/sap/support/notes/1798166","1798166")</f>
        <v>1798166</v>
      </c>
      <c r="E1270">
        <v>3</v>
      </c>
      <c r="F1270" t="s">
        <v>1620</v>
      </c>
    </row>
    <row r="1271" spans="1:6" x14ac:dyDescent="0.25">
      <c r="A1271" t="s">
        <v>1558</v>
      </c>
      <c r="B1271" t="s">
        <v>569</v>
      </c>
      <c r="C1271" t="s">
        <v>28</v>
      </c>
      <c r="D1271" t="str">
        <f>HYPERLINK("http://service.sap.com/sap/support/notes/1798969","1798969")</f>
        <v>1798969</v>
      </c>
      <c r="E1271">
        <v>1</v>
      </c>
      <c r="F1271" t="s">
        <v>1621</v>
      </c>
    </row>
    <row r="1272" spans="1:6" x14ac:dyDescent="0.25">
      <c r="A1272" t="s">
        <v>1558</v>
      </c>
      <c r="B1272" t="s">
        <v>569</v>
      </c>
      <c r="C1272" t="s">
        <v>28</v>
      </c>
      <c r="D1272" t="str">
        <f>HYPERLINK("http://service.sap.com/sap/support/notes/1798994","1798994")</f>
        <v>1798994</v>
      </c>
      <c r="E1272">
        <v>4</v>
      </c>
      <c r="F1272" t="s">
        <v>1622</v>
      </c>
    </row>
    <row r="1273" spans="1:6" x14ac:dyDescent="0.25">
      <c r="A1273" t="s">
        <v>1558</v>
      </c>
      <c r="B1273" t="s">
        <v>569</v>
      </c>
      <c r="C1273" t="s">
        <v>28</v>
      </c>
      <c r="D1273" t="str">
        <f>HYPERLINK("http://service.sap.com/sap/support/notes/1801124","1801124")</f>
        <v>1801124</v>
      </c>
      <c r="E1273">
        <v>2</v>
      </c>
      <c r="F1273" t="s">
        <v>1623</v>
      </c>
    </row>
    <row r="1274" spans="1:6" x14ac:dyDescent="0.25">
      <c r="A1274" t="s">
        <v>1558</v>
      </c>
      <c r="B1274" t="s">
        <v>569</v>
      </c>
      <c r="C1274" t="s">
        <v>28</v>
      </c>
      <c r="D1274" t="str">
        <f>HYPERLINK("http://service.sap.com/sap/support/notes/1803505","1803505")</f>
        <v>1803505</v>
      </c>
      <c r="E1274">
        <v>6</v>
      </c>
      <c r="F1274" t="s">
        <v>1624</v>
      </c>
    </row>
    <row r="1275" spans="1:6" x14ac:dyDescent="0.25">
      <c r="A1275" t="s">
        <v>1558</v>
      </c>
      <c r="B1275" t="s">
        <v>97</v>
      </c>
      <c r="C1275" t="s">
        <v>98</v>
      </c>
      <c r="D1275" t="str">
        <f>HYPERLINK("http://service.sap.com/sap/support/notes/1727603","1727603")</f>
        <v>1727603</v>
      </c>
      <c r="E1275">
        <v>4</v>
      </c>
      <c r="F1275" t="s">
        <v>1625</v>
      </c>
    </row>
    <row r="1276" spans="1:6" x14ac:dyDescent="0.25">
      <c r="A1276" t="s">
        <v>1558</v>
      </c>
      <c r="B1276" t="s">
        <v>97</v>
      </c>
      <c r="C1276" t="s">
        <v>98</v>
      </c>
      <c r="D1276" t="str">
        <f>HYPERLINK("http://service.sap.com/sap/support/notes/1772517","1772517")</f>
        <v>1772517</v>
      </c>
      <c r="E1276">
        <v>5</v>
      </c>
      <c r="F1276" t="s">
        <v>1626</v>
      </c>
    </row>
    <row r="1277" spans="1:6" x14ac:dyDescent="0.25">
      <c r="A1277" t="s">
        <v>1558</v>
      </c>
      <c r="B1277" t="s">
        <v>97</v>
      </c>
      <c r="C1277" t="s">
        <v>98</v>
      </c>
      <c r="D1277" t="str">
        <f>HYPERLINK("http://service.sap.com/sap/support/notes/1780827","1780827")</f>
        <v>1780827</v>
      </c>
      <c r="E1277">
        <v>2</v>
      </c>
      <c r="F1277" t="s">
        <v>1627</v>
      </c>
    </row>
    <row r="1278" spans="1:6" x14ac:dyDescent="0.25">
      <c r="A1278" t="s">
        <v>1558</v>
      </c>
      <c r="B1278" t="s">
        <v>97</v>
      </c>
      <c r="C1278" t="s">
        <v>98</v>
      </c>
      <c r="D1278" t="str">
        <f>HYPERLINK("http://service.sap.com/sap/support/notes/1784733","1784733")</f>
        <v>1784733</v>
      </c>
      <c r="E1278">
        <v>2</v>
      </c>
      <c r="F1278" t="s">
        <v>1628</v>
      </c>
    </row>
    <row r="1279" spans="1:6" x14ac:dyDescent="0.25">
      <c r="A1279" t="s">
        <v>1558</v>
      </c>
      <c r="B1279" t="s">
        <v>97</v>
      </c>
      <c r="C1279" t="s">
        <v>98</v>
      </c>
      <c r="D1279" t="str">
        <f>HYPERLINK("http://service.sap.com/sap/support/notes/1786556","1786556")</f>
        <v>1786556</v>
      </c>
      <c r="E1279">
        <v>3</v>
      </c>
      <c r="F1279" t="s">
        <v>1629</v>
      </c>
    </row>
    <row r="1280" spans="1:6" x14ac:dyDescent="0.25">
      <c r="A1280" t="s">
        <v>1558</v>
      </c>
      <c r="B1280" t="s">
        <v>97</v>
      </c>
      <c r="C1280" t="s">
        <v>98</v>
      </c>
      <c r="D1280" t="str">
        <f>HYPERLINK("http://service.sap.com/sap/support/notes/1786624","1786624")</f>
        <v>1786624</v>
      </c>
      <c r="E1280">
        <v>1</v>
      </c>
      <c r="F1280" t="s">
        <v>1630</v>
      </c>
    </row>
    <row r="1281" spans="1:6" x14ac:dyDescent="0.25">
      <c r="A1281" t="s">
        <v>1558</v>
      </c>
      <c r="B1281" t="s">
        <v>97</v>
      </c>
      <c r="C1281" t="s">
        <v>98</v>
      </c>
      <c r="D1281" t="str">
        <f>HYPERLINK("http://service.sap.com/sap/support/notes/1794560","1794560")</f>
        <v>1794560</v>
      </c>
      <c r="E1281">
        <v>2</v>
      </c>
      <c r="F1281" t="s">
        <v>1631</v>
      </c>
    </row>
    <row r="1282" spans="1:6" x14ac:dyDescent="0.25">
      <c r="A1282" t="s">
        <v>1558</v>
      </c>
      <c r="B1282" t="s">
        <v>97</v>
      </c>
      <c r="C1282" t="s">
        <v>98</v>
      </c>
      <c r="D1282" t="str">
        <f>HYPERLINK("http://service.sap.com/sap/support/notes/1800135","1800135")</f>
        <v>1800135</v>
      </c>
      <c r="E1282">
        <v>1</v>
      </c>
      <c r="F1282" t="s">
        <v>1632</v>
      </c>
    </row>
    <row r="1283" spans="1:6" x14ac:dyDescent="0.25">
      <c r="A1283" t="s">
        <v>1558</v>
      </c>
      <c r="B1283" t="s">
        <v>97</v>
      </c>
      <c r="C1283" t="s">
        <v>98</v>
      </c>
      <c r="D1283" t="str">
        <f>HYPERLINK("http://service.sap.com/sap/support/notes/1800142","1800142")</f>
        <v>1800142</v>
      </c>
      <c r="E1283">
        <v>2</v>
      </c>
      <c r="F1283" t="s">
        <v>1633</v>
      </c>
    </row>
    <row r="1284" spans="1:6" x14ac:dyDescent="0.25">
      <c r="A1284" t="s">
        <v>1558</v>
      </c>
      <c r="B1284" t="s">
        <v>97</v>
      </c>
      <c r="C1284" t="s">
        <v>98</v>
      </c>
      <c r="D1284" t="str">
        <f>HYPERLINK("http://service.sap.com/sap/support/notes/1800756","1800756")</f>
        <v>1800756</v>
      </c>
      <c r="E1284">
        <v>3</v>
      </c>
      <c r="F1284" t="s">
        <v>1634</v>
      </c>
    </row>
    <row r="1285" spans="1:6" x14ac:dyDescent="0.25">
      <c r="A1285" t="s">
        <v>1558</v>
      </c>
      <c r="B1285" t="s">
        <v>97</v>
      </c>
      <c r="C1285" t="s">
        <v>98</v>
      </c>
      <c r="D1285" t="str">
        <f>HYPERLINK("http://service.sap.com/sap/support/notes/1800942","1800942")</f>
        <v>1800942</v>
      </c>
      <c r="E1285">
        <v>2</v>
      </c>
      <c r="F1285" t="s">
        <v>1635</v>
      </c>
    </row>
    <row r="1286" spans="1:6" x14ac:dyDescent="0.25">
      <c r="A1286" t="s">
        <v>1558</v>
      </c>
      <c r="B1286" t="s">
        <v>97</v>
      </c>
      <c r="C1286" t="s">
        <v>98</v>
      </c>
      <c r="D1286" t="str">
        <f>HYPERLINK("http://service.sap.com/sap/support/notes/1801848","1801848")</f>
        <v>1801848</v>
      </c>
      <c r="E1286">
        <v>3</v>
      </c>
      <c r="F1286" t="s">
        <v>1636</v>
      </c>
    </row>
    <row r="1287" spans="1:6" x14ac:dyDescent="0.25">
      <c r="A1287" t="s">
        <v>1558</v>
      </c>
      <c r="B1287" t="s">
        <v>97</v>
      </c>
      <c r="C1287" t="s">
        <v>98</v>
      </c>
      <c r="D1287" t="str">
        <f>HYPERLINK("http://service.sap.com/sap/support/notes/1806078","1806078")</f>
        <v>1806078</v>
      </c>
      <c r="E1287">
        <v>3</v>
      </c>
      <c r="F1287" t="s">
        <v>1637</v>
      </c>
    </row>
    <row r="1288" spans="1:6" x14ac:dyDescent="0.25">
      <c r="A1288" t="s">
        <v>1558</v>
      </c>
      <c r="B1288" t="s">
        <v>114</v>
      </c>
      <c r="C1288" t="s">
        <v>115</v>
      </c>
      <c r="D1288" t="str">
        <f>HYPERLINK("http://service.sap.com/sap/support/notes/1579413","1579413")</f>
        <v>1579413</v>
      </c>
      <c r="E1288">
        <v>2</v>
      </c>
      <c r="F1288" t="s">
        <v>1638</v>
      </c>
    </row>
    <row r="1289" spans="1:6" x14ac:dyDescent="0.25">
      <c r="A1289" t="s">
        <v>1558</v>
      </c>
      <c r="B1289" t="s">
        <v>114</v>
      </c>
      <c r="C1289" t="s">
        <v>115</v>
      </c>
      <c r="D1289" t="str">
        <f>HYPERLINK("http://service.sap.com/sap/support/notes/1719617","1719617")</f>
        <v>1719617</v>
      </c>
      <c r="E1289">
        <v>4</v>
      </c>
      <c r="F1289" t="s">
        <v>1639</v>
      </c>
    </row>
    <row r="1290" spans="1:6" x14ac:dyDescent="0.25">
      <c r="A1290" t="s">
        <v>1558</v>
      </c>
      <c r="B1290" t="s">
        <v>114</v>
      </c>
      <c r="C1290" t="s">
        <v>115</v>
      </c>
      <c r="D1290" t="str">
        <f>HYPERLINK("http://service.sap.com/sap/support/notes/1795654","1795654")</f>
        <v>1795654</v>
      </c>
      <c r="E1290">
        <v>1</v>
      </c>
      <c r="F1290" t="s">
        <v>1640</v>
      </c>
    </row>
    <row r="1291" spans="1:6" x14ac:dyDescent="0.25">
      <c r="A1291" t="s">
        <v>1558</v>
      </c>
      <c r="B1291" t="s">
        <v>114</v>
      </c>
      <c r="C1291" t="s">
        <v>115</v>
      </c>
      <c r="D1291" t="str">
        <f>HYPERLINK("http://service.sap.com/sap/support/notes/1798508","1798508")</f>
        <v>1798508</v>
      </c>
      <c r="E1291">
        <v>1</v>
      </c>
      <c r="F1291" t="s">
        <v>1641</v>
      </c>
    </row>
    <row r="1292" spans="1:6" x14ac:dyDescent="0.25">
      <c r="A1292" t="s">
        <v>1558</v>
      </c>
      <c r="B1292" t="s">
        <v>114</v>
      </c>
      <c r="C1292" t="s">
        <v>115</v>
      </c>
      <c r="D1292" t="str">
        <f>HYPERLINK("http://service.sap.com/sap/support/notes/1798537","1798537")</f>
        <v>1798537</v>
      </c>
      <c r="E1292">
        <v>1</v>
      </c>
      <c r="F1292" t="s">
        <v>1642</v>
      </c>
    </row>
    <row r="1293" spans="1:6" x14ac:dyDescent="0.25">
      <c r="A1293" t="s">
        <v>1558</v>
      </c>
      <c r="B1293" t="s">
        <v>114</v>
      </c>
      <c r="C1293" t="s">
        <v>115</v>
      </c>
      <c r="D1293" t="str">
        <f>HYPERLINK("http://service.sap.com/sap/support/notes/1799122","1799122")</f>
        <v>1799122</v>
      </c>
      <c r="E1293">
        <v>1</v>
      </c>
      <c r="F1293" t="s">
        <v>1643</v>
      </c>
    </row>
    <row r="1294" spans="1:6" x14ac:dyDescent="0.25">
      <c r="A1294" t="s">
        <v>1558</v>
      </c>
      <c r="B1294" t="s">
        <v>114</v>
      </c>
      <c r="C1294" t="s">
        <v>115</v>
      </c>
      <c r="D1294" t="str">
        <f>HYPERLINK("http://service.sap.com/sap/support/notes/1799228","1799228")</f>
        <v>1799228</v>
      </c>
      <c r="E1294">
        <v>1</v>
      </c>
      <c r="F1294" t="s">
        <v>1644</v>
      </c>
    </row>
    <row r="1295" spans="1:6" x14ac:dyDescent="0.25">
      <c r="A1295" t="s">
        <v>1558</v>
      </c>
      <c r="B1295" t="s">
        <v>114</v>
      </c>
      <c r="C1295" t="s">
        <v>115</v>
      </c>
      <c r="D1295" t="str">
        <f>HYPERLINK("http://service.sap.com/sap/support/notes/1799263","1799263")</f>
        <v>1799263</v>
      </c>
      <c r="E1295">
        <v>1</v>
      </c>
      <c r="F1295" t="s">
        <v>1645</v>
      </c>
    </row>
    <row r="1296" spans="1:6" x14ac:dyDescent="0.25">
      <c r="A1296" t="s">
        <v>1558</v>
      </c>
      <c r="B1296" t="s">
        <v>114</v>
      </c>
      <c r="C1296" t="s">
        <v>115</v>
      </c>
      <c r="D1296" t="str">
        <f>HYPERLINK("http://service.sap.com/sap/support/notes/1800320","1800320")</f>
        <v>1800320</v>
      </c>
      <c r="E1296">
        <v>1</v>
      </c>
      <c r="F1296" t="s">
        <v>1646</v>
      </c>
    </row>
    <row r="1297" spans="1:6" x14ac:dyDescent="0.25">
      <c r="A1297" t="s">
        <v>1558</v>
      </c>
      <c r="B1297" t="s">
        <v>114</v>
      </c>
      <c r="C1297" t="s">
        <v>115</v>
      </c>
      <c r="D1297" t="str">
        <f>HYPERLINK("http://service.sap.com/sap/support/notes/1802311","1802311")</f>
        <v>1802311</v>
      </c>
      <c r="E1297">
        <v>1</v>
      </c>
      <c r="F1297" t="s">
        <v>1647</v>
      </c>
    </row>
    <row r="1298" spans="1:6" x14ac:dyDescent="0.25">
      <c r="A1298" t="s">
        <v>1558</v>
      </c>
      <c r="B1298" t="s">
        <v>114</v>
      </c>
      <c r="C1298" t="s">
        <v>115</v>
      </c>
      <c r="D1298" t="str">
        <f>HYPERLINK("http://service.sap.com/sap/support/notes/1807136","1807136")</f>
        <v>1807136</v>
      </c>
      <c r="E1298">
        <v>1</v>
      </c>
      <c r="F1298" t="s">
        <v>1648</v>
      </c>
    </row>
    <row r="1299" spans="1:6" x14ac:dyDescent="0.25">
      <c r="A1299" t="s">
        <v>1558</v>
      </c>
      <c r="B1299" t="s">
        <v>685</v>
      </c>
      <c r="C1299" t="s">
        <v>686</v>
      </c>
      <c r="D1299" t="str">
        <f>HYPERLINK("http://service.sap.com/sap/support/notes/1781147","1781147")</f>
        <v>1781147</v>
      </c>
      <c r="E1299">
        <v>4</v>
      </c>
      <c r="F1299" t="s">
        <v>1649</v>
      </c>
    </row>
    <row r="1300" spans="1:6" x14ac:dyDescent="0.25">
      <c r="A1300" t="s">
        <v>1558</v>
      </c>
      <c r="B1300" t="s">
        <v>127</v>
      </c>
      <c r="C1300" t="s">
        <v>128</v>
      </c>
      <c r="D1300" t="str">
        <f>HYPERLINK("http://service.sap.com/sap/support/notes/1779417","1779417")</f>
        <v>1779417</v>
      </c>
      <c r="E1300">
        <v>3</v>
      </c>
      <c r="F1300" t="s">
        <v>1015</v>
      </c>
    </row>
    <row r="1301" spans="1:6" x14ac:dyDescent="0.25">
      <c r="A1301" t="s">
        <v>1558</v>
      </c>
      <c r="B1301" t="s">
        <v>127</v>
      </c>
      <c r="C1301" t="s">
        <v>128</v>
      </c>
      <c r="D1301" t="str">
        <f>HYPERLINK("http://service.sap.com/sap/support/notes/1796229","1796229")</f>
        <v>1796229</v>
      </c>
      <c r="E1301">
        <v>1</v>
      </c>
      <c r="F1301" t="s">
        <v>1015</v>
      </c>
    </row>
    <row r="1302" spans="1:6" x14ac:dyDescent="0.25">
      <c r="A1302" t="s">
        <v>1558</v>
      </c>
      <c r="B1302" t="s">
        <v>131</v>
      </c>
      <c r="C1302" t="s">
        <v>132</v>
      </c>
      <c r="D1302" t="str">
        <f>HYPERLINK("http://service.sap.com/sap/support/notes/1766234","1766234")</f>
        <v>1766234</v>
      </c>
      <c r="E1302">
        <v>2</v>
      </c>
      <c r="F1302" t="s">
        <v>1650</v>
      </c>
    </row>
    <row r="1303" spans="1:6" x14ac:dyDescent="0.25">
      <c r="A1303" t="s">
        <v>1558</v>
      </c>
      <c r="B1303" t="s">
        <v>131</v>
      </c>
      <c r="C1303" t="s">
        <v>132</v>
      </c>
      <c r="D1303" t="str">
        <f>HYPERLINK("http://service.sap.com/sap/support/notes/1781336","1781336")</f>
        <v>1781336</v>
      </c>
      <c r="E1303">
        <v>2</v>
      </c>
      <c r="F1303" t="s">
        <v>1651</v>
      </c>
    </row>
    <row r="1304" spans="1:6" x14ac:dyDescent="0.25">
      <c r="A1304" t="s">
        <v>1558</v>
      </c>
      <c r="B1304" t="s">
        <v>131</v>
      </c>
      <c r="C1304" t="s">
        <v>132</v>
      </c>
      <c r="D1304" t="str">
        <f>HYPERLINK("http://service.sap.com/sap/support/notes/1781981","1781981")</f>
        <v>1781981</v>
      </c>
      <c r="E1304">
        <v>3</v>
      </c>
      <c r="F1304" t="s">
        <v>1652</v>
      </c>
    </row>
    <row r="1305" spans="1:6" x14ac:dyDescent="0.25">
      <c r="A1305" t="s">
        <v>1558</v>
      </c>
      <c r="B1305" t="s">
        <v>131</v>
      </c>
      <c r="C1305" t="s">
        <v>132</v>
      </c>
      <c r="D1305" t="str">
        <f>HYPERLINK("http://service.sap.com/sap/support/notes/1784985","1784985")</f>
        <v>1784985</v>
      </c>
      <c r="E1305">
        <v>2</v>
      </c>
      <c r="F1305" t="s">
        <v>1653</v>
      </c>
    </row>
    <row r="1306" spans="1:6" x14ac:dyDescent="0.25">
      <c r="A1306" t="s">
        <v>1558</v>
      </c>
      <c r="B1306" t="s">
        <v>131</v>
      </c>
      <c r="C1306" t="s">
        <v>132</v>
      </c>
      <c r="D1306" t="str">
        <f>HYPERLINK("http://service.sap.com/sap/support/notes/1786788","1786788")</f>
        <v>1786788</v>
      </c>
      <c r="E1306">
        <v>1</v>
      </c>
      <c r="F1306" t="s">
        <v>1654</v>
      </c>
    </row>
    <row r="1307" spans="1:6" x14ac:dyDescent="0.25">
      <c r="A1307" t="s">
        <v>1558</v>
      </c>
      <c r="B1307" t="s">
        <v>131</v>
      </c>
      <c r="C1307" t="s">
        <v>132</v>
      </c>
      <c r="D1307" t="str">
        <f>HYPERLINK("http://service.sap.com/sap/support/notes/1789335","1789335")</f>
        <v>1789335</v>
      </c>
      <c r="E1307">
        <v>6</v>
      </c>
      <c r="F1307" t="s">
        <v>1655</v>
      </c>
    </row>
    <row r="1308" spans="1:6" x14ac:dyDescent="0.25">
      <c r="A1308" t="s">
        <v>1558</v>
      </c>
      <c r="B1308" t="s">
        <v>131</v>
      </c>
      <c r="C1308" t="s">
        <v>132</v>
      </c>
      <c r="D1308" t="str">
        <f>HYPERLINK("http://service.sap.com/sap/support/notes/1790850","1790850")</f>
        <v>1790850</v>
      </c>
      <c r="E1308">
        <v>4</v>
      </c>
      <c r="F1308" t="s">
        <v>1656</v>
      </c>
    </row>
    <row r="1309" spans="1:6" x14ac:dyDescent="0.25">
      <c r="A1309" t="s">
        <v>1558</v>
      </c>
      <c r="B1309" t="s">
        <v>131</v>
      </c>
      <c r="C1309" t="s">
        <v>132</v>
      </c>
      <c r="D1309" t="str">
        <f>HYPERLINK("http://service.sap.com/sap/support/notes/1790937","1790937")</f>
        <v>1790937</v>
      </c>
      <c r="E1309">
        <v>3</v>
      </c>
      <c r="F1309" t="s">
        <v>1657</v>
      </c>
    </row>
    <row r="1310" spans="1:6" x14ac:dyDescent="0.25">
      <c r="A1310" t="s">
        <v>1558</v>
      </c>
      <c r="B1310" t="s">
        <v>131</v>
      </c>
      <c r="C1310" t="s">
        <v>132</v>
      </c>
      <c r="D1310" t="str">
        <f>HYPERLINK("http://service.sap.com/sap/support/notes/1792470","1792470")</f>
        <v>1792470</v>
      </c>
      <c r="E1310">
        <v>11</v>
      </c>
      <c r="F1310" t="s">
        <v>1658</v>
      </c>
    </row>
    <row r="1311" spans="1:6" x14ac:dyDescent="0.25">
      <c r="A1311" t="s">
        <v>1558</v>
      </c>
      <c r="B1311" t="s">
        <v>131</v>
      </c>
      <c r="C1311" t="s">
        <v>132</v>
      </c>
      <c r="D1311" t="str">
        <f>HYPERLINK("http://service.sap.com/sap/support/notes/1792927","1792927")</f>
        <v>1792927</v>
      </c>
      <c r="E1311">
        <v>1</v>
      </c>
      <c r="F1311" t="s">
        <v>1659</v>
      </c>
    </row>
    <row r="1312" spans="1:6" x14ac:dyDescent="0.25">
      <c r="A1312" t="s">
        <v>1558</v>
      </c>
      <c r="B1312" t="s">
        <v>131</v>
      </c>
      <c r="C1312" t="s">
        <v>132</v>
      </c>
      <c r="D1312" t="str">
        <f>HYPERLINK("http://service.sap.com/sap/support/notes/1793324","1793324")</f>
        <v>1793324</v>
      </c>
      <c r="E1312">
        <v>2</v>
      </c>
      <c r="F1312" t="s">
        <v>1660</v>
      </c>
    </row>
    <row r="1313" spans="1:6" x14ac:dyDescent="0.25">
      <c r="A1313" t="s">
        <v>1558</v>
      </c>
      <c r="B1313" t="s">
        <v>131</v>
      </c>
      <c r="C1313" t="s">
        <v>132</v>
      </c>
      <c r="D1313" t="str">
        <f>HYPERLINK("http://service.sap.com/sap/support/notes/1793473","1793473")</f>
        <v>1793473</v>
      </c>
      <c r="E1313">
        <v>1</v>
      </c>
      <c r="F1313" t="s">
        <v>1661</v>
      </c>
    </row>
    <row r="1314" spans="1:6" x14ac:dyDescent="0.25">
      <c r="A1314" t="s">
        <v>1558</v>
      </c>
      <c r="B1314" t="s">
        <v>131</v>
      </c>
      <c r="C1314" t="s">
        <v>132</v>
      </c>
      <c r="D1314" t="str">
        <f>HYPERLINK("http://service.sap.com/sap/support/notes/1793821","1793821")</f>
        <v>1793821</v>
      </c>
      <c r="E1314">
        <v>3</v>
      </c>
      <c r="F1314" t="s">
        <v>1662</v>
      </c>
    </row>
    <row r="1315" spans="1:6" x14ac:dyDescent="0.25">
      <c r="A1315" t="s">
        <v>1558</v>
      </c>
      <c r="B1315" t="s">
        <v>131</v>
      </c>
      <c r="C1315" t="s">
        <v>132</v>
      </c>
      <c r="D1315" t="str">
        <f>HYPERLINK("http://service.sap.com/sap/support/notes/1794259","1794259")</f>
        <v>1794259</v>
      </c>
      <c r="E1315">
        <v>2</v>
      </c>
      <c r="F1315" t="s">
        <v>1663</v>
      </c>
    </row>
    <row r="1316" spans="1:6" x14ac:dyDescent="0.25">
      <c r="A1316" t="s">
        <v>1558</v>
      </c>
      <c r="B1316" t="s">
        <v>131</v>
      </c>
      <c r="C1316" t="s">
        <v>132</v>
      </c>
      <c r="D1316" t="str">
        <f>HYPERLINK("http://service.sap.com/sap/support/notes/1794862","1794862")</f>
        <v>1794862</v>
      </c>
      <c r="E1316">
        <v>5</v>
      </c>
      <c r="F1316" t="s">
        <v>1664</v>
      </c>
    </row>
    <row r="1317" spans="1:6" x14ac:dyDescent="0.25">
      <c r="A1317" t="s">
        <v>1558</v>
      </c>
      <c r="B1317" t="s">
        <v>131</v>
      </c>
      <c r="C1317" t="s">
        <v>132</v>
      </c>
      <c r="D1317" t="str">
        <f>HYPERLINK("http://service.sap.com/sap/support/notes/1795004","1795004")</f>
        <v>1795004</v>
      </c>
      <c r="E1317">
        <v>1</v>
      </c>
      <c r="F1317" t="s">
        <v>1665</v>
      </c>
    </row>
    <row r="1318" spans="1:6" x14ac:dyDescent="0.25">
      <c r="A1318" t="s">
        <v>1558</v>
      </c>
      <c r="B1318" t="s">
        <v>131</v>
      </c>
      <c r="C1318" t="s">
        <v>132</v>
      </c>
      <c r="D1318" t="str">
        <f>HYPERLINK("http://service.sap.com/sap/support/notes/1795889","1795889")</f>
        <v>1795889</v>
      </c>
      <c r="E1318">
        <v>6</v>
      </c>
      <c r="F1318" t="s">
        <v>1666</v>
      </c>
    </row>
    <row r="1319" spans="1:6" x14ac:dyDescent="0.25">
      <c r="A1319" t="s">
        <v>1558</v>
      </c>
      <c r="B1319" t="s">
        <v>131</v>
      </c>
      <c r="C1319" t="s">
        <v>132</v>
      </c>
      <c r="D1319" t="str">
        <f>HYPERLINK("http://service.sap.com/sap/support/notes/1795917","1795917")</f>
        <v>1795917</v>
      </c>
      <c r="E1319">
        <v>1</v>
      </c>
      <c r="F1319" t="s">
        <v>1667</v>
      </c>
    </row>
    <row r="1320" spans="1:6" x14ac:dyDescent="0.25">
      <c r="A1320" t="s">
        <v>1558</v>
      </c>
      <c r="B1320" t="s">
        <v>131</v>
      </c>
      <c r="C1320" t="s">
        <v>132</v>
      </c>
      <c r="D1320" t="str">
        <f>HYPERLINK("http://service.sap.com/sap/support/notes/1798400","1798400")</f>
        <v>1798400</v>
      </c>
      <c r="E1320">
        <v>1</v>
      </c>
      <c r="F1320" t="s">
        <v>1668</v>
      </c>
    </row>
    <row r="1321" spans="1:6" x14ac:dyDescent="0.25">
      <c r="A1321" t="s">
        <v>1558</v>
      </c>
      <c r="B1321" t="s">
        <v>131</v>
      </c>
      <c r="C1321" t="s">
        <v>132</v>
      </c>
      <c r="D1321" t="str">
        <f>HYPERLINK("http://service.sap.com/sap/support/notes/1798455","1798455")</f>
        <v>1798455</v>
      </c>
      <c r="E1321">
        <v>1</v>
      </c>
      <c r="F1321" t="s">
        <v>663</v>
      </c>
    </row>
    <row r="1322" spans="1:6" x14ac:dyDescent="0.25">
      <c r="A1322" t="s">
        <v>1558</v>
      </c>
      <c r="B1322" t="s">
        <v>131</v>
      </c>
      <c r="C1322" t="s">
        <v>132</v>
      </c>
      <c r="D1322" t="str">
        <f>HYPERLINK("http://service.sap.com/sap/support/notes/1798595","1798595")</f>
        <v>1798595</v>
      </c>
      <c r="E1322">
        <v>5</v>
      </c>
      <c r="F1322" t="s">
        <v>1669</v>
      </c>
    </row>
    <row r="1323" spans="1:6" x14ac:dyDescent="0.25">
      <c r="A1323" t="s">
        <v>1558</v>
      </c>
      <c r="B1323" t="s">
        <v>131</v>
      </c>
      <c r="C1323" t="s">
        <v>132</v>
      </c>
      <c r="D1323" t="str">
        <f>HYPERLINK("http://service.sap.com/sap/support/notes/1798601","1798601")</f>
        <v>1798601</v>
      </c>
      <c r="E1323">
        <v>2</v>
      </c>
      <c r="F1323" t="s">
        <v>1670</v>
      </c>
    </row>
    <row r="1324" spans="1:6" x14ac:dyDescent="0.25">
      <c r="A1324" t="s">
        <v>1558</v>
      </c>
      <c r="B1324" t="s">
        <v>131</v>
      </c>
      <c r="C1324" t="s">
        <v>132</v>
      </c>
      <c r="D1324" t="str">
        <f>HYPERLINK("http://service.sap.com/sap/support/notes/1799510","1799510")</f>
        <v>1799510</v>
      </c>
      <c r="E1324">
        <v>1</v>
      </c>
      <c r="F1324" t="s">
        <v>1671</v>
      </c>
    </row>
    <row r="1325" spans="1:6" x14ac:dyDescent="0.25">
      <c r="A1325" t="s">
        <v>1558</v>
      </c>
      <c r="B1325" t="s">
        <v>131</v>
      </c>
      <c r="C1325" t="s">
        <v>132</v>
      </c>
      <c r="D1325" t="str">
        <f>HYPERLINK("http://service.sap.com/sap/support/notes/1799871","1799871")</f>
        <v>1799871</v>
      </c>
      <c r="E1325">
        <v>2</v>
      </c>
      <c r="F1325" t="s">
        <v>1672</v>
      </c>
    </row>
    <row r="1326" spans="1:6" x14ac:dyDescent="0.25">
      <c r="A1326" t="s">
        <v>1558</v>
      </c>
      <c r="B1326" t="s">
        <v>131</v>
      </c>
      <c r="C1326" t="s">
        <v>132</v>
      </c>
      <c r="D1326" t="str">
        <f>HYPERLINK("http://service.sap.com/sap/support/notes/1800096","1800096")</f>
        <v>1800096</v>
      </c>
      <c r="E1326">
        <v>3</v>
      </c>
      <c r="F1326" t="s">
        <v>1673</v>
      </c>
    </row>
    <row r="1327" spans="1:6" x14ac:dyDescent="0.25">
      <c r="A1327" t="s">
        <v>1558</v>
      </c>
      <c r="B1327" t="s">
        <v>131</v>
      </c>
      <c r="C1327" t="s">
        <v>132</v>
      </c>
      <c r="D1327" t="str">
        <f>HYPERLINK("http://service.sap.com/sap/support/notes/1801379","1801379")</f>
        <v>1801379</v>
      </c>
      <c r="E1327">
        <v>4</v>
      </c>
      <c r="F1327" t="s">
        <v>1674</v>
      </c>
    </row>
    <row r="1328" spans="1:6" x14ac:dyDescent="0.25">
      <c r="A1328" t="s">
        <v>1558</v>
      </c>
      <c r="B1328" t="s">
        <v>131</v>
      </c>
      <c r="C1328" t="s">
        <v>132</v>
      </c>
      <c r="D1328" t="str">
        <f>HYPERLINK("http://service.sap.com/sap/support/notes/1802362","1802362")</f>
        <v>1802362</v>
      </c>
      <c r="E1328">
        <v>3</v>
      </c>
      <c r="F1328" t="s">
        <v>1675</v>
      </c>
    </row>
    <row r="1329" spans="1:6" x14ac:dyDescent="0.25">
      <c r="A1329" t="s">
        <v>1558</v>
      </c>
      <c r="B1329" t="s">
        <v>131</v>
      </c>
      <c r="C1329" t="s">
        <v>132</v>
      </c>
      <c r="D1329" t="str">
        <f>HYPERLINK("http://service.sap.com/sap/support/notes/1803542","1803542")</f>
        <v>1803542</v>
      </c>
      <c r="E1329">
        <v>1</v>
      </c>
      <c r="F1329" t="s">
        <v>1676</v>
      </c>
    </row>
    <row r="1330" spans="1:6" x14ac:dyDescent="0.25">
      <c r="A1330" t="s">
        <v>1558</v>
      </c>
      <c r="B1330" t="s">
        <v>131</v>
      </c>
      <c r="C1330" t="s">
        <v>132</v>
      </c>
      <c r="D1330" t="str">
        <f>HYPERLINK("http://service.sap.com/sap/support/notes/1804173","1804173")</f>
        <v>1804173</v>
      </c>
      <c r="E1330">
        <v>1</v>
      </c>
      <c r="F1330" t="s">
        <v>1677</v>
      </c>
    </row>
    <row r="1331" spans="1:6" x14ac:dyDescent="0.25">
      <c r="A1331" t="s">
        <v>1558</v>
      </c>
      <c r="B1331" t="s">
        <v>131</v>
      </c>
      <c r="C1331" t="s">
        <v>132</v>
      </c>
      <c r="D1331" t="str">
        <f>HYPERLINK("http://service.sap.com/sap/support/notes/1804395","1804395")</f>
        <v>1804395</v>
      </c>
      <c r="E1331">
        <v>1</v>
      </c>
      <c r="F1331" t="s">
        <v>1678</v>
      </c>
    </row>
    <row r="1332" spans="1:6" x14ac:dyDescent="0.25">
      <c r="A1332" t="s">
        <v>1558</v>
      </c>
      <c r="B1332" t="s">
        <v>131</v>
      </c>
      <c r="C1332" t="s">
        <v>132</v>
      </c>
      <c r="D1332" t="str">
        <f>HYPERLINK("http://service.sap.com/sap/support/notes/1804396","1804396")</f>
        <v>1804396</v>
      </c>
      <c r="E1332">
        <v>1</v>
      </c>
      <c r="F1332" t="s">
        <v>1679</v>
      </c>
    </row>
    <row r="1333" spans="1:6" x14ac:dyDescent="0.25">
      <c r="A1333" t="s">
        <v>1558</v>
      </c>
      <c r="B1333" t="s">
        <v>144</v>
      </c>
      <c r="C1333" t="s">
        <v>145</v>
      </c>
      <c r="D1333" t="str">
        <f>HYPERLINK("http://service.sap.com/sap/support/notes/1794985","1794985")</f>
        <v>1794985</v>
      </c>
      <c r="E1333">
        <v>2</v>
      </c>
      <c r="F1333" t="s">
        <v>1680</v>
      </c>
    </row>
    <row r="1334" spans="1:6" x14ac:dyDescent="0.25">
      <c r="A1334" t="s">
        <v>1558</v>
      </c>
      <c r="B1334" t="s">
        <v>144</v>
      </c>
      <c r="C1334" t="s">
        <v>145</v>
      </c>
      <c r="D1334" t="str">
        <f>HYPERLINK("http://service.sap.com/sap/support/notes/1801338","1801338")</f>
        <v>1801338</v>
      </c>
      <c r="E1334">
        <v>2</v>
      </c>
      <c r="F1334" t="s">
        <v>1681</v>
      </c>
    </row>
    <row r="1335" spans="1:6" x14ac:dyDescent="0.25">
      <c r="A1335" t="s">
        <v>1558</v>
      </c>
      <c r="B1335" t="s">
        <v>150</v>
      </c>
      <c r="C1335" t="s">
        <v>151</v>
      </c>
      <c r="D1335" t="str">
        <f>HYPERLINK("http://service.sap.com/sap/support/notes/1799040","1799040")</f>
        <v>1799040</v>
      </c>
      <c r="E1335">
        <v>4</v>
      </c>
      <c r="F1335" t="s">
        <v>1682</v>
      </c>
    </row>
    <row r="1336" spans="1:6" x14ac:dyDescent="0.25">
      <c r="A1336" t="s">
        <v>1558</v>
      </c>
      <c r="B1336" t="s">
        <v>150</v>
      </c>
      <c r="C1336" t="s">
        <v>151</v>
      </c>
      <c r="D1336" t="str">
        <f>HYPERLINK("http://service.sap.com/sap/support/notes/1802607","1802607")</f>
        <v>1802607</v>
      </c>
      <c r="E1336">
        <v>2</v>
      </c>
      <c r="F1336" t="s">
        <v>1683</v>
      </c>
    </row>
    <row r="1337" spans="1:6" x14ac:dyDescent="0.25">
      <c r="A1337" t="s">
        <v>1558</v>
      </c>
      <c r="B1337" t="s">
        <v>150</v>
      </c>
      <c r="C1337" t="s">
        <v>151</v>
      </c>
      <c r="D1337" t="str">
        <f>HYPERLINK("http://service.sap.com/sap/support/notes/1804215","1804215")</f>
        <v>1804215</v>
      </c>
      <c r="E1337">
        <v>1</v>
      </c>
      <c r="F1337" t="s">
        <v>1684</v>
      </c>
    </row>
    <row r="1338" spans="1:6" x14ac:dyDescent="0.25">
      <c r="A1338" t="s">
        <v>1558</v>
      </c>
      <c r="B1338" t="s">
        <v>155</v>
      </c>
      <c r="C1338" t="s">
        <v>156</v>
      </c>
      <c r="D1338" t="str">
        <f>HYPERLINK("http://service.sap.com/sap/support/notes/1776599","1776599")</f>
        <v>1776599</v>
      </c>
      <c r="E1338">
        <v>5</v>
      </c>
      <c r="F1338" t="s">
        <v>1685</v>
      </c>
    </row>
    <row r="1339" spans="1:6" x14ac:dyDescent="0.25">
      <c r="A1339" t="s">
        <v>1558</v>
      </c>
      <c r="B1339" t="s">
        <v>155</v>
      </c>
      <c r="C1339" t="s">
        <v>156</v>
      </c>
      <c r="D1339" t="str">
        <f>HYPERLINK("http://service.sap.com/sap/support/notes/1803745","1803745")</f>
        <v>1803745</v>
      </c>
      <c r="E1339">
        <v>2</v>
      </c>
      <c r="F1339" t="s">
        <v>1686</v>
      </c>
    </row>
    <row r="1340" spans="1:6" x14ac:dyDescent="0.25">
      <c r="A1340" t="s">
        <v>1558</v>
      </c>
      <c r="B1340" t="s">
        <v>155</v>
      </c>
      <c r="C1340" t="s">
        <v>156</v>
      </c>
      <c r="D1340" t="str">
        <f>HYPERLINK("http://service.sap.com/sap/support/notes/1809984","1809984")</f>
        <v>1809984</v>
      </c>
      <c r="E1340">
        <v>1</v>
      </c>
      <c r="F1340" t="s">
        <v>1687</v>
      </c>
    </row>
    <row r="1341" spans="1:6" x14ac:dyDescent="0.25">
      <c r="A1341" t="s">
        <v>1558</v>
      </c>
      <c r="B1341" t="s">
        <v>688</v>
      </c>
      <c r="C1341" t="s">
        <v>689</v>
      </c>
      <c r="D1341" t="str">
        <f>HYPERLINK("http://service.sap.com/sap/support/notes/1796113","1796113")</f>
        <v>1796113</v>
      </c>
      <c r="E1341">
        <v>4</v>
      </c>
      <c r="F1341" t="s">
        <v>1688</v>
      </c>
    </row>
    <row r="1342" spans="1:6" x14ac:dyDescent="0.25">
      <c r="A1342" t="s">
        <v>1558</v>
      </c>
      <c r="B1342" t="s">
        <v>159</v>
      </c>
      <c r="C1342" t="s">
        <v>160</v>
      </c>
      <c r="D1342" t="str">
        <f>HYPERLINK("http://service.sap.com/sap/support/notes/1791897","1791897")</f>
        <v>1791897</v>
      </c>
      <c r="E1342">
        <v>1</v>
      </c>
      <c r="F1342" t="s">
        <v>1689</v>
      </c>
    </row>
    <row r="1343" spans="1:6" x14ac:dyDescent="0.25">
      <c r="A1343" t="s">
        <v>1558</v>
      </c>
      <c r="B1343" t="s">
        <v>159</v>
      </c>
      <c r="C1343" t="s">
        <v>160</v>
      </c>
      <c r="D1343" t="str">
        <f>HYPERLINK("http://service.sap.com/sap/support/notes/1800542","1800542")</f>
        <v>1800542</v>
      </c>
      <c r="E1343">
        <v>1</v>
      </c>
      <c r="F1343" t="s">
        <v>1690</v>
      </c>
    </row>
    <row r="1344" spans="1:6" x14ac:dyDescent="0.25">
      <c r="A1344" t="s">
        <v>1558</v>
      </c>
      <c r="B1344" t="s">
        <v>159</v>
      </c>
      <c r="C1344" t="s">
        <v>160</v>
      </c>
      <c r="D1344" t="str">
        <f>HYPERLINK("http://service.sap.com/sap/support/notes/1801200","1801200")</f>
        <v>1801200</v>
      </c>
      <c r="E1344">
        <v>1</v>
      </c>
      <c r="F1344" t="s">
        <v>1691</v>
      </c>
    </row>
    <row r="1345" spans="1:6" x14ac:dyDescent="0.25">
      <c r="A1345" t="s">
        <v>1558</v>
      </c>
      <c r="B1345" t="s">
        <v>159</v>
      </c>
      <c r="C1345" t="s">
        <v>160</v>
      </c>
      <c r="D1345" t="str">
        <f>HYPERLINK("http://service.sap.com/sap/support/notes/1801863","1801863")</f>
        <v>1801863</v>
      </c>
      <c r="E1345">
        <v>2</v>
      </c>
      <c r="F1345" t="s">
        <v>1692</v>
      </c>
    </row>
    <row r="1346" spans="1:6" x14ac:dyDescent="0.25">
      <c r="A1346" t="s">
        <v>1558</v>
      </c>
      <c r="B1346" t="s">
        <v>165</v>
      </c>
      <c r="C1346" t="s">
        <v>31</v>
      </c>
      <c r="D1346" t="str">
        <f>HYPERLINK("http://service.sap.com/sap/support/notes/1792275","1792275")</f>
        <v>1792275</v>
      </c>
      <c r="E1346">
        <v>2</v>
      </c>
      <c r="F1346" t="s">
        <v>1693</v>
      </c>
    </row>
    <row r="1347" spans="1:6" x14ac:dyDescent="0.25">
      <c r="A1347" t="s">
        <v>1558</v>
      </c>
      <c r="B1347" t="s">
        <v>165</v>
      </c>
      <c r="C1347" t="s">
        <v>31</v>
      </c>
      <c r="D1347" t="str">
        <f>HYPERLINK("http://service.sap.com/sap/support/notes/1793437","1793437")</f>
        <v>1793437</v>
      </c>
      <c r="E1347">
        <v>4</v>
      </c>
      <c r="F1347" t="s">
        <v>1694</v>
      </c>
    </row>
    <row r="1348" spans="1:6" x14ac:dyDescent="0.25">
      <c r="A1348" t="s">
        <v>1558</v>
      </c>
      <c r="B1348" t="s">
        <v>165</v>
      </c>
      <c r="C1348" t="s">
        <v>31</v>
      </c>
      <c r="D1348" t="str">
        <f>HYPERLINK("http://service.sap.com/sap/support/notes/1793517","1793517")</f>
        <v>1793517</v>
      </c>
      <c r="E1348">
        <v>3</v>
      </c>
      <c r="F1348" t="s">
        <v>1695</v>
      </c>
    </row>
    <row r="1349" spans="1:6" x14ac:dyDescent="0.25">
      <c r="A1349" t="s">
        <v>1558</v>
      </c>
      <c r="B1349" t="s">
        <v>165</v>
      </c>
      <c r="C1349" t="s">
        <v>31</v>
      </c>
      <c r="D1349" t="str">
        <f>HYPERLINK("http://service.sap.com/sap/support/notes/1793545","1793545")</f>
        <v>1793545</v>
      </c>
      <c r="E1349">
        <v>2</v>
      </c>
      <c r="F1349" t="s">
        <v>1696</v>
      </c>
    </row>
    <row r="1350" spans="1:6" x14ac:dyDescent="0.25">
      <c r="A1350" t="s">
        <v>1558</v>
      </c>
      <c r="B1350" t="s">
        <v>165</v>
      </c>
      <c r="C1350" t="s">
        <v>31</v>
      </c>
      <c r="D1350" t="str">
        <f>HYPERLINK("http://service.sap.com/sap/support/notes/1794652","1794652")</f>
        <v>1794652</v>
      </c>
      <c r="E1350">
        <v>1</v>
      </c>
      <c r="F1350" t="s">
        <v>1697</v>
      </c>
    </row>
    <row r="1351" spans="1:6" x14ac:dyDescent="0.25">
      <c r="A1351" t="s">
        <v>1558</v>
      </c>
      <c r="B1351" t="s">
        <v>169</v>
      </c>
      <c r="C1351" t="s">
        <v>34</v>
      </c>
      <c r="D1351" t="str">
        <f>HYPERLINK("http://service.sap.com/sap/support/notes/1791766","1791766")</f>
        <v>1791766</v>
      </c>
      <c r="E1351">
        <v>1</v>
      </c>
      <c r="F1351" t="s">
        <v>1698</v>
      </c>
    </row>
    <row r="1352" spans="1:6" x14ac:dyDescent="0.25">
      <c r="A1352" t="s">
        <v>1558</v>
      </c>
      <c r="B1352" t="s">
        <v>169</v>
      </c>
      <c r="C1352" t="s">
        <v>34</v>
      </c>
      <c r="D1352" t="str">
        <f>HYPERLINK("http://service.sap.com/sap/support/notes/1793615","1793615")</f>
        <v>1793615</v>
      </c>
      <c r="E1352">
        <v>1</v>
      </c>
      <c r="F1352" t="s">
        <v>1699</v>
      </c>
    </row>
    <row r="1353" spans="1:6" x14ac:dyDescent="0.25">
      <c r="A1353" t="s">
        <v>1558</v>
      </c>
      <c r="B1353" t="s">
        <v>169</v>
      </c>
      <c r="C1353" t="s">
        <v>34</v>
      </c>
      <c r="D1353" t="str">
        <f>HYPERLINK("http://service.sap.com/sap/support/notes/1793705","1793705")</f>
        <v>1793705</v>
      </c>
      <c r="E1353">
        <v>1</v>
      </c>
      <c r="F1353" t="s">
        <v>1700</v>
      </c>
    </row>
    <row r="1354" spans="1:6" x14ac:dyDescent="0.25">
      <c r="A1354" t="s">
        <v>1558</v>
      </c>
      <c r="B1354" t="s">
        <v>169</v>
      </c>
      <c r="C1354" t="s">
        <v>34</v>
      </c>
      <c r="D1354" t="str">
        <f>HYPERLINK("http://service.sap.com/sap/support/notes/1795420","1795420")</f>
        <v>1795420</v>
      </c>
      <c r="E1354">
        <v>1</v>
      </c>
      <c r="F1354" t="s">
        <v>1701</v>
      </c>
    </row>
    <row r="1355" spans="1:6" x14ac:dyDescent="0.25">
      <c r="A1355" t="s">
        <v>1558</v>
      </c>
      <c r="B1355" t="s">
        <v>169</v>
      </c>
      <c r="C1355" t="s">
        <v>34</v>
      </c>
      <c r="D1355" t="str">
        <f>HYPERLINK("http://service.sap.com/sap/support/notes/1796073","1796073")</f>
        <v>1796073</v>
      </c>
      <c r="E1355">
        <v>1</v>
      </c>
      <c r="F1355" t="s">
        <v>1702</v>
      </c>
    </row>
    <row r="1356" spans="1:6" x14ac:dyDescent="0.25">
      <c r="A1356" t="s">
        <v>1558</v>
      </c>
      <c r="B1356" t="s">
        <v>169</v>
      </c>
      <c r="C1356" t="s">
        <v>34</v>
      </c>
      <c r="D1356" t="str">
        <f>HYPERLINK("http://service.sap.com/sap/support/notes/1801524","1801524")</f>
        <v>1801524</v>
      </c>
      <c r="E1356">
        <v>1</v>
      </c>
      <c r="F1356" t="s">
        <v>1703</v>
      </c>
    </row>
    <row r="1357" spans="1:6" x14ac:dyDescent="0.25">
      <c r="A1357" t="s">
        <v>1558</v>
      </c>
      <c r="B1357" t="s">
        <v>175</v>
      </c>
      <c r="C1357" t="s">
        <v>176</v>
      </c>
      <c r="D1357" t="str">
        <f>HYPERLINK("http://service.sap.com/sap/support/notes/1791206","1791206")</f>
        <v>1791206</v>
      </c>
      <c r="E1357">
        <v>1</v>
      </c>
      <c r="F1357" t="s">
        <v>1704</v>
      </c>
    </row>
    <row r="1358" spans="1:6" x14ac:dyDescent="0.25">
      <c r="A1358" t="s">
        <v>1558</v>
      </c>
      <c r="B1358" t="s">
        <v>175</v>
      </c>
      <c r="C1358" t="s">
        <v>176</v>
      </c>
      <c r="D1358" t="str">
        <f>HYPERLINK("http://service.sap.com/sap/support/notes/1794490","1794490")</f>
        <v>1794490</v>
      </c>
      <c r="E1358">
        <v>1</v>
      </c>
      <c r="F1358" t="s">
        <v>1705</v>
      </c>
    </row>
    <row r="1359" spans="1:6" x14ac:dyDescent="0.25">
      <c r="A1359" t="s">
        <v>1558</v>
      </c>
      <c r="B1359" t="s">
        <v>175</v>
      </c>
      <c r="C1359" t="s">
        <v>176</v>
      </c>
      <c r="D1359" t="str">
        <f>HYPERLINK("http://service.sap.com/sap/support/notes/1802143","1802143")</f>
        <v>1802143</v>
      </c>
      <c r="E1359">
        <v>3</v>
      </c>
      <c r="F1359" t="s">
        <v>1706</v>
      </c>
    </row>
    <row r="1360" spans="1:6" x14ac:dyDescent="0.25">
      <c r="A1360" t="s">
        <v>1558</v>
      </c>
      <c r="B1360" t="s">
        <v>177</v>
      </c>
      <c r="C1360" t="s">
        <v>178</v>
      </c>
      <c r="D1360" t="str">
        <f>HYPERLINK("http://service.sap.com/sap/support/notes/1797008","1797008")</f>
        <v>1797008</v>
      </c>
      <c r="E1360">
        <v>4</v>
      </c>
      <c r="F1360" t="s">
        <v>1707</v>
      </c>
    </row>
    <row r="1361" spans="1:6" x14ac:dyDescent="0.25">
      <c r="A1361" t="s">
        <v>1558</v>
      </c>
      <c r="B1361" t="s">
        <v>177</v>
      </c>
      <c r="C1361" t="s">
        <v>178</v>
      </c>
      <c r="D1361" t="str">
        <f>HYPERLINK("http://service.sap.com/sap/support/notes/1800938","1800938")</f>
        <v>1800938</v>
      </c>
      <c r="E1361">
        <v>5</v>
      </c>
      <c r="F1361" t="s">
        <v>1708</v>
      </c>
    </row>
    <row r="1362" spans="1:6" x14ac:dyDescent="0.25">
      <c r="A1362" t="s">
        <v>1558</v>
      </c>
      <c r="B1362" t="s">
        <v>180</v>
      </c>
      <c r="C1362" t="s">
        <v>181</v>
      </c>
      <c r="D1362" t="str">
        <f>HYPERLINK("http://service.sap.com/sap/support/notes/1791487","1791487")</f>
        <v>1791487</v>
      </c>
      <c r="E1362">
        <v>5</v>
      </c>
      <c r="F1362" t="s">
        <v>1709</v>
      </c>
    </row>
    <row r="1363" spans="1:6" x14ac:dyDescent="0.25">
      <c r="A1363" t="s">
        <v>1558</v>
      </c>
      <c r="B1363" t="s">
        <v>180</v>
      </c>
      <c r="C1363" t="s">
        <v>181</v>
      </c>
      <c r="D1363" t="str">
        <f>HYPERLINK("http://service.sap.com/sap/support/notes/1793352","1793352")</f>
        <v>1793352</v>
      </c>
      <c r="E1363">
        <v>1</v>
      </c>
      <c r="F1363" t="s">
        <v>1710</v>
      </c>
    </row>
    <row r="1364" spans="1:6" x14ac:dyDescent="0.25">
      <c r="A1364" t="s">
        <v>1558</v>
      </c>
      <c r="B1364" t="s">
        <v>180</v>
      </c>
      <c r="C1364" t="s">
        <v>181</v>
      </c>
      <c r="D1364" t="str">
        <f>HYPERLINK("http://service.sap.com/sap/support/notes/1796757","1796757")</f>
        <v>1796757</v>
      </c>
      <c r="E1364">
        <v>1</v>
      </c>
      <c r="F1364" t="s">
        <v>1711</v>
      </c>
    </row>
    <row r="1365" spans="1:6" x14ac:dyDescent="0.25">
      <c r="A1365" t="s">
        <v>1558</v>
      </c>
      <c r="B1365" t="s">
        <v>180</v>
      </c>
      <c r="C1365" t="s">
        <v>181</v>
      </c>
      <c r="D1365" t="str">
        <f>HYPERLINK("http://service.sap.com/sap/support/notes/1798057","1798057")</f>
        <v>1798057</v>
      </c>
      <c r="E1365">
        <v>1</v>
      </c>
      <c r="F1365" t="s">
        <v>1712</v>
      </c>
    </row>
    <row r="1366" spans="1:6" x14ac:dyDescent="0.25">
      <c r="A1366" t="s">
        <v>1558</v>
      </c>
      <c r="B1366" t="s">
        <v>183</v>
      </c>
      <c r="C1366" t="s">
        <v>184</v>
      </c>
    </row>
    <row r="1367" spans="1:6" x14ac:dyDescent="0.25">
      <c r="A1367" t="s">
        <v>1558</v>
      </c>
      <c r="B1367" t="s">
        <v>576</v>
      </c>
      <c r="C1367" t="s">
        <v>577</v>
      </c>
      <c r="D1367" t="str">
        <f>HYPERLINK("http://service.sap.com/sap/support/notes/1794533","1794533")</f>
        <v>1794533</v>
      </c>
      <c r="E1367">
        <v>1</v>
      </c>
      <c r="F1367" t="s">
        <v>1713</v>
      </c>
    </row>
    <row r="1368" spans="1:6" x14ac:dyDescent="0.25">
      <c r="A1368" t="s">
        <v>1558</v>
      </c>
      <c r="B1368" t="s">
        <v>1522</v>
      </c>
      <c r="C1368" t="s">
        <v>1523</v>
      </c>
      <c r="D1368" t="str">
        <f>HYPERLINK("http://service.sap.com/sap/support/notes/1794943","1794943")</f>
        <v>1794943</v>
      </c>
      <c r="E1368">
        <v>2</v>
      </c>
      <c r="F1368" t="s">
        <v>1714</v>
      </c>
    </row>
    <row r="1369" spans="1:6" x14ac:dyDescent="0.25">
      <c r="A1369" t="s">
        <v>1558</v>
      </c>
      <c r="B1369" t="s">
        <v>1522</v>
      </c>
      <c r="C1369" t="s">
        <v>1523</v>
      </c>
      <c r="D1369" t="str">
        <f>HYPERLINK("http://service.sap.com/sap/support/notes/1803139","1803139")</f>
        <v>1803139</v>
      </c>
      <c r="E1369">
        <v>2</v>
      </c>
      <c r="F1369" t="s">
        <v>1715</v>
      </c>
    </row>
    <row r="1370" spans="1:6" x14ac:dyDescent="0.25">
      <c r="A1370" t="s">
        <v>1558</v>
      </c>
      <c r="B1370" t="s">
        <v>185</v>
      </c>
      <c r="C1370" t="s">
        <v>186</v>
      </c>
      <c r="D1370" t="str">
        <f>HYPERLINK("http://service.sap.com/sap/support/notes/1792412","1792412")</f>
        <v>1792412</v>
      </c>
      <c r="E1370">
        <v>4</v>
      </c>
      <c r="F1370" t="s">
        <v>1716</v>
      </c>
    </row>
    <row r="1371" spans="1:6" x14ac:dyDescent="0.25">
      <c r="A1371" t="s">
        <v>1558</v>
      </c>
      <c r="B1371" t="s">
        <v>185</v>
      </c>
      <c r="C1371" t="s">
        <v>186</v>
      </c>
      <c r="D1371" t="str">
        <f>HYPERLINK("http://service.sap.com/sap/support/notes/1796903","1796903")</f>
        <v>1796903</v>
      </c>
      <c r="E1371">
        <v>2</v>
      </c>
      <c r="F1371" t="s">
        <v>1717</v>
      </c>
    </row>
    <row r="1372" spans="1:6" x14ac:dyDescent="0.25">
      <c r="A1372" t="s">
        <v>1558</v>
      </c>
      <c r="B1372" t="s">
        <v>185</v>
      </c>
      <c r="C1372" t="s">
        <v>186</v>
      </c>
      <c r="D1372" t="str">
        <f>HYPERLINK("http://service.sap.com/sap/support/notes/1796961","1796961")</f>
        <v>1796961</v>
      </c>
      <c r="E1372">
        <v>2</v>
      </c>
      <c r="F1372" t="s">
        <v>1718</v>
      </c>
    </row>
    <row r="1373" spans="1:6" x14ac:dyDescent="0.25">
      <c r="A1373" t="s">
        <v>1558</v>
      </c>
      <c r="B1373" t="s">
        <v>185</v>
      </c>
      <c r="C1373" t="s">
        <v>186</v>
      </c>
      <c r="D1373" t="str">
        <f>HYPERLINK("http://service.sap.com/sap/support/notes/1802367","1802367")</f>
        <v>1802367</v>
      </c>
      <c r="E1373">
        <v>1</v>
      </c>
      <c r="F1373" t="s">
        <v>1719</v>
      </c>
    </row>
    <row r="1374" spans="1:6" x14ac:dyDescent="0.25">
      <c r="A1374" t="s">
        <v>1558</v>
      </c>
      <c r="B1374" t="s">
        <v>195</v>
      </c>
      <c r="C1374" t="s">
        <v>196</v>
      </c>
    </row>
    <row r="1375" spans="1:6" x14ac:dyDescent="0.25">
      <c r="A1375" t="s">
        <v>1558</v>
      </c>
      <c r="B1375" t="s">
        <v>197</v>
      </c>
      <c r="C1375" t="s">
        <v>198</v>
      </c>
      <c r="D1375" t="str">
        <f>HYPERLINK("http://service.sap.com/sap/support/notes/1791052","1791052")</f>
        <v>1791052</v>
      </c>
      <c r="E1375">
        <v>1</v>
      </c>
      <c r="F1375" t="s">
        <v>1720</v>
      </c>
    </row>
    <row r="1376" spans="1:6" x14ac:dyDescent="0.25">
      <c r="A1376" t="s">
        <v>1558</v>
      </c>
      <c r="B1376" t="s">
        <v>197</v>
      </c>
      <c r="C1376" t="s">
        <v>198</v>
      </c>
      <c r="D1376" t="str">
        <f>HYPERLINK("http://service.sap.com/sap/support/notes/1802291","1802291")</f>
        <v>1802291</v>
      </c>
      <c r="E1376">
        <v>7</v>
      </c>
      <c r="F1376" t="s">
        <v>1721</v>
      </c>
    </row>
    <row r="1377" spans="1:6" x14ac:dyDescent="0.25">
      <c r="A1377" t="s">
        <v>1558</v>
      </c>
      <c r="B1377" t="s">
        <v>197</v>
      </c>
      <c r="C1377" t="s">
        <v>198</v>
      </c>
      <c r="D1377" t="str">
        <f>HYPERLINK("http://service.sap.com/sap/support/notes/1805567","1805567")</f>
        <v>1805567</v>
      </c>
      <c r="E1377">
        <v>1</v>
      </c>
      <c r="F1377" t="s">
        <v>1722</v>
      </c>
    </row>
    <row r="1378" spans="1:6" x14ac:dyDescent="0.25">
      <c r="A1378" t="s">
        <v>1558</v>
      </c>
      <c r="B1378" t="s">
        <v>197</v>
      </c>
      <c r="C1378" t="s">
        <v>198</v>
      </c>
      <c r="D1378" t="str">
        <f>HYPERLINK("http://service.sap.com/sap/support/notes/1805683","1805683")</f>
        <v>1805683</v>
      </c>
      <c r="E1378">
        <v>1</v>
      </c>
      <c r="F1378" t="s">
        <v>1723</v>
      </c>
    </row>
    <row r="1379" spans="1:6" x14ac:dyDescent="0.25">
      <c r="A1379" t="s">
        <v>1558</v>
      </c>
      <c r="B1379" t="s">
        <v>666</v>
      </c>
      <c r="C1379" t="s">
        <v>667</v>
      </c>
      <c r="D1379" t="str">
        <f>HYPERLINK("http://service.sap.com/sap/support/notes/1806076","1806076")</f>
        <v>1806076</v>
      </c>
      <c r="E1379">
        <v>1</v>
      </c>
      <c r="F1379" t="s">
        <v>1724</v>
      </c>
    </row>
    <row r="1380" spans="1:6" x14ac:dyDescent="0.25">
      <c r="A1380" t="s">
        <v>1558</v>
      </c>
      <c r="B1380" t="s">
        <v>580</v>
      </c>
      <c r="C1380" t="s">
        <v>714</v>
      </c>
      <c r="D1380" t="str">
        <f>HYPERLINK("http://service.sap.com/sap/support/notes/1802420","1802420")</f>
        <v>1802420</v>
      </c>
      <c r="E1380">
        <v>2</v>
      </c>
      <c r="F1380" t="s">
        <v>1725</v>
      </c>
    </row>
    <row r="1381" spans="1:6" x14ac:dyDescent="0.25">
      <c r="A1381" t="s">
        <v>1558</v>
      </c>
      <c r="B1381" t="s">
        <v>204</v>
      </c>
      <c r="C1381" t="s">
        <v>205</v>
      </c>
      <c r="D1381" t="str">
        <f>HYPERLINK("http://service.sap.com/sap/support/notes/1790819","1790819")</f>
        <v>1790819</v>
      </c>
      <c r="E1381">
        <v>1</v>
      </c>
      <c r="F1381" t="s">
        <v>1726</v>
      </c>
    </row>
    <row r="1382" spans="1:6" x14ac:dyDescent="0.25">
      <c r="A1382" t="s">
        <v>1558</v>
      </c>
      <c r="B1382" t="s">
        <v>204</v>
      </c>
      <c r="C1382" t="s">
        <v>205</v>
      </c>
      <c r="D1382" t="str">
        <f>HYPERLINK("http://service.sap.com/sap/support/notes/1804912","1804912")</f>
        <v>1804912</v>
      </c>
      <c r="E1382">
        <v>2</v>
      </c>
      <c r="F1382" t="s">
        <v>1727</v>
      </c>
    </row>
    <row r="1383" spans="1:6" x14ac:dyDescent="0.25">
      <c r="A1383" t="s">
        <v>1558</v>
      </c>
      <c r="B1383" t="s">
        <v>211</v>
      </c>
      <c r="C1383" t="s">
        <v>128</v>
      </c>
      <c r="D1383" t="str">
        <f>HYPERLINK("http://service.sap.com/sap/support/notes/1679455","1679455")</f>
        <v>1679455</v>
      </c>
      <c r="E1383">
        <v>1</v>
      </c>
      <c r="F1383" t="s">
        <v>1728</v>
      </c>
    </row>
    <row r="1384" spans="1:6" x14ac:dyDescent="0.25">
      <c r="A1384" t="s">
        <v>1558</v>
      </c>
      <c r="B1384" t="s">
        <v>211</v>
      </c>
      <c r="C1384" t="s">
        <v>128</v>
      </c>
      <c r="D1384" t="str">
        <f>HYPERLINK("http://service.sap.com/sap/support/notes/1783759","1783759")</f>
        <v>1783759</v>
      </c>
      <c r="E1384">
        <v>1</v>
      </c>
      <c r="F1384" t="s">
        <v>1729</v>
      </c>
    </row>
    <row r="1385" spans="1:6" x14ac:dyDescent="0.25">
      <c r="A1385" t="s">
        <v>1558</v>
      </c>
      <c r="B1385" t="s">
        <v>211</v>
      </c>
      <c r="C1385" t="s">
        <v>128</v>
      </c>
      <c r="D1385" t="str">
        <f>HYPERLINK("http://service.sap.com/sap/support/notes/1790629","1790629")</f>
        <v>1790629</v>
      </c>
      <c r="E1385">
        <v>1</v>
      </c>
      <c r="F1385" t="s">
        <v>1730</v>
      </c>
    </row>
    <row r="1386" spans="1:6" x14ac:dyDescent="0.25">
      <c r="A1386" t="s">
        <v>1558</v>
      </c>
      <c r="B1386" t="s">
        <v>211</v>
      </c>
      <c r="C1386" t="s">
        <v>128</v>
      </c>
      <c r="D1386" t="str">
        <f>HYPERLINK("http://service.sap.com/sap/support/notes/1790981","1790981")</f>
        <v>1790981</v>
      </c>
      <c r="E1386">
        <v>2</v>
      </c>
      <c r="F1386" t="s">
        <v>1731</v>
      </c>
    </row>
    <row r="1387" spans="1:6" x14ac:dyDescent="0.25">
      <c r="A1387" t="s">
        <v>1558</v>
      </c>
      <c r="B1387" t="s">
        <v>211</v>
      </c>
      <c r="C1387" t="s">
        <v>128</v>
      </c>
      <c r="D1387" t="str">
        <f>HYPERLINK("http://service.sap.com/sap/support/notes/1792876","1792876")</f>
        <v>1792876</v>
      </c>
      <c r="E1387">
        <v>1</v>
      </c>
      <c r="F1387" t="s">
        <v>1732</v>
      </c>
    </row>
    <row r="1388" spans="1:6" x14ac:dyDescent="0.25">
      <c r="A1388" t="s">
        <v>1558</v>
      </c>
      <c r="B1388" t="s">
        <v>211</v>
      </c>
      <c r="C1388" t="s">
        <v>128</v>
      </c>
      <c r="D1388" t="str">
        <f>HYPERLINK("http://service.sap.com/sap/support/notes/1794584","1794584")</f>
        <v>1794584</v>
      </c>
      <c r="E1388">
        <v>1</v>
      </c>
      <c r="F1388" t="s">
        <v>1733</v>
      </c>
    </row>
    <row r="1389" spans="1:6" x14ac:dyDescent="0.25">
      <c r="A1389" t="s">
        <v>1558</v>
      </c>
      <c r="B1389" t="s">
        <v>211</v>
      </c>
      <c r="C1389" t="s">
        <v>128</v>
      </c>
      <c r="D1389" t="str">
        <f>HYPERLINK("http://service.sap.com/sap/support/notes/1795787","1795787")</f>
        <v>1795787</v>
      </c>
      <c r="E1389">
        <v>2</v>
      </c>
      <c r="F1389" t="s">
        <v>1734</v>
      </c>
    </row>
    <row r="1390" spans="1:6" x14ac:dyDescent="0.25">
      <c r="A1390" t="s">
        <v>1558</v>
      </c>
      <c r="B1390" t="s">
        <v>211</v>
      </c>
      <c r="C1390" t="s">
        <v>128</v>
      </c>
      <c r="D1390" t="str">
        <f>HYPERLINK("http://service.sap.com/sap/support/notes/1796128","1796128")</f>
        <v>1796128</v>
      </c>
      <c r="E1390">
        <v>1</v>
      </c>
      <c r="F1390" t="s">
        <v>1735</v>
      </c>
    </row>
    <row r="1391" spans="1:6" x14ac:dyDescent="0.25">
      <c r="A1391" t="s">
        <v>1558</v>
      </c>
      <c r="B1391" t="s">
        <v>211</v>
      </c>
      <c r="C1391" t="s">
        <v>128</v>
      </c>
      <c r="D1391" t="str">
        <f>HYPERLINK("http://service.sap.com/sap/support/notes/1796410","1796410")</f>
        <v>1796410</v>
      </c>
      <c r="E1391">
        <v>1</v>
      </c>
      <c r="F1391" t="s">
        <v>1736</v>
      </c>
    </row>
    <row r="1392" spans="1:6" x14ac:dyDescent="0.25">
      <c r="A1392" t="s">
        <v>1558</v>
      </c>
      <c r="B1392" t="s">
        <v>211</v>
      </c>
      <c r="C1392" t="s">
        <v>128</v>
      </c>
      <c r="D1392" t="str">
        <f>HYPERLINK("http://service.sap.com/sap/support/notes/1801752","1801752")</f>
        <v>1801752</v>
      </c>
      <c r="E1392">
        <v>2</v>
      </c>
      <c r="F1392" t="s">
        <v>1737</v>
      </c>
    </row>
    <row r="1393" spans="1:6" x14ac:dyDescent="0.25">
      <c r="A1393" t="s">
        <v>1558</v>
      </c>
      <c r="B1393" t="s">
        <v>211</v>
      </c>
      <c r="C1393" t="s">
        <v>128</v>
      </c>
      <c r="D1393" t="str">
        <f>HYPERLINK("http://service.sap.com/sap/support/notes/1802376","1802376")</f>
        <v>1802376</v>
      </c>
      <c r="E1393">
        <v>1</v>
      </c>
      <c r="F1393" t="s">
        <v>1738</v>
      </c>
    </row>
    <row r="1394" spans="1:6" x14ac:dyDescent="0.25">
      <c r="A1394" t="s">
        <v>1558</v>
      </c>
      <c r="B1394" t="s">
        <v>211</v>
      </c>
      <c r="C1394" t="s">
        <v>128</v>
      </c>
      <c r="D1394" t="str">
        <f>HYPERLINK("http://service.sap.com/sap/support/notes/1803385","1803385")</f>
        <v>1803385</v>
      </c>
      <c r="E1394">
        <v>1</v>
      </c>
      <c r="F1394" t="s">
        <v>1739</v>
      </c>
    </row>
    <row r="1395" spans="1:6" x14ac:dyDescent="0.25">
      <c r="A1395" t="s">
        <v>1558</v>
      </c>
      <c r="B1395" t="s">
        <v>211</v>
      </c>
      <c r="C1395" t="s">
        <v>128</v>
      </c>
      <c r="D1395" t="str">
        <f>HYPERLINK("http://service.sap.com/sap/support/notes/1803875","1803875")</f>
        <v>1803875</v>
      </c>
      <c r="E1395">
        <v>1</v>
      </c>
      <c r="F1395" t="s">
        <v>1740</v>
      </c>
    </row>
    <row r="1396" spans="1:6" x14ac:dyDescent="0.25">
      <c r="A1396" t="s">
        <v>1558</v>
      </c>
      <c r="B1396" t="s">
        <v>211</v>
      </c>
      <c r="C1396" t="s">
        <v>128</v>
      </c>
      <c r="D1396" t="str">
        <f>HYPERLINK("http://service.sap.com/sap/support/notes/1805994","1805994")</f>
        <v>1805994</v>
      </c>
      <c r="E1396">
        <v>1</v>
      </c>
      <c r="F1396" t="s">
        <v>1741</v>
      </c>
    </row>
    <row r="1397" spans="1:6" x14ac:dyDescent="0.25">
      <c r="A1397" t="s">
        <v>1558</v>
      </c>
      <c r="B1397" t="s">
        <v>221</v>
      </c>
      <c r="C1397" t="s">
        <v>222</v>
      </c>
      <c r="D1397" t="str">
        <f>HYPERLINK("http://service.sap.com/sap/support/notes/1787049","1787049")</f>
        <v>1787049</v>
      </c>
      <c r="E1397">
        <v>1</v>
      </c>
      <c r="F1397" t="s">
        <v>1742</v>
      </c>
    </row>
    <row r="1398" spans="1:6" x14ac:dyDescent="0.25">
      <c r="A1398" t="s">
        <v>1558</v>
      </c>
      <c r="B1398" t="s">
        <v>221</v>
      </c>
      <c r="C1398" t="s">
        <v>222</v>
      </c>
      <c r="D1398" t="str">
        <f>HYPERLINK("http://service.sap.com/sap/support/notes/1800714","1800714")</f>
        <v>1800714</v>
      </c>
      <c r="E1398">
        <v>1</v>
      </c>
      <c r="F1398" t="s">
        <v>1743</v>
      </c>
    </row>
    <row r="1399" spans="1:6" x14ac:dyDescent="0.25">
      <c r="A1399" t="s">
        <v>1558</v>
      </c>
      <c r="B1399" t="s">
        <v>221</v>
      </c>
      <c r="C1399" t="s">
        <v>222</v>
      </c>
      <c r="D1399" t="str">
        <f>HYPERLINK("http://service.sap.com/sap/support/notes/1801818","1801818")</f>
        <v>1801818</v>
      </c>
      <c r="E1399">
        <v>1</v>
      </c>
      <c r="F1399" t="s">
        <v>1744</v>
      </c>
    </row>
    <row r="1400" spans="1:6" x14ac:dyDescent="0.25">
      <c r="A1400" t="s">
        <v>1558</v>
      </c>
      <c r="B1400" t="s">
        <v>221</v>
      </c>
      <c r="C1400" t="s">
        <v>222</v>
      </c>
      <c r="D1400" t="str">
        <f>HYPERLINK("http://service.sap.com/sap/support/notes/1802693","1802693")</f>
        <v>1802693</v>
      </c>
      <c r="E1400">
        <v>1</v>
      </c>
      <c r="F1400" t="s">
        <v>1745</v>
      </c>
    </row>
    <row r="1401" spans="1:6" x14ac:dyDescent="0.25">
      <c r="A1401" t="s">
        <v>1558</v>
      </c>
      <c r="B1401" t="s">
        <v>586</v>
      </c>
      <c r="C1401" t="s">
        <v>587</v>
      </c>
      <c r="D1401" t="str">
        <f>HYPERLINK("http://service.sap.com/sap/support/notes/1783451","1783451")</f>
        <v>1783451</v>
      </c>
      <c r="E1401">
        <v>3</v>
      </c>
      <c r="F1401" t="s">
        <v>1746</v>
      </c>
    </row>
    <row r="1402" spans="1:6" x14ac:dyDescent="0.25">
      <c r="A1402" t="s">
        <v>1558</v>
      </c>
      <c r="B1402" t="s">
        <v>586</v>
      </c>
      <c r="C1402" t="s">
        <v>587</v>
      </c>
      <c r="D1402" t="str">
        <f>HYPERLINK("http://service.sap.com/sap/support/notes/1796249","1796249")</f>
        <v>1796249</v>
      </c>
      <c r="E1402">
        <v>2</v>
      </c>
      <c r="F1402" t="s">
        <v>1747</v>
      </c>
    </row>
    <row r="1403" spans="1:6" x14ac:dyDescent="0.25">
      <c r="A1403" t="s">
        <v>1558</v>
      </c>
      <c r="B1403" t="s">
        <v>586</v>
      </c>
      <c r="C1403" t="s">
        <v>587</v>
      </c>
      <c r="D1403" t="str">
        <f>HYPERLINK("http://service.sap.com/sap/support/notes/1799781","1799781")</f>
        <v>1799781</v>
      </c>
      <c r="E1403">
        <v>2</v>
      </c>
      <c r="F1403" t="s">
        <v>1748</v>
      </c>
    </row>
    <row r="1404" spans="1:6" x14ac:dyDescent="0.25">
      <c r="A1404" t="s">
        <v>1558</v>
      </c>
      <c r="B1404" t="s">
        <v>1167</v>
      </c>
      <c r="C1404" t="s">
        <v>659</v>
      </c>
      <c r="D1404" t="str">
        <f>HYPERLINK("http://service.sap.com/sap/support/notes/1799543","1799543")</f>
        <v>1799543</v>
      </c>
      <c r="E1404">
        <v>1</v>
      </c>
      <c r="F1404" t="s">
        <v>1749</v>
      </c>
    </row>
    <row r="1405" spans="1:6" x14ac:dyDescent="0.25">
      <c r="A1405" t="s">
        <v>1558</v>
      </c>
      <c r="B1405" t="s">
        <v>229</v>
      </c>
      <c r="C1405" t="s">
        <v>230</v>
      </c>
      <c r="D1405" t="str">
        <f>HYPERLINK("http://service.sap.com/sap/support/notes/1712679","1712679")</f>
        <v>1712679</v>
      </c>
      <c r="E1405">
        <v>2</v>
      </c>
      <c r="F1405" t="s">
        <v>1750</v>
      </c>
    </row>
    <row r="1406" spans="1:6" x14ac:dyDescent="0.25">
      <c r="A1406" t="s">
        <v>1558</v>
      </c>
      <c r="B1406" t="s">
        <v>229</v>
      </c>
      <c r="C1406" t="s">
        <v>230</v>
      </c>
      <c r="D1406" t="str">
        <f>HYPERLINK("http://service.sap.com/sap/support/notes/1754324","1754324")</f>
        <v>1754324</v>
      </c>
      <c r="E1406">
        <v>20</v>
      </c>
      <c r="F1406" t="s">
        <v>1751</v>
      </c>
    </row>
    <row r="1407" spans="1:6" x14ac:dyDescent="0.25">
      <c r="A1407" t="s">
        <v>1558</v>
      </c>
      <c r="B1407" t="s">
        <v>229</v>
      </c>
      <c r="C1407" t="s">
        <v>230</v>
      </c>
      <c r="D1407" t="str">
        <f>HYPERLINK("http://service.sap.com/sap/support/notes/1759270","1759270")</f>
        <v>1759270</v>
      </c>
      <c r="E1407">
        <v>5</v>
      </c>
      <c r="F1407" t="s">
        <v>1752</v>
      </c>
    </row>
    <row r="1408" spans="1:6" x14ac:dyDescent="0.25">
      <c r="A1408" t="s">
        <v>1558</v>
      </c>
      <c r="B1408" t="s">
        <v>229</v>
      </c>
      <c r="C1408" t="s">
        <v>230</v>
      </c>
      <c r="D1408" t="str">
        <f>HYPERLINK("http://service.sap.com/sap/support/notes/1762993","1762993")</f>
        <v>1762993</v>
      </c>
      <c r="E1408">
        <v>12</v>
      </c>
      <c r="F1408" t="s">
        <v>1753</v>
      </c>
    </row>
    <row r="1409" spans="1:6" x14ac:dyDescent="0.25">
      <c r="A1409" t="s">
        <v>1558</v>
      </c>
      <c r="B1409" t="s">
        <v>229</v>
      </c>
      <c r="C1409" t="s">
        <v>230</v>
      </c>
      <c r="D1409" t="str">
        <f>HYPERLINK("http://service.sap.com/sap/support/notes/1773170","1773170")</f>
        <v>1773170</v>
      </c>
      <c r="E1409">
        <v>1</v>
      </c>
      <c r="F1409" t="s">
        <v>1184</v>
      </c>
    </row>
    <row r="1410" spans="1:6" x14ac:dyDescent="0.25">
      <c r="A1410" t="s">
        <v>1558</v>
      </c>
      <c r="B1410" t="s">
        <v>229</v>
      </c>
      <c r="C1410" t="s">
        <v>230</v>
      </c>
      <c r="D1410" t="str">
        <f>HYPERLINK("http://service.sap.com/sap/support/notes/1779830","1779830")</f>
        <v>1779830</v>
      </c>
      <c r="E1410">
        <v>3</v>
      </c>
      <c r="F1410" t="s">
        <v>1754</v>
      </c>
    </row>
    <row r="1411" spans="1:6" x14ac:dyDescent="0.25">
      <c r="A1411" t="s">
        <v>1558</v>
      </c>
      <c r="B1411" t="s">
        <v>229</v>
      </c>
      <c r="C1411" t="s">
        <v>230</v>
      </c>
      <c r="D1411" t="str">
        <f>HYPERLINK("http://service.sap.com/sap/support/notes/1782279","1782279")</f>
        <v>1782279</v>
      </c>
      <c r="E1411">
        <v>2</v>
      </c>
      <c r="F1411" t="s">
        <v>1755</v>
      </c>
    </row>
    <row r="1412" spans="1:6" x14ac:dyDescent="0.25">
      <c r="A1412" t="s">
        <v>1558</v>
      </c>
      <c r="B1412" t="s">
        <v>229</v>
      </c>
      <c r="C1412" t="s">
        <v>230</v>
      </c>
      <c r="D1412" t="str">
        <f>HYPERLINK("http://service.sap.com/sap/support/notes/1787471","1787471")</f>
        <v>1787471</v>
      </c>
      <c r="E1412">
        <v>5</v>
      </c>
      <c r="F1412" t="s">
        <v>1756</v>
      </c>
    </row>
    <row r="1413" spans="1:6" x14ac:dyDescent="0.25">
      <c r="A1413" t="s">
        <v>1558</v>
      </c>
      <c r="B1413" t="s">
        <v>229</v>
      </c>
      <c r="C1413" t="s">
        <v>230</v>
      </c>
      <c r="D1413" t="str">
        <f>HYPERLINK("http://service.sap.com/sap/support/notes/1791020","1791020")</f>
        <v>1791020</v>
      </c>
      <c r="E1413">
        <v>2</v>
      </c>
      <c r="F1413" t="s">
        <v>1757</v>
      </c>
    </row>
    <row r="1414" spans="1:6" x14ac:dyDescent="0.25">
      <c r="A1414" t="s">
        <v>1558</v>
      </c>
      <c r="B1414" t="s">
        <v>229</v>
      </c>
      <c r="C1414" t="s">
        <v>230</v>
      </c>
      <c r="D1414" t="str">
        <f>HYPERLINK("http://service.sap.com/sap/support/notes/1792255","1792255")</f>
        <v>1792255</v>
      </c>
      <c r="E1414">
        <v>3</v>
      </c>
      <c r="F1414" t="s">
        <v>1758</v>
      </c>
    </row>
    <row r="1415" spans="1:6" x14ac:dyDescent="0.25">
      <c r="A1415" t="s">
        <v>1558</v>
      </c>
      <c r="B1415" t="s">
        <v>229</v>
      </c>
      <c r="C1415" t="s">
        <v>230</v>
      </c>
      <c r="D1415" t="str">
        <f>HYPERLINK("http://service.sap.com/sap/support/notes/1793533","1793533")</f>
        <v>1793533</v>
      </c>
      <c r="E1415">
        <v>3</v>
      </c>
      <c r="F1415" t="s">
        <v>1759</v>
      </c>
    </row>
    <row r="1416" spans="1:6" x14ac:dyDescent="0.25">
      <c r="A1416" t="s">
        <v>1558</v>
      </c>
      <c r="B1416" t="s">
        <v>229</v>
      </c>
      <c r="C1416" t="s">
        <v>230</v>
      </c>
      <c r="D1416" t="str">
        <f>HYPERLINK("http://service.sap.com/sap/support/notes/1794648","1794648")</f>
        <v>1794648</v>
      </c>
      <c r="E1416">
        <v>2</v>
      </c>
      <c r="F1416" t="s">
        <v>1760</v>
      </c>
    </row>
    <row r="1417" spans="1:6" x14ac:dyDescent="0.25">
      <c r="A1417" t="s">
        <v>1558</v>
      </c>
      <c r="B1417" t="s">
        <v>229</v>
      </c>
      <c r="C1417" t="s">
        <v>230</v>
      </c>
      <c r="D1417" t="str">
        <f>HYPERLINK("http://service.sap.com/sap/support/notes/1795959","1795959")</f>
        <v>1795959</v>
      </c>
      <c r="E1417">
        <v>4</v>
      </c>
      <c r="F1417" t="s">
        <v>1761</v>
      </c>
    </row>
    <row r="1418" spans="1:6" x14ac:dyDescent="0.25">
      <c r="A1418" t="s">
        <v>1558</v>
      </c>
      <c r="B1418" t="s">
        <v>229</v>
      </c>
      <c r="C1418" t="s">
        <v>230</v>
      </c>
      <c r="D1418" t="str">
        <f>HYPERLINK("http://service.sap.com/sap/support/notes/1797217","1797217")</f>
        <v>1797217</v>
      </c>
      <c r="E1418">
        <v>2</v>
      </c>
      <c r="F1418" t="s">
        <v>1762</v>
      </c>
    </row>
    <row r="1419" spans="1:6" x14ac:dyDescent="0.25">
      <c r="A1419" t="s">
        <v>1558</v>
      </c>
      <c r="B1419" t="s">
        <v>229</v>
      </c>
      <c r="C1419" t="s">
        <v>230</v>
      </c>
      <c r="D1419" t="str">
        <f>HYPERLINK("http://service.sap.com/sap/support/notes/1797555","1797555")</f>
        <v>1797555</v>
      </c>
      <c r="E1419">
        <v>2</v>
      </c>
      <c r="F1419" t="s">
        <v>1763</v>
      </c>
    </row>
    <row r="1420" spans="1:6" x14ac:dyDescent="0.25">
      <c r="A1420" t="s">
        <v>1558</v>
      </c>
      <c r="B1420" t="s">
        <v>229</v>
      </c>
      <c r="C1420" t="s">
        <v>230</v>
      </c>
      <c r="D1420" t="str">
        <f>HYPERLINK("http://service.sap.com/sap/support/notes/1798303","1798303")</f>
        <v>1798303</v>
      </c>
      <c r="E1420">
        <v>1</v>
      </c>
      <c r="F1420" t="s">
        <v>1764</v>
      </c>
    </row>
    <row r="1421" spans="1:6" x14ac:dyDescent="0.25">
      <c r="A1421" t="s">
        <v>1558</v>
      </c>
      <c r="B1421" t="s">
        <v>229</v>
      </c>
      <c r="C1421" t="s">
        <v>230</v>
      </c>
      <c r="D1421" t="str">
        <f>HYPERLINK("http://service.sap.com/sap/support/notes/1799584","1799584")</f>
        <v>1799584</v>
      </c>
      <c r="E1421">
        <v>4</v>
      </c>
      <c r="F1421" t="s">
        <v>1765</v>
      </c>
    </row>
    <row r="1422" spans="1:6" x14ac:dyDescent="0.25">
      <c r="A1422" t="s">
        <v>1558</v>
      </c>
      <c r="B1422" t="s">
        <v>229</v>
      </c>
      <c r="C1422" t="s">
        <v>230</v>
      </c>
      <c r="D1422" t="str">
        <f>HYPERLINK("http://service.sap.com/sap/support/notes/1801892","1801892")</f>
        <v>1801892</v>
      </c>
      <c r="E1422">
        <v>2</v>
      </c>
      <c r="F1422" t="s">
        <v>1766</v>
      </c>
    </row>
    <row r="1423" spans="1:6" x14ac:dyDescent="0.25">
      <c r="A1423" t="s">
        <v>1558</v>
      </c>
      <c r="B1423" t="s">
        <v>229</v>
      </c>
      <c r="C1423" t="s">
        <v>230</v>
      </c>
      <c r="D1423" t="str">
        <f>HYPERLINK("http://service.sap.com/sap/support/notes/1803633","1803633")</f>
        <v>1803633</v>
      </c>
      <c r="E1423">
        <v>3</v>
      </c>
      <c r="F1423" t="s">
        <v>1767</v>
      </c>
    </row>
    <row r="1424" spans="1:6" x14ac:dyDescent="0.25">
      <c r="A1424" t="s">
        <v>1558</v>
      </c>
      <c r="B1424" t="s">
        <v>229</v>
      </c>
      <c r="C1424" t="s">
        <v>230</v>
      </c>
      <c r="D1424" t="str">
        <f>HYPERLINK("http://service.sap.com/sap/support/notes/1803961","1803961")</f>
        <v>1803961</v>
      </c>
      <c r="E1424">
        <v>3</v>
      </c>
      <c r="F1424" t="s">
        <v>1768</v>
      </c>
    </row>
    <row r="1425" spans="1:6" x14ac:dyDescent="0.25">
      <c r="A1425" t="s">
        <v>1558</v>
      </c>
      <c r="B1425" t="s">
        <v>229</v>
      </c>
      <c r="C1425" t="s">
        <v>230</v>
      </c>
      <c r="D1425" t="str">
        <f>HYPERLINK("http://service.sap.com/sap/support/notes/1804611","1804611")</f>
        <v>1804611</v>
      </c>
      <c r="E1425">
        <v>5</v>
      </c>
      <c r="F1425" t="s">
        <v>1769</v>
      </c>
    </row>
    <row r="1426" spans="1:6" x14ac:dyDescent="0.25">
      <c r="A1426" t="s">
        <v>1558</v>
      </c>
      <c r="B1426" t="s">
        <v>229</v>
      </c>
      <c r="C1426" t="s">
        <v>230</v>
      </c>
      <c r="D1426" t="str">
        <f>HYPERLINK("http://service.sap.com/sap/support/notes/1805157","1805157")</f>
        <v>1805157</v>
      </c>
      <c r="E1426">
        <v>1</v>
      </c>
      <c r="F1426" t="s">
        <v>1770</v>
      </c>
    </row>
    <row r="1427" spans="1:6" x14ac:dyDescent="0.25">
      <c r="A1427" t="s">
        <v>1558</v>
      </c>
      <c r="B1427" t="s">
        <v>229</v>
      </c>
      <c r="C1427" t="s">
        <v>230</v>
      </c>
      <c r="D1427" t="str">
        <f>HYPERLINK("http://service.sap.com/sap/support/notes/1806348","1806348")</f>
        <v>1806348</v>
      </c>
      <c r="E1427">
        <v>1</v>
      </c>
      <c r="F1427" t="s">
        <v>1771</v>
      </c>
    </row>
    <row r="1428" spans="1:6" x14ac:dyDescent="0.25">
      <c r="A1428" t="s">
        <v>1558</v>
      </c>
      <c r="B1428" t="s">
        <v>260</v>
      </c>
      <c r="C1428" t="s">
        <v>37</v>
      </c>
      <c r="D1428" t="str">
        <f>HYPERLINK("http://service.sap.com/sap/support/notes/1785087","1785087")</f>
        <v>1785087</v>
      </c>
      <c r="E1428">
        <v>1</v>
      </c>
      <c r="F1428" t="s">
        <v>1772</v>
      </c>
    </row>
    <row r="1429" spans="1:6" x14ac:dyDescent="0.25">
      <c r="A1429" t="s">
        <v>1558</v>
      </c>
      <c r="B1429" t="s">
        <v>260</v>
      </c>
      <c r="C1429" t="s">
        <v>37</v>
      </c>
      <c r="D1429" t="str">
        <f>HYPERLINK("http://service.sap.com/sap/support/notes/1798614","1798614")</f>
        <v>1798614</v>
      </c>
      <c r="E1429">
        <v>1</v>
      </c>
      <c r="F1429" t="s">
        <v>1773</v>
      </c>
    </row>
    <row r="1430" spans="1:6" x14ac:dyDescent="0.25">
      <c r="A1430" t="s">
        <v>1558</v>
      </c>
      <c r="B1430" t="s">
        <v>260</v>
      </c>
      <c r="C1430" t="s">
        <v>37</v>
      </c>
      <c r="D1430" t="str">
        <f>HYPERLINK("http://service.sap.com/sap/support/notes/1799471","1799471")</f>
        <v>1799471</v>
      </c>
      <c r="E1430">
        <v>1</v>
      </c>
      <c r="F1430" t="s">
        <v>1774</v>
      </c>
    </row>
    <row r="1431" spans="1:6" x14ac:dyDescent="0.25">
      <c r="A1431" t="s">
        <v>1558</v>
      </c>
      <c r="B1431" t="s">
        <v>260</v>
      </c>
      <c r="C1431" t="s">
        <v>37</v>
      </c>
      <c r="D1431" t="str">
        <f>HYPERLINK("http://service.sap.com/sap/support/notes/1802152","1802152")</f>
        <v>1802152</v>
      </c>
      <c r="E1431">
        <v>1</v>
      </c>
      <c r="F1431" t="s">
        <v>1775</v>
      </c>
    </row>
    <row r="1432" spans="1:6" x14ac:dyDescent="0.25">
      <c r="A1432" t="s">
        <v>1558</v>
      </c>
      <c r="B1432" t="s">
        <v>263</v>
      </c>
      <c r="C1432" t="s">
        <v>41</v>
      </c>
      <c r="D1432" t="str">
        <f>HYPERLINK("http://service.sap.com/sap/support/notes/1736328","1736328")</f>
        <v>1736328</v>
      </c>
      <c r="E1432">
        <v>7</v>
      </c>
      <c r="F1432" t="s">
        <v>1776</v>
      </c>
    </row>
    <row r="1433" spans="1:6" x14ac:dyDescent="0.25">
      <c r="A1433" t="s">
        <v>1558</v>
      </c>
      <c r="B1433" t="s">
        <v>263</v>
      </c>
      <c r="C1433" t="s">
        <v>41</v>
      </c>
      <c r="D1433" t="str">
        <f>HYPERLINK("http://service.sap.com/sap/support/notes/1747288","1747288")</f>
        <v>1747288</v>
      </c>
      <c r="E1433">
        <v>3</v>
      </c>
      <c r="F1433" t="s">
        <v>1777</v>
      </c>
    </row>
    <row r="1434" spans="1:6" x14ac:dyDescent="0.25">
      <c r="A1434" t="s">
        <v>1558</v>
      </c>
      <c r="B1434" t="s">
        <v>263</v>
      </c>
      <c r="C1434" t="s">
        <v>41</v>
      </c>
      <c r="D1434" t="str">
        <f>HYPERLINK("http://service.sap.com/sap/support/notes/1771972","1771972")</f>
        <v>1771972</v>
      </c>
      <c r="E1434">
        <v>3</v>
      </c>
      <c r="F1434" t="s">
        <v>1778</v>
      </c>
    </row>
    <row r="1435" spans="1:6" x14ac:dyDescent="0.25">
      <c r="A1435" t="s">
        <v>1558</v>
      </c>
      <c r="B1435" t="s">
        <v>263</v>
      </c>
      <c r="C1435" t="s">
        <v>41</v>
      </c>
      <c r="D1435" t="str">
        <f>HYPERLINK("http://service.sap.com/sap/support/notes/1779034","1779034")</f>
        <v>1779034</v>
      </c>
      <c r="E1435">
        <v>5</v>
      </c>
      <c r="F1435" t="s">
        <v>1218</v>
      </c>
    </row>
    <row r="1436" spans="1:6" x14ac:dyDescent="0.25">
      <c r="A1436" t="s">
        <v>1558</v>
      </c>
      <c r="B1436" t="s">
        <v>263</v>
      </c>
      <c r="C1436" t="s">
        <v>41</v>
      </c>
      <c r="D1436" t="str">
        <f>HYPERLINK("http://service.sap.com/sap/support/notes/1779129","1779129")</f>
        <v>1779129</v>
      </c>
      <c r="E1436">
        <v>16</v>
      </c>
      <c r="F1436" t="s">
        <v>1220</v>
      </c>
    </row>
    <row r="1437" spans="1:6" x14ac:dyDescent="0.25">
      <c r="A1437" t="s">
        <v>1558</v>
      </c>
      <c r="B1437" t="s">
        <v>263</v>
      </c>
      <c r="C1437" t="s">
        <v>41</v>
      </c>
      <c r="D1437" t="str">
        <f>HYPERLINK("http://service.sap.com/sap/support/notes/1784139","1784139")</f>
        <v>1784139</v>
      </c>
      <c r="E1437">
        <v>3</v>
      </c>
      <c r="F1437" t="s">
        <v>1779</v>
      </c>
    </row>
    <row r="1438" spans="1:6" x14ac:dyDescent="0.25">
      <c r="A1438" t="s">
        <v>1558</v>
      </c>
      <c r="B1438" t="s">
        <v>263</v>
      </c>
      <c r="C1438" t="s">
        <v>41</v>
      </c>
      <c r="D1438" t="str">
        <f>HYPERLINK("http://service.sap.com/sap/support/notes/1784390","1784390")</f>
        <v>1784390</v>
      </c>
      <c r="E1438">
        <v>1</v>
      </c>
      <c r="F1438" t="s">
        <v>1780</v>
      </c>
    </row>
    <row r="1439" spans="1:6" x14ac:dyDescent="0.25">
      <c r="A1439" t="s">
        <v>1558</v>
      </c>
      <c r="B1439" t="s">
        <v>263</v>
      </c>
      <c r="C1439" t="s">
        <v>41</v>
      </c>
      <c r="D1439" t="str">
        <f>HYPERLINK("http://service.sap.com/sap/support/notes/1785164","1785164")</f>
        <v>1785164</v>
      </c>
      <c r="E1439">
        <v>4</v>
      </c>
      <c r="F1439" t="s">
        <v>1781</v>
      </c>
    </row>
    <row r="1440" spans="1:6" x14ac:dyDescent="0.25">
      <c r="A1440" t="s">
        <v>1558</v>
      </c>
      <c r="B1440" t="s">
        <v>263</v>
      </c>
      <c r="C1440" t="s">
        <v>41</v>
      </c>
      <c r="D1440" t="str">
        <f>HYPERLINK("http://service.sap.com/sap/support/notes/1785760","1785760")</f>
        <v>1785760</v>
      </c>
      <c r="E1440">
        <v>3</v>
      </c>
      <c r="F1440" t="s">
        <v>1782</v>
      </c>
    </row>
    <row r="1441" spans="1:6" x14ac:dyDescent="0.25">
      <c r="A1441" t="s">
        <v>1558</v>
      </c>
      <c r="B1441" t="s">
        <v>263</v>
      </c>
      <c r="C1441" t="s">
        <v>41</v>
      </c>
      <c r="D1441" t="str">
        <f>HYPERLINK("http://service.sap.com/sap/support/notes/1789091","1789091")</f>
        <v>1789091</v>
      </c>
      <c r="E1441">
        <v>3</v>
      </c>
      <c r="F1441" t="s">
        <v>1783</v>
      </c>
    </row>
    <row r="1442" spans="1:6" x14ac:dyDescent="0.25">
      <c r="A1442" t="s">
        <v>1558</v>
      </c>
      <c r="B1442" t="s">
        <v>263</v>
      </c>
      <c r="C1442" t="s">
        <v>41</v>
      </c>
      <c r="D1442" t="str">
        <f>HYPERLINK("http://service.sap.com/sap/support/notes/1789125","1789125")</f>
        <v>1789125</v>
      </c>
      <c r="E1442">
        <v>3</v>
      </c>
      <c r="F1442" t="s">
        <v>1784</v>
      </c>
    </row>
    <row r="1443" spans="1:6" x14ac:dyDescent="0.25">
      <c r="A1443" t="s">
        <v>1558</v>
      </c>
      <c r="B1443" t="s">
        <v>263</v>
      </c>
      <c r="C1443" t="s">
        <v>41</v>
      </c>
      <c r="D1443" t="str">
        <f>HYPERLINK("http://service.sap.com/sap/support/notes/1789233","1789233")</f>
        <v>1789233</v>
      </c>
      <c r="E1443">
        <v>3</v>
      </c>
      <c r="F1443" t="s">
        <v>1785</v>
      </c>
    </row>
    <row r="1444" spans="1:6" x14ac:dyDescent="0.25">
      <c r="A1444" t="s">
        <v>1558</v>
      </c>
      <c r="B1444" t="s">
        <v>263</v>
      </c>
      <c r="C1444" t="s">
        <v>41</v>
      </c>
      <c r="D1444" t="str">
        <f>HYPERLINK("http://service.sap.com/sap/support/notes/1790268","1790268")</f>
        <v>1790268</v>
      </c>
      <c r="E1444">
        <v>2</v>
      </c>
      <c r="F1444" t="s">
        <v>1786</v>
      </c>
    </row>
    <row r="1445" spans="1:6" x14ac:dyDescent="0.25">
      <c r="A1445" t="s">
        <v>1558</v>
      </c>
      <c r="B1445" t="s">
        <v>263</v>
      </c>
      <c r="C1445" t="s">
        <v>41</v>
      </c>
      <c r="D1445" t="str">
        <f>HYPERLINK("http://service.sap.com/sap/support/notes/1790413","1790413")</f>
        <v>1790413</v>
      </c>
      <c r="E1445">
        <v>4</v>
      </c>
      <c r="F1445" t="s">
        <v>1787</v>
      </c>
    </row>
    <row r="1446" spans="1:6" x14ac:dyDescent="0.25">
      <c r="A1446" t="s">
        <v>1558</v>
      </c>
      <c r="B1446" t="s">
        <v>263</v>
      </c>
      <c r="C1446" t="s">
        <v>41</v>
      </c>
      <c r="D1446" t="str">
        <f>HYPERLINK("http://service.sap.com/sap/support/notes/1790552","1790552")</f>
        <v>1790552</v>
      </c>
      <c r="E1446">
        <v>4</v>
      </c>
      <c r="F1446" t="s">
        <v>1788</v>
      </c>
    </row>
    <row r="1447" spans="1:6" x14ac:dyDescent="0.25">
      <c r="A1447" t="s">
        <v>1558</v>
      </c>
      <c r="B1447" t="s">
        <v>263</v>
      </c>
      <c r="C1447" t="s">
        <v>41</v>
      </c>
      <c r="D1447" t="str">
        <f>HYPERLINK("http://service.sap.com/sap/support/notes/1790849","1790849")</f>
        <v>1790849</v>
      </c>
      <c r="E1447">
        <v>1</v>
      </c>
      <c r="F1447" t="s">
        <v>1789</v>
      </c>
    </row>
    <row r="1448" spans="1:6" x14ac:dyDescent="0.25">
      <c r="A1448" t="s">
        <v>1558</v>
      </c>
      <c r="B1448" t="s">
        <v>263</v>
      </c>
      <c r="C1448" t="s">
        <v>41</v>
      </c>
      <c r="D1448" t="str">
        <f>HYPERLINK("http://service.sap.com/sap/support/notes/1791267","1791267")</f>
        <v>1791267</v>
      </c>
      <c r="E1448">
        <v>4</v>
      </c>
      <c r="F1448" t="s">
        <v>1790</v>
      </c>
    </row>
    <row r="1449" spans="1:6" x14ac:dyDescent="0.25">
      <c r="A1449" t="s">
        <v>1558</v>
      </c>
      <c r="B1449" t="s">
        <v>263</v>
      </c>
      <c r="C1449" t="s">
        <v>41</v>
      </c>
      <c r="D1449" t="str">
        <f>HYPERLINK("http://service.sap.com/sap/support/notes/1791272","1791272")</f>
        <v>1791272</v>
      </c>
      <c r="E1449">
        <v>6</v>
      </c>
      <c r="F1449" t="s">
        <v>1791</v>
      </c>
    </row>
    <row r="1450" spans="1:6" x14ac:dyDescent="0.25">
      <c r="A1450" t="s">
        <v>1558</v>
      </c>
      <c r="B1450" t="s">
        <v>263</v>
      </c>
      <c r="C1450" t="s">
        <v>41</v>
      </c>
      <c r="D1450" t="str">
        <f>HYPERLINK("http://service.sap.com/sap/support/notes/1791273","1791273")</f>
        <v>1791273</v>
      </c>
      <c r="E1450">
        <v>2</v>
      </c>
      <c r="F1450" t="s">
        <v>1792</v>
      </c>
    </row>
    <row r="1451" spans="1:6" x14ac:dyDescent="0.25">
      <c r="A1451" t="s">
        <v>1558</v>
      </c>
      <c r="B1451" t="s">
        <v>263</v>
      </c>
      <c r="C1451" t="s">
        <v>41</v>
      </c>
      <c r="D1451" t="str">
        <f>HYPERLINK("http://service.sap.com/sap/support/notes/1791390","1791390")</f>
        <v>1791390</v>
      </c>
      <c r="E1451">
        <v>1</v>
      </c>
      <c r="F1451" t="s">
        <v>1793</v>
      </c>
    </row>
    <row r="1452" spans="1:6" x14ac:dyDescent="0.25">
      <c r="A1452" t="s">
        <v>1558</v>
      </c>
      <c r="B1452" t="s">
        <v>263</v>
      </c>
      <c r="C1452" t="s">
        <v>41</v>
      </c>
      <c r="D1452" t="str">
        <f>HYPERLINK("http://service.sap.com/sap/support/notes/1792791","1792791")</f>
        <v>1792791</v>
      </c>
      <c r="E1452">
        <v>1</v>
      </c>
      <c r="F1452" t="s">
        <v>1794</v>
      </c>
    </row>
    <row r="1453" spans="1:6" x14ac:dyDescent="0.25">
      <c r="A1453" t="s">
        <v>1558</v>
      </c>
      <c r="B1453" t="s">
        <v>263</v>
      </c>
      <c r="C1453" t="s">
        <v>41</v>
      </c>
      <c r="D1453" t="str">
        <f>HYPERLINK("http://service.sap.com/sap/support/notes/1793698","1793698")</f>
        <v>1793698</v>
      </c>
      <c r="E1453">
        <v>2</v>
      </c>
      <c r="F1453" t="s">
        <v>1795</v>
      </c>
    </row>
    <row r="1454" spans="1:6" x14ac:dyDescent="0.25">
      <c r="A1454" t="s">
        <v>1558</v>
      </c>
      <c r="B1454" t="s">
        <v>263</v>
      </c>
      <c r="C1454" t="s">
        <v>41</v>
      </c>
      <c r="D1454" t="str">
        <f>HYPERLINK("http://service.sap.com/sap/support/notes/1794480","1794480")</f>
        <v>1794480</v>
      </c>
      <c r="E1454">
        <v>1</v>
      </c>
      <c r="F1454" t="s">
        <v>1796</v>
      </c>
    </row>
    <row r="1455" spans="1:6" x14ac:dyDescent="0.25">
      <c r="A1455" t="s">
        <v>1558</v>
      </c>
      <c r="B1455" t="s">
        <v>263</v>
      </c>
      <c r="C1455" t="s">
        <v>41</v>
      </c>
      <c r="D1455" t="str">
        <f>HYPERLINK("http://service.sap.com/sap/support/notes/1794916","1794916")</f>
        <v>1794916</v>
      </c>
      <c r="E1455">
        <v>2</v>
      </c>
      <c r="F1455" t="s">
        <v>1797</v>
      </c>
    </row>
    <row r="1456" spans="1:6" x14ac:dyDescent="0.25">
      <c r="A1456" t="s">
        <v>1558</v>
      </c>
      <c r="B1456" t="s">
        <v>263</v>
      </c>
      <c r="C1456" t="s">
        <v>41</v>
      </c>
      <c r="D1456" t="str">
        <f>HYPERLINK("http://service.sap.com/sap/support/notes/1795039","1795039")</f>
        <v>1795039</v>
      </c>
      <c r="E1456">
        <v>5</v>
      </c>
      <c r="F1456" t="s">
        <v>1798</v>
      </c>
    </row>
    <row r="1457" spans="1:6" x14ac:dyDescent="0.25">
      <c r="A1457" t="s">
        <v>1558</v>
      </c>
      <c r="B1457" t="s">
        <v>263</v>
      </c>
      <c r="C1457" t="s">
        <v>41</v>
      </c>
      <c r="D1457" t="str">
        <f>HYPERLINK("http://service.sap.com/sap/support/notes/1795166","1795166")</f>
        <v>1795166</v>
      </c>
      <c r="E1457">
        <v>1</v>
      </c>
      <c r="F1457" t="s">
        <v>1799</v>
      </c>
    </row>
    <row r="1458" spans="1:6" x14ac:dyDescent="0.25">
      <c r="A1458" t="s">
        <v>1558</v>
      </c>
      <c r="B1458" t="s">
        <v>263</v>
      </c>
      <c r="C1458" t="s">
        <v>41</v>
      </c>
      <c r="D1458" t="str">
        <f>HYPERLINK("http://service.sap.com/sap/support/notes/1796214","1796214")</f>
        <v>1796214</v>
      </c>
      <c r="E1458">
        <v>1</v>
      </c>
      <c r="F1458" t="s">
        <v>1800</v>
      </c>
    </row>
    <row r="1459" spans="1:6" x14ac:dyDescent="0.25">
      <c r="A1459" t="s">
        <v>1558</v>
      </c>
      <c r="B1459" t="s">
        <v>263</v>
      </c>
      <c r="C1459" t="s">
        <v>41</v>
      </c>
      <c r="D1459" t="str">
        <f>HYPERLINK("http://service.sap.com/sap/support/notes/1796278","1796278")</f>
        <v>1796278</v>
      </c>
      <c r="E1459">
        <v>1</v>
      </c>
      <c r="F1459" t="s">
        <v>1801</v>
      </c>
    </row>
    <row r="1460" spans="1:6" x14ac:dyDescent="0.25">
      <c r="A1460" t="s">
        <v>1558</v>
      </c>
      <c r="B1460" t="s">
        <v>263</v>
      </c>
      <c r="C1460" t="s">
        <v>41</v>
      </c>
      <c r="D1460" t="str">
        <f>HYPERLINK("http://service.sap.com/sap/support/notes/1796605","1796605")</f>
        <v>1796605</v>
      </c>
      <c r="E1460">
        <v>3</v>
      </c>
      <c r="F1460" t="s">
        <v>1802</v>
      </c>
    </row>
    <row r="1461" spans="1:6" x14ac:dyDescent="0.25">
      <c r="A1461" t="s">
        <v>1558</v>
      </c>
      <c r="B1461" t="s">
        <v>263</v>
      </c>
      <c r="C1461" t="s">
        <v>41</v>
      </c>
      <c r="D1461" t="str">
        <f>HYPERLINK("http://service.sap.com/sap/support/notes/1796737","1796737")</f>
        <v>1796737</v>
      </c>
      <c r="E1461">
        <v>3</v>
      </c>
      <c r="F1461" t="s">
        <v>1803</v>
      </c>
    </row>
    <row r="1462" spans="1:6" x14ac:dyDescent="0.25">
      <c r="A1462" t="s">
        <v>1558</v>
      </c>
      <c r="B1462" t="s">
        <v>263</v>
      </c>
      <c r="C1462" t="s">
        <v>41</v>
      </c>
      <c r="D1462" t="str">
        <f>HYPERLINK("http://service.sap.com/sap/support/notes/1798278","1798278")</f>
        <v>1798278</v>
      </c>
      <c r="E1462">
        <v>3</v>
      </c>
      <c r="F1462" t="s">
        <v>1804</v>
      </c>
    </row>
    <row r="1463" spans="1:6" x14ac:dyDescent="0.25">
      <c r="A1463" t="s">
        <v>1558</v>
      </c>
      <c r="B1463" t="s">
        <v>263</v>
      </c>
      <c r="C1463" t="s">
        <v>41</v>
      </c>
      <c r="D1463" t="str">
        <f>HYPERLINK("http://service.sap.com/sap/support/notes/1798404","1798404")</f>
        <v>1798404</v>
      </c>
      <c r="E1463">
        <v>1</v>
      </c>
      <c r="F1463" t="s">
        <v>1805</v>
      </c>
    </row>
    <row r="1464" spans="1:6" x14ac:dyDescent="0.25">
      <c r="A1464" t="s">
        <v>1558</v>
      </c>
      <c r="B1464" t="s">
        <v>263</v>
      </c>
      <c r="C1464" t="s">
        <v>41</v>
      </c>
      <c r="D1464" t="str">
        <f>HYPERLINK("http://service.sap.com/sap/support/notes/1798576","1798576")</f>
        <v>1798576</v>
      </c>
      <c r="E1464">
        <v>4</v>
      </c>
      <c r="F1464" t="s">
        <v>1806</v>
      </c>
    </row>
    <row r="1465" spans="1:6" x14ac:dyDescent="0.25">
      <c r="A1465" t="s">
        <v>1558</v>
      </c>
      <c r="B1465" t="s">
        <v>263</v>
      </c>
      <c r="C1465" t="s">
        <v>41</v>
      </c>
      <c r="D1465" t="str">
        <f>HYPERLINK("http://service.sap.com/sap/support/notes/1798819","1798819")</f>
        <v>1798819</v>
      </c>
      <c r="E1465">
        <v>3</v>
      </c>
      <c r="F1465" t="s">
        <v>1807</v>
      </c>
    </row>
    <row r="1466" spans="1:6" x14ac:dyDescent="0.25">
      <c r="A1466" t="s">
        <v>1558</v>
      </c>
      <c r="B1466" t="s">
        <v>263</v>
      </c>
      <c r="C1466" t="s">
        <v>41</v>
      </c>
      <c r="D1466" t="str">
        <f>HYPERLINK("http://service.sap.com/sap/support/notes/1800457","1800457")</f>
        <v>1800457</v>
      </c>
      <c r="E1466">
        <v>1</v>
      </c>
      <c r="F1466" t="s">
        <v>1808</v>
      </c>
    </row>
    <row r="1467" spans="1:6" x14ac:dyDescent="0.25">
      <c r="A1467" t="s">
        <v>1558</v>
      </c>
      <c r="B1467" t="s">
        <v>263</v>
      </c>
      <c r="C1467" t="s">
        <v>41</v>
      </c>
      <c r="D1467" t="str">
        <f>HYPERLINK("http://service.sap.com/sap/support/notes/1800675","1800675")</f>
        <v>1800675</v>
      </c>
      <c r="E1467">
        <v>2</v>
      </c>
      <c r="F1467" t="s">
        <v>1809</v>
      </c>
    </row>
    <row r="1468" spans="1:6" x14ac:dyDescent="0.25">
      <c r="A1468" t="s">
        <v>1558</v>
      </c>
      <c r="B1468" t="s">
        <v>263</v>
      </c>
      <c r="C1468" t="s">
        <v>41</v>
      </c>
      <c r="D1468" t="str">
        <f>HYPERLINK("http://service.sap.com/sap/support/notes/1800737","1800737")</f>
        <v>1800737</v>
      </c>
      <c r="E1468">
        <v>2</v>
      </c>
      <c r="F1468" t="s">
        <v>1810</v>
      </c>
    </row>
    <row r="1469" spans="1:6" x14ac:dyDescent="0.25">
      <c r="A1469" t="s">
        <v>1558</v>
      </c>
      <c r="B1469" t="s">
        <v>263</v>
      </c>
      <c r="C1469" t="s">
        <v>41</v>
      </c>
      <c r="D1469" t="str">
        <f>HYPERLINK("http://service.sap.com/sap/support/notes/1800768","1800768")</f>
        <v>1800768</v>
      </c>
      <c r="E1469">
        <v>2</v>
      </c>
      <c r="F1469" t="s">
        <v>1811</v>
      </c>
    </row>
    <row r="1470" spans="1:6" x14ac:dyDescent="0.25">
      <c r="A1470" t="s">
        <v>1558</v>
      </c>
      <c r="B1470" t="s">
        <v>263</v>
      </c>
      <c r="C1470" t="s">
        <v>41</v>
      </c>
      <c r="D1470" t="str">
        <f>HYPERLINK("http://service.sap.com/sap/support/notes/1801163","1801163")</f>
        <v>1801163</v>
      </c>
      <c r="E1470">
        <v>1</v>
      </c>
      <c r="F1470" t="s">
        <v>1812</v>
      </c>
    </row>
    <row r="1471" spans="1:6" x14ac:dyDescent="0.25">
      <c r="A1471" t="s">
        <v>1558</v>
      </c>
      <c r="B1471" t="s">
        <v>263</v>
      </c>
      <c r="C1471" t="s">
        <v>41</v>
      </c>
      <c r="D1471" t="str">
        <f>HYPERLINK("http://service.sap.com/sap/support/notes/1801217","1801217")</f>
        <v>1801217</v>
      </c>
      <c r="E1471">
        <v>1</v>
      </c>
      <c r="F1471" t="s">
        <v>1813</v>
      </c>
    </row>
    <row r="1472" spans="1:6" x14ac:dyDescent="0.25">
      <c r="A1472" t="s">
        <v>1558</v>
      </c>
      <c r="B1472" t="s">
        <v>263</v>
      </c>
      <c r="C1472" t="s">
        <v>41</v>
      </c>
      <c r="D1472" t="str">
        <f>HYPERLINK("http://service.sap.com/sap/support/notes/1801594","1801594")</f>
        <v>1801594</v>
      </c>
      <c r="E1472">
        <v>2</v>
      </c>
      <c r="F1472" t="s">
        <v>1814</v>
      </c>
    </row>
    <row r="1473" spans="1:6" x14ac:dyDescent="0.25">
      <c r="A1473" t="s">
        <v>1558</v>
      </c>
      <c r="B1473" t="s">
        <v>263</v>
      </c>
      <c r="C1473" t="s">
        <v>41</v>
      </c>
      <c r="D1473" t="str">
        <f>HYPERLINK("http://service.sap.com/sap/support/notes/1801893","1801893")</f>
        <v>1801893</v>
      </c>
      <c r="E1473">
        <v>3</v>
      </c>
      <c r="F1473" t="s">
        <v>1815</v>
      </c>
    </row>
    <row r="1474" spans="1:6" x14ac:dyDescent="0.25">
      <c r="A1474" t="s">
        <v>1558</v>
      </c>
      <c r="B1474" t="s">
        <v>263</v>
      </c>
      <c r="C1474" t="s">
        <v>41</v>
      </c>
      <c r="D1474" t="str">
        <f>HYPERLINK("http://service.sap.com/sap/support/notes/1801954","1801954")</f>
        <v>1801954</v>
      </c>
      <c r="E1474">
        <v>4</v>
      </c>
      <c r="F1474" t="s">
        <v>1816</v>
      </c>
    </row>
    <row r="1475" spans="1:6" x14ac:dyDescent="0.25">
      <c r="A1475" t="s">
        <v>1558</v>
      </c>
      <c r="B1475" t="s">
        <v>263</v>
      </c>
      <c r="C1475" t="s">
        <v>41</v>
      </c>
      <c r="D1475" t="str">
        <f>HYPERLINK("http://service.sap.com/sap/support/notes/1802886","1802886")</f>
        <v>1802886</v>
      </c>
      <c r="E1475">
        <v>1</v>
      </c>
      <c r="F1475" t="s">
        <v>1817</v>
      </c>
    </row>
    <row r="1476" spans="1:6" x14ac:dyDescent="0.25">
      <c r="A1476" t="s">
        <v>1558</v>
      </c>
      <c r="B1476" t="s">
        <v>263</v>
      </c>
      <c r="C1476" t="s">
        <v>41</v>
      </c>
      <c r="D1476" t="str">
        <f>HYPERLINK("http://service.sap.com/sap/support/notes/1803093","1803093")</f>
        <v>1803093</v>
      </c>
      <c r="E1476">
        <v>1</v>
      </c>
      <c r="F1476" t="s">
        <v>1818</v>
      </c>
    </row>
    <row r="1477" spans="1:6" x14ac:dyDescent="0.25">
      <c r="A1477" t="s">
        <v>1558</v>
      </c>
      <c r="B1477" t="s">
        <v>263</v>
      </c>
      <c r="C1477" t="s">
        <v>41</v>
      </c>
      <c r="D1477" t="str">
        <f>HYPERLINK("http://service.sap.com/sap/support/notes/1803308","1803308")</f>
        <v>1803308</v>
      </c>
      <c r="E1477">
        <v>2</v>
      </c>
      <c r="F1477" t="s">
        <v>1819</v>
      </c>
    </row>
    <row r="1478" spans="1:6" x14ac:dyDescent="0.25">
      <c r="A1478" t="s">
        <v>1558</v>
      </c>
      <c r="B1478" t="s">
        <v>263</v>
      </c>
      <c r="C1478" t="s">
        <v>41</v>
      </c>
      <c r="D1478" t="str">
        <f>HYPERLINK("http://service.sap.com/sap/support/notes/1803528","1803528")</f>
        <v>1803528</v>
      </c>
      <c r="E1478">
        <v>2</v>
      </c>
      <c r="F1478" t="s">
        <v>1820</v>
      </c>
    </row>
    <row r="1479" spans="1:6" x14ac:dyDescent="0.25">
      <c r="A1479" t="s">
        <v>1558</v>
      </c>
      <c r="B1479" t="s">
        <v>263</v>
      </c>
      <c r="C1479" t="s">
        <v>41</v>
      </c>
      <c r="D1479" t="str">
        <f>HYPERLINK("http://service.sap.com/sap/support/notes/1803606","1803606")</f>
        <v>1803606</v>
      </c>
      <c r="E1479">
        <v>3</v>
      </c>
      <c r="F1479" t="s">
        <v>1821</v>
      </c>
    </row>
    <row r="1480" spans="1:6" x14ac:dyDescent="0.25">
      <c r="A1480" t="s">
        <v>1558</v>
      </c>
      <c r="B1480" t="s">
        <v>263</v>
      </c>
      <c r="C1480" t="s">
        <v>41</v>
      </c>
      <c r="D1480" t="str">
        <f>HYPERLINK("http://service.sap.com/sap/support/notes/1804461","1804461")</f>
        <v>1804461</v>
      </c>
      <c r="E1480">
        <v>2</v>
      </c>
      <c r="F1480" t="s">
        <v>1822</v>
      </c>
    </row>
    <row r="1481" spans="1:6" x14ac:dyDescent="0.25">
      <c r="A1481" t="s">
        <v>1558</v>
      </c>
      <c r="B1481" t="s">
        <v>263</v>
      </c>
      <c r="C1481" t="s">
        <v>41</v>
      </c>
      <c r="D1481" t="str">
        <f>HYPERLINK("http://service.sap.com/sap/support/notes/1806125","1806125")</f>
        <v>1806125</v>
      </c>
      <c r="E1481">
        <v>1</v>
      </c>
      <c r="F1481" t="s">
        <v>1823</v>
      </c>
    </row>
    <row r="1482" spans="1:6" x14ac:dyDescent="0.25">
      <c r="A1482" t="s">
        <v>1558</v>
      </c>
      <c r="B1482" t="s">
        <v>649</v>
      </c>
      <c r="C1482" t="s">
        <v>636</v>
      </c>
      <c r="D1482" t="str">
        <f>HYPERLINK("http://service.sap.com/sap/support/notes/1797739","1797739")</f>
        <v>1797739</v>
      </c>
      <c r="E1482">
        <v>1</v>
      </c>
      <c r="F1482" t="s">
        <v>1824</v>
      </c>
    </row>
    <row r="1483" spans="1:6" x14ac:dyDescent="0.25">
      <c r="A1483" t="s">
        <v>1558</v>
      </c>
      <c r="B1483" t="s">
        <v>286</v>
      </c>
      <c r="C1483" t="s">
        <v>287</v>
      </c>
      <c r="D1483" t="str">
        <f>HYPERLINK("http://service.sap.com/sap/support/notes/1780199","1780199")</f>
        <v>1780199</v>
      </c>
      <c r="E1483">
        <v>5</v>
      </c>
      <c r="F1483" t="s">
        <v>1825</v>
      </c>
    </row>
    <row r="1484" spans="1:6" x14ac:dyDescent="0.25">
      <c r="A1484" t="s">
        <v>1558</v>
      </c>
      <c r="B1484" t="s">
        <v>286</v>
      </c>
      <c r="C1484" t="s">
        <v>287</v>
      </c>
      <c r="D1484" t="str">
        <f>HYPERLINK("http://service.sap.com/sap/support/notes/1786122","1786122")</f>
        <v>1786122</v>
      </c>
      <c r="E1484">
        <v>7</v>
      </c>
      <c r="F1484" t="s">
        <v>1826</v>
      </c>
    </row>
    <row r="1485" spans="1:6" x14ac:dyDescent="0.25">
      <c r="A1485" t="s">
        <v>1558</v>
      </c>
      <c r="B1485" t="s">
        <v>286</v>
      </c>
      <c r="C1485" t="s">
        <v>287</v>
      </c>
      <c r="D1485" t="str">
        <f>HYPERLINK("http://service.sap.com/sap/support/notes/1791647","1791647")</f>
        <v>1791647</v>
      </c>
      <c r="E1485">
        <v>9</v>
      </c>
      <c r="F1485" t="s">
        <v>1827</v>
      </c>
    </row>
    <row r="1486" spans="1:6" x14ac:dyDescent="0.25">
      <c r="A1486" t="s">
        <v>1558</v>
      </c>
      <c r="B1486" t="s">
        <v>286</v>
      </c>
      <c r="C1486" t="s">
        <v>287</v>
      </c>
      <c r="D1486" t="str">
        <f>HYPERLINK("http://service.sap.com/sap/support/notes/1796289","1796289")</f>
        <v>1796289</v>
      </c>
      <c r="E1486">
        <v>2</v>
      </c>
      <c r="F1486" t="s">
        <v>1828</v>
      </c>
    </row>
    <row r="1487" spans="1:6" x14ac:dyDescent="0.25">
      <c r="A1487" t="s">
        <v>1558</v>
      </c>
      <c r="B1487" t="s">
        <v>286</v>
      </c>
      <c r="C1487" t="s">
        <v>287</v>
      </c>
      <c r="D1487" t="str">
        <f>HYPERLINK("http://service.sap.com/sap/support/notes/1796768","1796768")</f>
        <v>1796768</v>
      </c>
      <c r="E1487">
        <v>1</v>
      </c>
      <c r="F1487" t="s">
        <v>1829</v>
      </c>
    </row>
    <row r="1488" spans="1:6" x14ac:dyDescent="0.25">
      <c r="A1488" t="s">
        <v>1558</v>
      </c>
      <c r="B1488" t="s">
        <v>286</v>
      </c>
      <c r="C1488" t="s">
        <v>287</v>
      </c>
      <c r="D1488" t="str">
        <f>HYPERLINK("http://service.sap.com/sap/support/notes/1798030","1798030")</f>
        <v>1798030</v>
      </c>
      <c r="E1488">
        <v>1</v>
      </c>
      <c r="F1488" t="s">
        <v>1830</v>
      </c>
    </row>
    <row r="1489" spans="1:6" x14ac:dyDescent="0.25">
      <c r="A1489" t="s">
        <v>1558</v>
      </c>
      <c r="B1489" t="s">
        <v>286</v>
      </c>
      <c r="C1489" t="s">
        <v>287</v>
      </c>
      <c r="D1489" t="str">
        <f>HYPERLINK("http://service.sap.com/sap/support/notes/1799076","1799076")</f>
        <v>1799076</v>
      </c>
      <c r="E1489">
        <v>3</v>
      </c>
      <c r="F1489" t="s">
        <v>1831</v>
      </c>
    </row>
    <row r="1490" spans="1:6" x14ac:dyDescent="0.25">
      <c r="A1490" t="s">
        <v>1558</v>
      </c>
      <c r="B1490" t="s">
        <v>286</v>
      </c>
      <c r="C1490" t="s">
        <v>287</v>
      </c>
      <c r="D1490" t="str">
        <f>HYPERLINK("http://service.sap.com/sap/support/notes/1799265","1799265")</f>
        <v>1799265</v>
      </c>
      <c r="E1490">
        <v>1</v>
      </c>
      <c r="F1490" t="s">
        <v>1832</v>
      </c>
    </row>
    <row r="1491" spans="1:6" x14ac:dyDescent="0.25">
      <c r="A1491" t="s">
        <v>1558</v>
      </c>
      <c r="B1491" t="s">
        <v>286</v>
      </c>
      <c r="C1491" t="s">
        <v>287</v>
      </c>
      <c r="D1491" t="str">
        <f>HYPERLINK("http://service.sap.com/sap/support/notes/1800448","1800448")</f>
        <v>1800448</v>
      </c>
      <c r="E1491">
        <v>4</v>
      </c>
      <c r="F1491" t="s">
        <v>1833</v>
      </c>
    </row>
    <row r="1492" spans="1:6" x14ac:dyDescent="0.25">
      <c r="A1492" t="s">
        <v>1558</v>
      </c>
      <c r="B1492" t="s">
        <v>286</v>
      </c>
      <c r="C1492" t="s">
        <v>287</v>
      </c>
      <c r="D1492" t="str">
        <f>HYPERLINK("http://service.sap.com/sap/support/notes/1800687","1800687")</f>
        <v>1800687</v>
      </c>
      <c r="E1492">
        <v>2</v>
      </c>
      <c r="F1492" t="s">
        <v>1834</v>
      </c>
    </row>
    <row r="1493" spans="1:6" x14ac:dyDescent="0.25">
      <c r="A1493" t="s">
        <v>1558</v>
      </c>
      <c r="B1493" t="s">
        <v>286</v>
      </c>
      <c r="C1493" t="s">
        <v>287</v>
      </c>
      <c r="D1493" t="str">
        <f>HYPERLINK("http://service.sap.com/sap/support/notes/1804631","1804631")</f>
        <v>1804631</v>
      </c>
      <c r="E1493">
        <v>1</v>
      </c>
      <c r="F1493" t="s">
        <v>1835</v>
      </c>
    </row>
    <row r="1494" spans="1:6" x14ac:dyDescent="0.25">
      <c r="A1494" t="s">
        <v>1558</v>
      </c>
      <c r="B1494" t="s">
        <v>286</v>
      </c>
      <c r="C1494" t="s">
        <v>287</v>
      </c>
      <c r="D1494" t="str">
        <f>HYPERLINK("http://service.sap.com/sap/support/notes/1806315","1806315")</f>
        <v>1806315</v>
      </c>
      <c r="E1494">
        <v>1</v>
      </c>
      <c r="F1494" t="s">
        <v>1836</v>
      </c>
    </row>
    <row r="1495" spans="1:6" x14ac:dyDescent="0.25">
      <c r="A1495" t="s">
        <v>1558</v>
      </c>
      <c r="B1495" t="s">
        <v>292</v>
      </c>
      <c r="C1495" t="s">
        <v>196</v>
      </c>
    </row>
    <row r="1496" spans="1:6" x14ac:dyDescent="0.25">
      <c r="A1496" t="s">
        <v>1558</v>
      </c>
      <c r="B1496" t="s">
        <v>293</v>
      </c>
      <c r="C1496" t="s">
        <v>294</v>
      </c>
      <c r="D1496" t="str">
        <f>HYPERLINK("http://service.sap.com/sap/support/notes/1795599","1795599")</f>
        <v>1795599</v>
      </c>
      <c r="E1496">
        <v>2</v>
      </c>
      <c r="F1496" t="s">
        <v>1837</v>
      </c>
    </row>
    <row r="1497" spans="1:6" x14ac:dyDescent="0.25">
      <c r="A1497" t="s">
        <v>1558</v>
      </c>
      <c r="B1497" t="s">
        <v>293</v>
      </c>
      <c r="C1497" t="s">
        <v>294</v>
      </c>
      <c r="D1497" t="str">
        <f>HYPERLINK("http://service.sap.com/sap/support/notes/1798609","1798609")</f>
        <v>1798609</v>
      </c>
      <c r="E1497">
        <v>1</v>
      </c>
      <c r="F1497" t="s">
        <v>1838</v>
      </c>
    </row>
    <row r="1498" spans="1:6" x14ac:dyDescent="0.25">
      <c r="A1498" t="s">
        <v>1558</v>
      </c>
      <c r="B1498" t="s">
        <v>296</v>
      </c>
      <c r="C1498" t="s">
        <v>297</v>
      </c>
      <c r="D1498" t="str">
        <f>HYPERLINK("http://service.sap.com/sap/support/notes/1754476","1754476")</f>
        <v>1754476</v>
      </c>
      <c r="E1498">
        <v>3</v>
      </c>
      <c r="F1498" t="s">
        <v>1839</v>
      </c>
    </row>
    <row r="1499" spans="1:6" x14ac:dyDescent="0.25">
      <c r="A1499" t="s">
        <v>1558</v>
      </c>
      <c r="B1499" t="s">
        <v>296</v>
      </c>
      <c r="C1499" t="s">
        <v>297</v>
      </c>
      <c r="D1499" t="str">
        <f>HYPERLINK("http://service.sap.com/sap/support/notes/1796861","1796861")</f>
        <v>1796861</v>
      </c>
      <c r="E1499">
        <v>2</v>
      </c>
      <c r="F1499" t="s">
        <v>1840</v>
      </c>
    </row>
    <row r="1500" spans="1:6" x14ac:dyDescent="0.25">
      <c r="A1500" t="s">
        <v>1558</v>
      </c>
      <c r="B1500" t="s">
        <v>299</v>
      </c>
      <c r="C1500" t="s">
        <v>128</v>
      </c>
      <c r="D1500" t="str">
        <f>HYPERLINK("http://service.sap.com/sap/support/notes/1796295","1796295")</f>
        <v>1796295</v>
      </c>
      <c r="E1500">
        <v>1</v>
      </c>
      <c r="F1500" t="s">
        <v>1841</v>
      </c>
    </row>
    <row r="1501" spans="1:6" x14ac:dyDescent="0.25">
      <c r="A1501" t="s">
        <v>1558</v>
      </c>
      <c r="B1501" t="s">
        <v>299</v>
      </c>
      <c r="C1501" t="s">
        <v>128</v>
      </c>
      <c r="D1501" t="str">
        <f>HYPERLINK("http://service.sap.com/sap/support/notes/1796320","1796320")</f>
        <v>1796320</v>
      </c>
      <c r="E1501">
        <v>1</v>
      </c>
      <c r="F1501" t="s">
        <v>1842</v>
      </c>
    </row>
    <row r="1502" spans="1:6" x14ac:dyDescent="0.25">
      <c r="A1502" t="s">
        <v>1558</v>
      </c>
      <c r="B1502" t="s">
        <v>301</v>
      </c>
      <c r="C1502" t="s">
        <v>156</v>
      </c>
      <c r="D1502" t="str">
        <f>HYPERLINK("http://service.sap.com/sap/support/notes/1764336","1764336")</f>
        <v>1764336</v>
      </c>
      <c r="E1502">
        <v>3</v>
      </c>
      <c r="F1502" t="s">
        <v>1843</v>
      </c>
    </row>
    <row r="1503" spans="1:6" x14ac:dyDescent="0.25">
      <c r="A1503" t="s">
        <v>1558</v>
      </c>
      <c r="B1503" t="s">
        <v>302</v>
      </c>
      <c r="C1503" t="s">
        <v>303</v>
      </c>
      <c r="D1503" t="str">
        <f>HYPERLINK("http://service.sap.com/sap/support/notes/1770101","1770101")</f>
        <v>1770101</v>
      </c>
      <c r="E1503">
        <v>3</v>
      </c>
      <c r="F1503" t="s">
        <v>1844</v>
      </c>
    </row>
    <row r="1504" spans="1:6" x14ac:dyDescent="0.25">
      <c r="A1504" t="s">
        <v>1558</v>
      </c>
      <c r="B1504" t="s">
        <v>302</v>
      </c>
      <c r="C1504" t="s">
        <v>303</v>
      </c>
      <c r="D1504" t="str">
        <f>HYPERLINK("http://service.sap.com/sap/support/notes/1791195","1791195")</f>
        <v>1791195</v>
      </c>
      <c r="E1504">
        <v>3</v>
      </c>
      <c r="F1504" t="s">
        <v>1845</v>
      </c>
    </row>
    <row r="1505" spans="1:6" x14ac:dyDescent="0.25">
      <c r="A1505" t="s">
        <v>1558</v>
      </c>
      <c r="B1505" t="s">
        <v>302</v>
      </c>
      <c r="C1505" t="s">
        <v>303</v>
      </c>
      <c r="D1505" t="str">
        <f>HYPERLINK("http://service.sap.com/sap/support/notes/1793227","1793227")</f>
        <v>1793227</v>
      </c>
      <c r="E1505">
        <v>1</v>
      </c>
      <c r="F1505" t="s">
        <v>1846</v>
      </c>
    </row>
    <row r="1506" spans="1:6" x14ac:dyDescent="0.25">
      <c r="A1506" t="s">
        <v>1558</v>
      </c>
      <c r="B1506" t="s">
        <v>302</v>
      </c>
      <c r="C1506" t="s">
        <v>303</v>
      </c>
      <c r="D1506" t="str">
        <f>HYPERLINK("http://service.sap.com/sap/support/notes/1793480","1793480")</f>
        <v>1793480</v>
      </c>
      <c r="E1506">
        <v>2</v>
      </c>
      <c r="F1506" t="s">
        <v>1847</v>
      </c>
    </row>
    <row r="1507" spans="1:6" x14ac:dyDescent="0.25">
      <c r="A1507" t="s">
        <v>1558</v>
      </c>
      <c r="B1507" t="s">
        <v>302</v>
      </c>
      <c r="C1507" t="s">
        <v>303</v>
      </c>
      <c r="D1507" t="str">
        <f>HYPERLINK("http://service.sap.com/sap/support/notes/1803794","1803794")</f>
        <v>1803794</v>
      </c>
      <c r="E1507">
        <v>1</v>
      </c>
      <c r="F1507" t="s">
        <v>1848</v>
      </c>
    </row>
    <row r="1508" spans="1:6" x14ac:dyDescent="0.25">
      <c r="A1508" t="s">
        <v>1558</v>
      </c>
      <c r="B1508" t="s">
        <v>306</v>
      </c>
      <c r="C1508" t="s">
        <v>307</v>
      </c>
      <c r="D1508" t="str">
        <f>HYPERLINK("http://service.sap.com/sap/support/notes/1772785","1772785")</f>
        <v>1772785</v>
      </c>
      <c r="E1508">
        <v>2</v>
      </c>
      <c r="F1508" t="s">
        <v>309</v>
      </c>
    </row>
    <row r="1509" spans="1:6" x14ac:dyDescent="0.25">
      <c r="A1509" t="s">
        <v>1558</v>
      </c>
      <c r="B1509" t="s">
        <v>306</v>
      </c>
      <c r="C1509" t="s">
        <v>307</v>
      </c>
      <c r="D1509" t="str">
        <f>HYPERLINK("http://service.sap.com/sap/support/notes/1786471","1786471")</f>
        <v>1786471</v>
      </c>
      <c r="E1509">
        <v>2</v>
      </c>
      <c r="F1509" t="s">
        <v>1849</v>
      </c>
    </row>
    <row r="1510" spans="1:6" x14ac:dyDescent="0.25">
      <c r="A1510" t="s">
        <v>1558</v>
      </c>
      <c r="B1510" t="s">
        <v>306</v>
      </c>
      <c r="C1510" t="s">
        <v>307</v>
      </c>
      <c r="D1510" t="str">
        <f>HYPERLINK("http://service.sap.com/sap/support/notes/1799693","1799693")</f>
        <v>1799693</v>
      </c>
      <c r="E1510">
        <v>1</v>
      </c>
      <c r="F1510" t="s">
        <v>1850</v>
      </c>
    </row>
    <row r="1511" spans="1:6" x14ac:dyDescent="0.25">
      <c r="A1511" t="s">
        <v>1558</v>
      </c>
      <c r="B1511" t="s">
        <v>310</v>
      </c>
      <c r="C1511" t="s">
        <v>311</v>
      </c>
      <c r="D1511" t="str">
        <f>HYPERLINK("http://service.sap.com/sap/support/notes/1785280","1785280")</f>
        <v>1785280</v>
      </c>
      <c r="E1511">
        <v>4</v>
      </c>
      <c r="F1511" t="s">
        <v>1851</v>
      </c>
    </row>
    <row r="1512" spans="1:6" x14ac:dyDescent="0.25">
      <c r="A1512" t="s">
        <v>1558</v>
      </c>
      <c r="B1512" t="s">
        <v>310</v>
      </c>
      <c r="C1512" t="s">
        <v>311</v>
      </c>
      <c r="D1512" t="str">
        <f>HYPERLINK("http://service.sap.com/sap/support/notes/1799951","1799951")</f>
        <v>1799951</v>
      </c>
      <c r="E1512">
        <v>1</v>
      </c>
      <c r="F1512" t="s">
        <v>1852</v>
      </c>
    </row>
    <row r="1513" spans="1:6" x14ac:dyDescent="0.25">
      <c r="A1513" t="s">
        <v>1558</v>
      </c>
      <c r="B1513" t="s">
        <v>310</v>
      </c>
      <c r="C1513" t="s">
        <v>311</v>
      </c>
      <c r="D1513" t="str">
        <f>HYPERLINK("http://service.sap.com/sap/support/notes/1802768","1802768")</f>
        <v>1802768</v>
      </c>
      <c r="E1513">
        <v>1</v>
      </c>
      <c r="F1513" t="s">
        <v>1853</v>
      </c>
    </row>
    <row r="1514" spans="1:6" x14ac:dyDescent="0.25">
      <c r="A1514" t="s">
        <v>1558</v>
      </c>
      <c r="B1514" t="s">
        <v>313</v>
      </c>
      <c r="C1514" t="s">
        <v>314</v>
      </c>
      <c r="D1514" t="str">
        <f>HYPERLINK("http://service.sap.com/sap/support/notes/1756489","1756489")</f>
        <v>1756489</v>
      </c>
      <c r="E1514">
        <v>1</v>
      </c>
      <c r="F1514" t="s">
        <v>1854</v>
      </c>
    </row>
    <row r="1515" spans="1:6" x14ac:dyDescent="0.25">
      <c r="A1515" t="s">
        <v>1558</v>
      </c>
      <c r="B1515" t="s">
        <v>313</v>
      </c>
      <c r="C1515" t="s">
        <v>314</v>
      </c>
      <c r="D1515" t="str">
        <f>HYPERLINK("http://service.sap.com/sap/support/notes/1772311","1772311")</f>
        <v>1772311</v>
      </c>
      <c r="E1515">
        <v>4</v>
      </c>
      <c r="F1515" t="s">
        <v>1855</v>
      </c>
    </row>
    <row r="1516" spans="1:6" x14ac:dyDescent="0.25">
      <c r="A1516" t="s">
        <v>1558</v>
      </c>
      <c r="B1516" t="s">
        <v>313</v>
      </c>
      <c r="C1516" t="s">
        <v>314</v>
      </c>
      <c r="D1516" t="str">
        <f>HYPERLINK("http://service.sap.com/sap/support/notes/1778980","1778980")</f>
        <v>1778980</v>
      </c>
      <c r="E1516">
        <v>2</v>
      </c>
      <c r="F1516" t="s">
        <v>1856</v>
      </c>
    </row>
    <row r="1517" spans="1:6" x14ac:dyDescent="0.25">
      <c r="A1517" t="s">
        <v>1558</v>
      </c>
      <c r="B1517" t="s">
        <v>313</v>
      </c>
      <c r="C1517" t="s">
        <v>314</v>
      </c>
      <c r="D1517" t="str">
        <f>HYPERLINK("http://service.sap.com/sap/support/notes/1792425","1792425")</f>
        <v>1792425</v>
      </c>
      <c r="E1517">
        <v>4</v>
      </c>
      <c r="F1517" t="s">
        <v>1857</v>
      </c>
    </row>
    <row r="1518" spans="1:6" x14ac:dyDescent="0.25">
      <c r="A1518" t="s">
        <v>1558</v>
      </c>
      <c r="B1518" t="s">
        <v>313</v>
      </c>
      <c r="C1518" t="s">
        <v>314</v>
      </c>
      <c r="D1518" t="str">
        <f>HYPERLINK("http://service.sap.com/sap/support/notes/1793023","1793023")</f>
        <v>1793023</v>
      </c>
      <c r="E1518">
        <v>1</v>
      </c>
      <c r="F1518" t="s">
        <v>1858</v>
      </c>
    </row>
    <row r="1519" spans="1:6" x14ac:dyDescent="0.25">
      <c r="A1519" t="s">
        <v>1558</v>
      </c>
      <c r="B1519" t="s">
        <v>313</v>
      </c>
      <c r="C1519" t="s">
        <v>314</v>
      </c>
      <c r="D1519" t="str">
        <f>HYPERLINK("http://service.sap.com/sap/support/notes/1798797","1798797")</f>
        <v>1798797</v>
      </c>
      <c r="E1519">
        <v>1</v>
      </c>
      <c r="F1519" t="s">
        <v>1859</v>
      </c>
    </row>
    <row r="1520" spans="1:6" x14ac:dyDescent="0.25">
      <c r="A1520" t="s">
        <v>1558</v>
      </c>
      <c r="B1520" t="s">
        <v>313</v>
      </c>
      <c r="C1520" t="s">
        <v>314</v>
      </c>
      <c r="D1520" t="str">
        <f>HYPERLINK("http://service.sap.com/sap/support/notes/1799268","1799268")</f>
        <v>1799268</v>
      </c>
      <c r="E1520">
        <v>1</v>
      </c>
      <c r="F1520" t="s">
        <v>1860</v>
      </c>
    </row>
    <row r="1521" spans="1:6" x14ac:dyDescent="0.25">
      <c r="A1521" t="s">
        <v>1558</v>
      </c>
      <c r="B1521" t="s">
        <v>313</v>
      </c>
      <c r="C1521" t="s">
        <v>314</v>
      </c>
      <c r="D1521" t="str">
        <f>HYPERLINK("http://service.sap.com/sap/support/notes/1801962","1801962")</f>
        <v>1801962</v>
      </c>
      <c r="E1521">
        <v>1</v>
      </c>
      <c r="F1521" t="s">
        <v>1861</v>
      </c>
    </row>
    <row r="1522" spans="1:6" x14ac:dyDescent="0.25">
      <c r="A1522" t="s">
        <v>1558</v>
      </c>
      <c r="B1522" t="s">
        <v>313</v>
      </c>
      <c r="C1522" t="s">
        <v>314</v>
      </c>
      <c r="D1522" t="str">
        <f>HYPERLINK("http://service.sap.com/sap/support/notes/1803309","1803309")</f>
        <v>1803309</v>
      </c>
      <c r="E1522">
        <v>1</v>
      </c>
      <c r="F1522" t="s">
        <v>1862</v>
      </c>
    </row>
    <row r="1523" spans="1:6" x14ac:dyDescent="0.25">
      <c r="A1523" t="s">
        <v>1558</v>
      </c>
      <c r="B1523" t="s">
        <v>668</v>
      </c>
      <c r="C1523" t="s">
        <v>156</v>
      </c>
      <c r="D1523" t="str">
        <f>HYPERLINK("http://service.sap.com/sap/support/notes/1802617","1802617")</f>
        <v>1802617</v>
      </c>
      <c r="E1523">
        <v>2</v>
      </c>
      <c r="F1523" t="s">
        <v>1863</v>
      </c>
    </row>
    <row r="1524" spans="1:6" x14ac:dyDescent="0.25">
      <c r="A1524" t="s">
        <v>1558</v>
      </c>
      <c r="B1524" t="s">
        <v>319</v>
      </c>
      <c r="C1524" t="s">
        <v>320</v>
      </c>
      <c r="D1524" t="str">
        <f>HYPERLINK("http://service.sap.com/sap/support/notes/1782402","1782402")</f>
        <v>1782402</v>
      </c>
      <c r="E1524">
        <v>3</v>
      </c>
      <c r="F1524" t="s">
        <v>1864</v>
      </c>
    </row>
    <row r="1525" spans="1:6" x14ac:dyDescent="0.25">
      <c r="A1525" t="s">
        <v>1558</v>
      </c>
      <c r="B1525" t="s">
        <v>319</v>
      </c>
      <c r="C1525" t="s">
        <v>320</v>
      </c>
      <c r="D1525" t="str">
        <f>HYPERLINK("http://service.sap.com/sap/support/notes/1785552","1785552")</f>
        <v>1785552</v>
      </c>
      <c r="E1525">
        <v>2</v>
      </c>
      <c r="F1525" t="s">
        <v>1865</v>
      </c>
    </row>
    <row r="1526" spans="1:6" x14ac:dyDescent="0.25">
      <c r="A1526" t="s">
        <v>1558</v>
      </c>
      <c r="B1526" t="s">
        <v>319</v>
      </c>
      <c r="C1526" t="s">
        <v>320</v>
      </c>
      <c r="D1526" t="str">
        <f>HYPERLINK("http://service.sap.com/sap/support/notes/1790225","1790225")</f>
        <v>1790225</v>
      </c>
      <c r="E1526">
        <v>1</v>
      </c>
      <c r="F1526" t="s">
        <v>1866</v>
      </c>
    </row>
    <row r="1527" spans="1:6" x14ac:dyDescent="0.25">
      <c r="A1527" t="s">
        <v>1558</v>
      </c>
      <c r="B1527" t="s">
        <v>319</v>
      </c>
      <c r="C1527" t="s">
        <v>320</v>
      </c>
      <c r="D1527" t="str">
        <f>HYPERLINK("http://service.sap.com/sap/support/notes/1797478","1797478")</f>
        <v>1797478</v>
      </c>
      <c r="E1527">
        <v>1</v>
      </c>
      <c r="F1527" t="s">
        <v>1867</v>
      </c>
    </row>
    <row r="1528" spans="1:6" x14ac:dyDescent="0.25">
      <c r="A1528" t="s">
        <v>1558</v>
      </c>
      <c r="B1528" t="s">
        <v>319</v>
      </c>
      <c r="C1528" t="s">
        <v>320</v>
      </c>
      <c r="D1528" t="str">
        <f>HYPERLINK("http://service.sap.com/sap/support/notes/1798680","1798680")</f>
        <v>1798680</v>
      </c>
      <c r="E1528">
        <v>1</v>
      </c>
      <c r="F1528" t="s">
        <v>1868</v>
      </c>
    </row>
    <row r="1529" spans="1:6" x14ac:dyDescent="0.25">
      <c r="A1529" t="s">
        <v>1558</v>
      </c>
      <c r="B1529" t="s">
        <v>319</v>
      </c>
      <c r="C1529" t="s">
        <v>320</v>
      </c>
      <c r="D1529" t="str">
        <f>HYPERLINK("http://service.sap.com/sap/support/notes/1804729","1804729")</f>
        <v>1804729</v>
      </c>
      <c r="E1529">
        <v>2</v>
      </c>
      <c r="F1529" t="s">
        <v>1869</v>
      </c>
    </row>
    <row r="1530" spans="1:6" x14ac:dyDescent="0.25">
      <c r="A1530" t="s">
        <v>1558</v>
      </c>
      <c r="B1530" t="s">
        <v>327</v>
      </c>
      <c r="C1530" t="s">
        <v>328</v>
      </c>
      <c r="D1530" t="str">
        <f>HYPERLINK("http://service.sap.com/sap/support/notes/1733377","1733377")</f>
        <v>1733377</v>
      </c>
      <c r="E1530">
        <v>4</v>
      </c>
      <c r="F1530" t="s">
        <v>1870</v>
      </c>
    </row>
    <row r="1531" spans="1:6" x14ac:dyDescent="0.25">
      <c r="A1531" t="s">
        <v>1558</v>
      </c>
      <c r="B1531" t="s">
        <v>327</v>
      </c>
      <c r="C1531" t="s">
        <v>328</v>
      </c>
      <c r="D1531" t="str">
        <f>HYPERLINK("http://service.sap.com/sap/support/notes/1768943","1768943")</f>
        <v>1768943</v>
      </c>
      <c r="E1531">
        <v>3</v>
      </c>
      <c r="F1531" t="s">
        <v>1294</v>
      </c>
    </row>
    <row r="1532" spans="1:6" x14ac:dyDescent="0.25">
      <c r="A1532" t="s">
        <v>1558</v>
      </c>
      <c r="B1532" t="s">
        <v>327</v>
      </c>
      <c r="C1532" t="s">
        <v>328</v>
      </c>
      <c r="D1532" t="str">
        <f>HYPERLINK("http://service.sap.com/sap/support/notes/1785311","1785311")</f>
        <v>1785311</v>
      </c>
      <c r="E1532">
        <v>4</v>
      </c>
      <c r="F1532" t="s">
        <v>1871</v>
      </c>
    </row>
    <row r="1533" spans="1:6" x14ac:dyDescent="0.25">
      <c r="A1533" t="s">
        <v>1558</v>
      </c>
      <c r="B1533" t="s">
        <v>327</v>
      </c>
      <c r="C1533" t="s">
        <v>328</v>
      </c>
      <c r="D1533" t="str">
        <f>HYPERLINK("http://service.sap.com/sap/support/notes/1790894","1790894")</f>
        <v>1790894</v>
      </c>
      <c r="E1533">
        <v>3</v>
      </c>
      <c r="F1533" t="s">
        <v>1872</v>
      </c>
    </row>
    <row r="1534" spans="1:6" x14ac:dyDescent="0.25">
      <c r="A1534" t="s">
        <v>1558</v>
      </c>
      <c r="B1534" t="s">
        <v>327</v>
      </c>
      <c r="C1534" t="s">
        <v>328</v>
      </c>
      <c r="D1534" t="str">
        <f>HYPERLINK("http://service.sap.com/sap/support/notes/1791002","1791002")</f>
        <v>1791002</v>
      </c>
      <c r="E1534">
        <v>2</v>
      </c>
      <c r="F1534" t="s">
        <v>1873</v>
      </c>
    </row>
    <row r="1535" spans="1:6" x14ac:dyDescent="0.25">
      <c r="A1535" t="s">
        <v>1558</v>
      </c>
      <c r="B1535" t="s">
        <v>327</v>
      </c>
      <c r="C1535" t="s">
        <v>328</v>
      </c>
      <c r="D1535" t="str">
        <f>HYPERLINK("http://service.sap.com/sap/support/notes/1792192","1792192")</f>
        <v>1792192</v>
      </c>
      <c r="E1535">
        <v>7</v>
      </c>
      <c r="F1535" t="s">
        <v>1874</v>
      </c>
    </row>
    <row r="1536" spans="1:6" x14ac:dyDescent="0.25">
      <c r="A1536" t="s">
        <v>1558</v>
      </c>
      <c r="B1536" t="s">
        <v>327</v>
      </c>
      <c r="C1536" t="s">
        <v>328</v>
      </c>
      <c r="D1536" t="str">
        <f>HYPERLINK("http://service.sap.com/sap/support/notes/1792880","1792880")</f>
        <v>1792880</v>
      </c>
      <c r="E1536">
        <v>1</v>
      </c>
      <c r="F1536" t="s">
        <v>1875</v>
      </c>
    </row>
    <row r="1537" spans="1:6" x14ac:dyDescent="0.25">
      <c r="A1537" t="s">
        <v>1558</v>
      </c>
      <c r="B1537" t="s">
        <v>327</v>
      </c>
      <c r="C1537" t="s">
        <v>328</v>
      </c>
      <c r="D1537" t="str">
        <f>HYPERLINK("http://service.sap.com/sap/support/notes/1794697","1794697")</f>
        <v>1794697</v>
      </c>
      <c r="E1537">
        <v>1</v>
      </c>
      <c r="F1537" t="s">
        <v>1760</v>
      </c>
    </row>
    <row r="1538" spans="1:6" x14ac:dyDescent="0.25">
      <c r="A1538" t="s">
        <v>1558</v>
      </c>
      <c r="B1538" t="s">
        <v>337</v>
      </c>
      <c r="C1538" t="s">
        <v>48</v>
      </c>
      <c r="D1538" t="str">
        <f>HYPERLINK("http://service.sap.com/sap/support/notes/1750548","1750548")</f>
        <v>1750548</v>
      </c>
      <c r="E1538">
        <v>2</v>
      </c>
      <c r="F1538" t="s">
        <v>1876</v>
      </c>
    </row>
    <row r="1539" spans="1:6" x14ac:dyDescent="0.25">
      <c r="A1539" t="s">
        <v>1558</v>
      </c>
      <c r="B1539" t="s">
        <v>337</v>
      </c>
      <c r="C1539" t="s">
        <v>48</v>
      </c>
      <c r="D1539" t="str">
        <f>HYPERLINK("http://service.sap.com/sap/support/notes/1759435","1759435")</f>
        <v>1759435</v>
      </c>
      <c r="E1539">
        <v>1</v>
      </c>
      <c r="F1539" t="s">
        <v>1877</v>
      </c>
    </row>
    <row r="1540" spans="1:6" x14ac:dyDescent="0.25">
      <c r="A1540" t="s">
        <v>1558</v>
      </c>
      <c r="B1540" t="s">
        <v>337</v>
      </c>
      <c r="C1540" t="s">
        <v>48</v>
      </c>
      <c r="D1540" t="str">
        <f>HYPERLINK("http://service.sap.com/sap/support/notes/1778857","1778857")</f>
        <v>1778857</v>
      </c>
      <c r="E1540">
        <v>3</v>
      </c>
      <c r="F1540" t="s">
        <v>1878</v>
      </c>
    </row>
    <row r="1541" spans="1:6" x14ac:dyDescent="0.25">
      <c r="A1541" t="s">
        <v>1558</v>
      </c>
      <c r="B1541" t="s">
        <v>337</v>
      </c>
      <c r="C1541" t="s">
        <v>48</v>
      </c>
      <c r="D1541" t="str">
        <f>HYPERLINK("http://service.sap.com/sap/support/notes/1789955","1789955")</f>
        <v>1789955</v>
      </c>
      <c r="E1541">
        <v>3</v>
      </c>
      <c r="F1541" t="s">
        <v>1879</v>
      </c>
    </row>
    <row r="1542" spans="1:6" x14ac:dyDescent="0.25">
      <c r="A1542" t="s">
        <v>1558</v>
      </c>
      <c r="B1542" t="s">
        <v>337</v>
      </c>
      <c r="C1542" t="s">
        <v>48</v>
      </c>
      <c r="D1542" t="str">
        <f>HYPERLINK("http://service.sap.com/sap/support/notes/1793011","1793011")</f>
        <v>1793011</v>
      </c>
      <c r="E1542">
        <v>5</v>
      </c>
      <c r="F1542" t="s">
        <v>1880</v>
      </c>
    </row>
    <row r="1543" spans="1:6" x14ac:dyDescent="0.25">
      <c r="A1543" t="s">
        <v>1558</v>
      </c>
      <c r="B1543" t="s">
        <v>337</v>
      </c>
      <c r="C1543" t="s">
        <v>48</v>
      </c>
      <c r="D1543" t="str">
        <f>HYPERLINK("http://service.sap.com/sap/support/notes/1794804","1794804")</f>
        <v>1794804</v>
      </c>
      <c r="E1543">
        <v>3</v>
      </c>
      <c r="F1543" t="s">
        <v>1881</v>
      </c>
    </row>
    <row r="1544" spans="1:6" x14ac:dyDescent="0.25">
      <c r="A1544" t="s">
        <v>1558</v>
      </c>
      <c r="B1544" t="s">
        <v>337</v>
      </c>
      <c r="C1544" t="s">
        <v>48</v>
      </c>
      <c r="D1544" t="str">
        <f>HYPERLINK("http://service.sap.com/sap/support/notes/1800367","1800367")</f>
        <v>1800367</v>
      </c>
      <c r="E1544">
        <v>2</v>
      </c>
      <c r="F1544" t="s">
        <v>1882</v>
      </c>
    </row>
    <row r="1545" spans="1:6" x14ac:dyDescent="0.25">
      <c r="A1545" t="s">
        <v>1558</v>
      </c>
      <c r="B1545" t="s">
        <v>337</v>
      </c>
      <c r="C1545" t="s">
        <v>48</v>
      </c>
      <c r="D1545" t="str">
        <f>HYPERLINK("http://service.sap.com/sap/support/notes/1801439","1801439")</f>
        <v>1801439</v>
      </c>
      <c r="E1545">
        <v>3</v>
      </c>
      <c r="F1545" t="s">
        <v>1883</v>
      </c>
    </row>
    <row r="1546" spans="1:6" x14ac:dyDescent="0.25">
      <c r="A1546" t="s">
        <v>1558</v>
      </c>
      <c r="B1546" t="s">
        <v>337</v>
      </c>
      <c r="C1546" t="s">
        <v>48</v>
      </c>
      <c r="D1546" t="str">
        <f>HYPERLINK("http://service.sap.com/sap/support/notes/1804401","1804401")</f>
        <v>1804401</v>
      </c>
      <c r="E1546">
        <v>2</v>
      </c>
      <c r="F1546" t="s">
        <v>1884</v>
      </c>
    </row>
    <row r="1547" spans="1:6" x14ac:dyDescent="0.25">
      <c r="A1547" t="s">
        <v>1558</v>
      </c>
      <c r="B1547" t="s">
        <v>1885</v>
      </c>
      <c r="C1547" t="s">
        <v>196</v>
      </c>
      <c r="D1547" t="str">
        <f>HYPERLINK("http://service.sap.com/sap/support/notes/1789982","1789982")</f>
        <v>1789982</v>
      </c>
      <c r="E1547">
        <v>1</v>
      </c>
      <c r="F1547" t="s">
        <v>1886</v>
      </c>
    </row>
    <row r="1548" spans="1:6" x14ac:dyDescent="0.25">
      <c r="A1548" t="s">
        <v>1558</v>
      </c>
      <c r="B1548" t="s">
        <v>1887</v>
      </c>
      <c r="C1548" t="s">
        <v>1888</v>
      </c>
      <c r="D1548" t="str">
        <f>HYPERLINK("http://service.sap.com/sap/support/notes/1792992","1792992")</f>
        <v>1792992</v>
      </c>
      <c r="E1548">
        <v>1</v>
      </c>
      <c r="F1548" t="s">
        <v>1889</v>
      </c>
    </row>
    <row r="1549" spans="1:6" x14ac:dyDescent="0.25">
      <c r="A1549" t="s">
        <v>1558</v>
      </c>
      <c r="B1549" t="s">
        <v>1890</v>
      </c>
      <c r="C1549" t="s">
        <v>1891</v>
      </c>
      <c r="D1549" t="str">
        <f>HYPERLINK("http://service.sap.com/sap/support/notes/1796745","1796745")</f>
        <v>1796745</v>
      </c>
      <c r="E1549">
        <v>2</v>
      </c>
      <c r="F1549" t="s">
        <v>1892</v>
      </c>
    </row>
    <row r="1550" spans="1:6" x14ac:dyDescent="0.25">
      <c r="A1550" t="s">
        <v>1558</v>
      </c>
      <c r="B1550" t="s">
        <v>340</v>
      </c>
      <c r="C1550" t="s">
        <v>52</v>
      </c>
      <c r="D1550" t="str">
        <f>HYPERLINK("http://service.sap.com/sap/support/notes/1800339","1800339")</f>
        <v>1800339</v>
      </c>
      <c r="E1550">
        <v>2</v>
      </c>
      <c r="F1550" t="s">
        <v>1893</v>
      </c>
    </row>
    <row r="1551" spans="1:6" x14ac:dyDescent="0.25">
      <c r="A1551" t="s">
        <v>1558</v>
      </c>
      <c r="B1551" t="s">
        <v>340</v>
      </c>
      <c r="C1551" t="s">
        <v>52</v>
      </c>
      <c r="D1551" t="str">
        <f>HYPERLINK("http://service.sap.com/sap/support/notes/1805014","1805014")</f>
        <v>1805014</v>
      </c>
      <c r="E1551">
        <v>1</v>
      </c>
      <c r="F1551" t="s">
        <v>1894</v>
      </c>
    </row>
    <row r="1552" spans="1:6" x14ac:dyDescent="0.25">
      <c r="A1552" t="s">
        <v>1558</v>
      </c>
      <c r="B1552" t="s">
        <v>340</v>
      </c>
      <c r="C1552" t="s">
        <v>52</v>
      </c>
      <c r="D1552" t="str">
        <f>HYPERLINK("http://service.sap.com/sap/support/notes/1805571","1805571")</f>
        <v>1805571</v>
      </c>
      <c r="E1552">
        <v>4</v>
      </c>
      <c r="F1552" t="s">
        <v>1895</v>
      </c>
    </row>
    <row r="1553" spans="1:6" x14ac:dyDescent="0.25">
      <c r="A1553" t="s">
        <v>1558</v>
      </c>
      <c r="B1553" t="s">
        <v>344</v>
      </c>
      <c r="C1553" t="s">
        <v>345</v>
      </c>
      <c r="D1553" t="str">
        <f>HYPERLINK("http://service.sap.com/sap/support/notes/1781638","1781638")</f>
        <v>1781638</v>
      </c>
      <c r="E1553">
        <v>2</v>
      </c>
      <c r="F1553" t="s">
        <v>1896</v>
      </c>
    </row>
    <row r="1554" spans="1:6" x14ac:dyDescent="0.25">
      <c r="A1554" t="s">
        <v>1558</v>
      </c>
      <c r="B1554" t="s">
        <v>344</v>
      </c>
      <c r="C1554" t="s">
        <v>345</v>
      </c>
      <c r="D1554" t="str">
        <f>HYPERLINK("http://service.sap.com/sap/support/notes/1781663","1781663")</f>
        <v>1781663</v>
      </c>
      <c r="E1554">
        <v>2</v>
      </c>
      <c r="F1554" t="s">
        <v>1897</v>
      </c>
    </row>
    <row r="1555" spans="1:6" x14ac:dyDescent="0.25">
      <c r="A1555" t="s">
        <v>1558</v>
      </c>
      <c r="B1555" t="s">
        <v>344</v>
      </c>
      <c r="C1555" t="s">
        <v>345</v>
      </c>
      <c r="D1555" t="str">
        <f>HYPERLINK("http://service.sap.com/sap/support/notes/1785315","1785315")</f>
        <v>1785315</v>
      </c>
      <c r="E1555">
        <v>2</v>
      </c>
      <c r="F1555" t="s">
        <v>1898</v>
      </c>
    </row>
    <row r="1556" spans="1:6" x14ac:dyDescent="0.25">
      <c r="A1556" t="s">
        <v>1558</v>
      </c>
      <c r="B1556" t="s">
        <v>344</v>
      </c>
      <c r="C1556" t="s">
        <v>345</v>
      </c>
      <c r="D1556" t="str">
        <f>HYPERLINK("http://service.sap.com/sap/support/notes/1787913","1787913")</f>
        <v>1787913</v>
      </c>
      <c r="E1556">
        <v>4</v>
      </c>
      <c r="F1556" t="s">
        <v>1899</v>
      </c>
    </row>
    <row r="1557" spans="1:6" x14ac:dyDescent="0.25">
      <c r="A1557" t="s">
        <v>1558</v>
      </c>
      <c r="B1557" t="s">
        <v>344</v>
      </c>
      <c r="C1557" t="s">
        <v>345</v>
      </c>
      <c r="D1557" t="str">
        <f>HYPERLINK("http://service.sap.com/sap/support/notes/1792852","1792852")</f>
        <v>1792852</v>
      </c>
      <c r="E1557">
        <v>1</v>
      </c>
      <c r="F1557" t="s">
        <v>1900</v>
      </c>
    </row>
    <row r="1558" spans="1:6" x14ac:dyDescent="0.25">
      <c r="A1558" t="s">
        <v>1558</v>
      </c>
      <c r="B1558" t="s">
        <v>344</v>
      </c>
      <c r="C1558" t="s">
        <v>345</v>
      </c>
      <c r="D1558" t="str">
        <f>HYPERLINK("http://service.sap.com/sap/support/notes/1803946","1803946")</f>
        <v>1803946</v>
      </c>
      <c r="E1558">
        <v>3</v>
      </c>
      <c r="F1558" t="s">
        <v>1901</v>
      </c>
    </row>
    <row r="1559" spans="1:6" x14ac:dyDescent="0.25">
      <c r="A1559" t="s">
        <v>1558</v>
      </c>
      <c r="B1559" t="s">
        <v>1902</v>
      </c>
      <c r="C1559" t="s">
        <v>1903</v>
      </c>
      <c r="D1559" t="str">
        <f>HYPERLINK("http://service.sap.com/sap/support/notes/1794698","1794698")</f>
        <v>1794698</v>
      </c>
      <c r="E1559">
        <v>3</v>
      </c>
      <c r="F1559" t="s">
        <v>1904</v>
      </c>
    </row>
    <row r="1560" spans="1:6" x14ac:dyDescent="0.25">
      <c r="A1560" t="s">
        <v>1558</v>
      </c>
      <c r="B1560" t="s">
        <v>690</v>
      </c>
      <c r="C1560" t="s">
        <v>691</v>
      </c>
      <c r="D1560" t="str">
        <f>HYPERLINK("http://service.sap.com/sap/support/notes/1783044","1783044")</f>
        <v>1783044</v>
      </c>
      <c r="E1560">
        <v>4</v>
      </c>
      <c r="F1560" t="s">
        <v>1905</v>
      </c>
    </row>
    <row r="1561" spans="1:6" x14ac:dyDescent="0.25">
      <c r="A1561" t="s">
        <v>1558</v>
      </c>
      <c r="B1561" t="s">
        <v>690</v>
      </c>
      <c r="C1561" t="s">
        <v>691</v>
      </c>
      <c r="D1561" t="str">
        <f>HYPERLINK("http://service.sap.com/sap/support/notes/1804777","1804777")</f>
        <v>1804777</v>
      </c>
      <c r="E1561">
        <v>1</v>
      </c>
      <c r="F1561" t="s">
        <v>1906</v>
      </c>
    </row>
    <row r="1562" spans="1:6" x14ac:dyDescent="0.25">
      <c r="A1562" t="s">
        <v>1558</v>
      </c>
      <c r="B1562" t="s">
        <v>350</v>
      </c>
      <c r="C1562" t="s">
        <v>351</v>
      </c>
      <c r="D1562" t="str">
        <f>HYPERLINK("http://service.sap.com/sap/support/notes/1783738","1783738")</f>
        <v>1783738</v>
      </c>
      <c r="E1562">
        <v>1</v>
      </c>
      <c r="F1562" t="s">
        <v>1907</v>
      </c>
    </row>
    <row r="1563" spans="1:6" x14ac:dyDescent="0.25">
      <c r="A1563" t="s">
        <v>1558</v>
      </c>
      <c r="B1563" t="s">
        <v>350</v>
      </c>
      <c r="C1563" t="s">
        <v>351</v>
      </c>
      <c r="D1563" t="str">
        <f>HYPERLINK("http://service.sap.com/sap/support/notes/1790570","1790570")</f>
        <v>1790570</v>
      </c>
      <c r="E1563">
        <v>1</v>
      </c>
      <c r="F1563" t="s">
        <v>1908</v>
      </c>
    </row>
    <row r="1564" spans="1:6" x14ac:dyDescent="0.25">
      <c r="A1564" t="s">
        <v>1558</v>
      </c>
      <c r="B1564" t="s">
        <v>350</v>
      </c>
      <c r="C1564" t="s">
        <v>351</v>
      </c>
      <c r="D1564" t="str">
        <f>HYPERLINK("http://service.sap.com/sap/support/notes/1797490","1797490")</f>
        <v>1797490</v>
      </c>
      <c r="E1564">
        <v>1</v>
      </c>
      <c r="F1564" t="s">
        <v>1909</v>
      </c>
    </row>
    <row r="1565" spans="1:6" x14ac:dyDescent="0.25">
      <c r="A1565" t="s">
        <v>1558</v>
      </c>
      <c r="B1565" t="s">
        <v>350</v>
      </c>
      <c r="C1565" t="s">
        <v>351</v>
      </c>
      <c r="D1565" t="str">
        <f>HYPERLINK("http://service.sap.com/sap/support/notes/1799159","1799159")</f>
        <v>1799159</v>
      </c>
      <c r="E1565">
        <v>2</v>
      </c>
      <c r="F1565" t="s">
        <v>1910</v>
      </c>
    </row>
    <row r="1566" spans="1:6" x14ac:dyDescent="0.25">
      <c r="A1566" t="s">
        <v>1558</v>
      </c>
      <c r="B1566" t="s">
        <v>350</v>
      </c>
      <c r="C1566" t="s">
        <v>351</v>
      </c>
      <c r="D1566" t="str">
        <f>HYPERLINK("http://service.sap.com/sap/support/notes/1799787","1799787")</f>
        <v>1799787</v>
      </c>
      <c r="E1566">
        <v>1</v>
      </c>
      <c r="F1566" t="s">
        <v>1911</v>
      </c>
    </row>
    <row r="1567" spans="1:6" x14ac:dyDescent="0.25">
      <c r="A1567" t="s">
        <v>1558</v>
      </c>
      <c r="B1567" t="s">
        <v>356</v>
      </c>
      <c r="C1567" t="s">
        <v>55</v>
      </c>
      <c r="D1567" t="str">
        <f>HYPERLINK("http://service.sap.com/sap/support/notes/1791534","1791534")</f>
        <v>1791534</v>
      </c>
      <c r="E1567">
        <v>2</v>
      </c>
      <c r="F1567" t="s">
        <v>1912</v>
      </c>
    </row>
    <row r="1568" spans="1:6" x14ac:dyDescent="0.25">
      <c r="A1568" t="s">
        <v>1558</v>
      </c>
      <c r="B1568" t="s">
        <v>356</v>
      </c>
      <c r="C1568" t="s">
        <v>55</v>
      </c>
      <c r="D1568" t="str">
        <f>HYPERLINK("http://service.sap.com/sap/support/notes/1797154","1797154")</f>
        <v>1797154</v>
      </c>
      <c r="F1568" t="s">
        <v>1913</v>
      </c>
    </row>
    <row r="1569" spans="1:6" x14ac:dyDescent="0.25">
      <c r="A1569" t="s">
        <v>1558</v>
      </c>
      <c r="B1569" t="s">
        <v>356</v>
      </c>
      <c r="C1569" t="s">
        <v>55</v>
      </c>
      <c r="D1569" t="str">
        <f>HYPERLINK("http://service.sap.com/sap/support/notes/1797541","1797541")</f>
        <v>1797541</v>
      </c>
      <c r="E1569">
        <v>2</v>
      </c>
      <c r="F1569" t="s">
        <v>1914</v>
      </c>
    </row>
    <row r="1570" spans="1:6" x14ac:dyDescent="0.25">
      <c r="A1570" t="s">
        <v>1558</v>
      </c>
      <c r="B1570" t="s">
        <v>356</v>
      </c>
      <c r="C1570" t="s">
        <v>55</v>
      </c>
      <c r="D1570" t="str">
        <f>HYPERLINK("http://service.sap.com/sap/support/notes/1797594","1797594")</f>
        <v>1797594</v>
      </c>
      <c r="E1570">
        <v>2</v>
      </c>
      <c r="F1570" t="s">
        <v>1915</v>
      </c>
    </row>
    <row r="1571" spans="1:6" x14ac:dyDescent="0.25">
      <c r="A1571" t="s">
        <v>1558</v>
      </c>
      <c r="B1571" t="s">
        <v>356</v>
      </c>
      <c r="C1571" t="s">
        <v>55</v>
      </c>
      <c r="D1571" t="str">
        <f>HYPERLINK("http://service.sap.com/sap/support/notes/1798246","1798246")</f>
        <v>1798246</v>
      </c>
      <c r="E1571">
        <v>2</v>
      </c>
      <c r="F1571" t="s">
        <v>1671</v>
      </c>
    </row>
    <row r="1572" spans="1:6" x14ac:dyDescent="0.25">
      <c r="A1572" t="s">
        <v>1558</v>
      </c>
      <c r="B1572" t="s">
        <v>356</v>
      </c>
      <c r="C1572" t="s">
        <v>55</v>
      </c>
      <c r="D1572" t="str">
        <f>HYPERLINK("http://service.sap.com/sap/support/notes/1798447","1798447")</f>
        <v>1798447</v>
      </c>
      <c r="E1572">
        <v>1</v>
      </c>
      <c r="F1572" t="s">
        <v>1916</v>
      </c>
    </row>
    <row r="1573" spans="1:6" x14ac:dyDescent="0.25">
      <c r="A1573" t="s">
        <v>1558</v>
      </c>
      <c r="B1573" t="s">
        <v>356</v>
      </c>
      <c r="C1573" t="s">
        <v>55</v>
      </c>
      <c r="D1573" t="str">
        <f>HYPERLINK("http://service.sap.com/sap/support/notes/1798506","1798506")</f>
        <v>1798506</v>
      </c>
      <c r="E1573">
        <v>1</v>
      </c>
      <c r="F1573" t="s">
        <v>1917</v>
      </c>
    </row>
    <row r="1574" spans="1:6" x14ac:dyDescent="0.25">
      <c r="A1574" t="s">
        <v>1558</v>
      </c>
      <c r="B1574" t="s">
        <v>356</v>
      </c>
      <c r="C1574" t="s">
        <v>55</v>
      </c>
      <c r="D1574" t="str">
        <f>HYPERLINK("http://service.sap.com/sap/support/notes/1798507","1798507")</f>
        <v>1798507</v>
      </c>
      <c r="E1574">
        <v>1</v>
      </c>
      <c r="F1574" t="s">
        <v>1918</v>
      </c>
    </row>
    <row r="1575" spans="1:6" x14ac:dyDescent="0.25">
      <c r="A1575" t="s">
        <v>1558</v>
      </c>
      <c r="B1575" t="s">
        <v>356</v>
      </c>
      <c r="C1575" t="s">
        <v>55</v>
      </c>
      <c r="D1575" t="str">
        <f>HYPERLINK("http://service.sap.com/sap/support/notes/1798808","1798808")</f>
        <v>1798808</v>
      </c>
      <c r="E1575">
        <v>1</v>
      </c>
      <c r="F1575" t="s">
        <v>1919</v>
      </c>
    </row>
    <row r="1576" spans="1:6" x14ac:dyDescent="0.25">
      <c r="A1576" t="s">
        <v>1558</v>
      </c>
      <c r="B1576" t="s">
        <v>356</v>
      </c>
      <c r="C1576" t="s">
        <v>55</v>
      </c>
      <c r="D1576" t="str">
        <f>HYPERLINK("http://service.sap.com/sap/support/notes/1799219","1799219")</f>
        <v>1799219</v>
      </c>
      <c r="E1576">
        <v>1</v>
      </c>
      <c r="F1576" t="s">
        <v>1920</v>
      </c>
    </row>
    <row r="1577" spans="1:6" x14ac:dyDescent="0.25">
      <c r="A1577" t="s">
        <v>1558</v>
      </c>
      <c r="B1577" t="s">
        <v>356</v>
      </c>
      <c r="C1577" t="s">
        <v>55</v>
      </c>
      <c r="D1577" t="str">
        <f>HYPERLINK("http://service.sap.com/sap/support/notes/1799769","1799769")</f>
        <v>1799769</v>
      </c>
      <c r="E1577">
        <v>2</v>
      </c>
      <c r="F1577" t="s">
        <v>1921</v>
      </c>
    </row>
    <row r="1578" spans="1:6" x14ac:dyDescent="0.25">
      <c r="A1578" t="s">
        <v>1558</v>
      </c>
      <c r="B1578" t="s">
        <v>356</v>
      </c>
      <c r="C1578" t="s">
        <v>55</v>
      </c>
      <c r="D1578" t="str">
        <f>HYPERLINK("http://service.sap.com/sap/support/notes/1800416","1800416")</f>
        <v>1800416</v>
      </c>
      <c r="E1578">
        <v>5</v>
      </c>
      <c r="F1578" t="s">
        <v>1922</v>
      </c>
    </row>
    <row r="1579" spans="1:6" x14ac:dyDescent="0.25">
      <c r="A1579" t="s">
        <v>1558</v>
      </c>
      <c r="B1579" t="s">
        <v>356</v>
      </c>
      <c r="C1579" t="s">
        <v>55</v>
      </c>
      <c r="D1579" t="str">
        <f>HYPERLINK("http://service.sap.com/sap/support/notes/1800744","1800744")</f>
        <v>1800744</v>
      </c>
      <c r="F1579" t="s">
        <v>1923</v>
      </c>
    </row>
    <row r="1580" spans="1:6" x14ac:dyDescent="0.25">
      <c r="A1580" t="s">
        <v>1558</v>
      </c>
      <c r="B1580" t="s">
        <v>356</v>
      </c>
      <c r="C1580" t="s">
        <v>55</v>
      </c>
      <c r="D1580" t="str">
        <f>HYPERLINK("http://service.sap.com/sap/support/notes/1803421","1803421")</f>
        <v>1803421</v>
      </c>
      <c r="F1580" t="s">
        <v>1924</v>
      </c>
    </row>
    <row r="1581" spans="1:6" x14ac:dyDescent="0.25">
      <c r="A1581" t="s">
        <v>1558</v>
      </c>
      <c r="B1581" t="s">
        <v>356</v>
      </c>
      <c r="C1581" t="s">
        <v>55</v>
      </c>
      <c r="D1581" t="str">
        <f>HYPERLINK("http://service.sap.com/sap/support/notes/1803478","1803478")</f>
        <v>1803478</v>
      </c>
      <c r="E1581">
        <v>2</v>
      </c>
      <c r="F1581" t="s">
        <v>1925</v>
      </c>
    </row>
    <row r="1582" spans="1:6" x14ac:dyDescent="0.25">
      <c r="A1582" t="s">
        <v>1558</v>
      </c>
      <c r="B1582" t="s">
        <v>356</v>
      </c>
      <c r="C1582" t="s">
        <v>55</v>
      </c>
      <c r="D1582" t="str">
        <f>HYPERLINK("http://service.sap.com/sap/support/notes/1803571","1803571")</f>
        <v>1803571</v>
      </c>
      <c r="F1582" t="s">
        <v>1926</v>
      </c>
    </row>
    <row r="1583" spans="1:6" x14ac:dyDescent="0.25">
      <c r="A1583" t="s">
        <v>1558</v>
      </c>
      <c r="B1583" t="s">
        <v>356</v>
      </c>
      <c r="C1583" t="s">
        <v>55</v>
      </c>
      <c r="D1583" t="str">
        <f>HYPERLINK("http://service.sap.com/sap/support/notes/1803998","1803998")</f>
        <v>1803998</v>
      </c>
      <c r="F1583" t="s">
        <v>1927</v>
      </c>
    </row>
    <row r="1584" spans="1:6" x14ac:dyDescent="0.25">
      <c r="A1584" t="s">
        <v>1558</v>
      </c>
      <c r="B1584" t="s">
        <v>356</v>
      </c>
      <c r="C1584" t="s">
        <v>55</v>
      </c>
      <c r="D1584" t="str">
        <f>HYPERLINK("http://service.sap.com/sap/support/notes/1804704","1804704")</f>
        <v>1804704</v>
      </c>
      <c r="E1584">
        <v>2</v>
      </c>
      <c r="F1584" t="s">
        <v>1928</v>
      </c>
    </row>
    <row r="1585" spans="1:6" x14ac:dyDescent="0.25">
      <c r="A1585" t="s">
        <v>1558</v>
      </c>
      <c r="B1585" t="s">
        <v>356</v>
      </c>
      <c r="C1585" t="s">
        <v>55</v>
      </c>
      <c r="D1585" t="str">
        <f>HYPERLINK("http://service.sap.com/sap/support/notes/1805599","1805599")</f>
        <v>1805599</v>
      </c>
      <c r="E1585">
        <v>1</v>
      </c>
      <c r="F1585" t="s">
        <v>1929</v>
      </c>
    </row>
    <row r="1586" spans="1:6" x14ac:dyDescent="0.25">
      <c r="A1586" t="s">
        <v>1558</v>
      </c>
      <c r="B1586" t="s">
        <v>356</v>
      </c>
      <c r="C1586" t="s">
        <v>55</v>
      </c>
      <c r="D1586" t="str">
        <f>HYPERLINK("http://service.sap.com/sap/support/notes/1805931","1805931")</f>
        <v>1805931</v>
      </c>
      <c r="E1586">
        <v>1</v>
      </c>
      <c r="F1586" t="s">
        <v>1930</v>
      </c>
    </row>
    <row r="1587" spans="1:6" x14ac:dyDescent="0.25">
      <c r="A1587" t="s">
        <v>1558</v>
      </c>
      <c r="B1587" t="s">
        <v>356</v>
      </c>
      <c r="C1587" t="s">
        <v>55</v>
      </c>
      <c r="D1587" t="str">
        <f>HYPERLINK("http://service.sap.com/sap/support/notes/1805932","1805932")</f>
        <v>1805932</v>
      </c>
      <c r="E1587">
        <v>1</v>
      </c>
      <c r="F1587" t="s">
        <v>1931</v>
      </c>
    </row>
    <row r="1588" spans="1:6" x14ac:dyDescent="0.25">
      <c r="A1588" t="s">
        <v>1558</v>
      </c>
      <c r="B1588" t="s">
        <v>362</v>
      </c>
      <c r="C1588" t="s">
        <v>363</v>
      </c>
      <c r="D1588" t="str">
        <f>HYPERLINK("http://service.sap.com/sap/support/notes/1782534","1782534")</f>
        <v>1782534</v>
      </c>
      <c r="E1588">
        <v>1</v>
      </c>
      <c r="F1588" t="s">
        <v>1932</v>
      </c>
    </row>
    <row r="1589" spans="1:6" x14ac:dyDescent="0.25">
      <c r="A1589" t="s">
        <v>1558</v>
      </c>
      <c r="B1589" t="s">
        <v>362</v>
      </c>
      <c r="C1589" t="s">
        <v>363</v>
      </c>
      <c r="D1589" t="str">
        <f>HYPERLINK("http://service.sap.com/sap/support/notes/1786676","1786676")</f>
        <v>1786676</v>
      </c>
      <c r="E1589">
        <v>4</v>
      </c>
      <c r="F1589" t="s">
        <v>1933</v>
      </c>
    </row>
    <row r="1590" spans="1:6" x14ac:dyDescent="0.25">
      <c r="A1590" t="s">
        <v>1558</v>
      </c>
      <c r="B1590" t="s">
        <v>362</v>
      </c>
      <c r="C1590" t="s">
        <v>363</v>
      </c>
      <c r="D1590" t="str">
        <f>HYPERLINK("http://service.sap.com/sap/support/notes/1789672","1789672")</f>
        <v>1789672</v>
      </c>
      <c r="E1590">
        <v>6</v>
      </c>
      <c r="F1590" t="s">
        <v>1934</v>
      </c>
    </row>
    <row r="1591" spans="1:6" x14ac:dyDescent="0.25">
      <c r="A1591" t="s">
        <v>1558</v>
      </c>
      <c r="B1591" t="s">
        <v>362</v>
      </c>
      <c r="C1591" t="s">
        <v>363</v>
      </c>
      <c r="D1591" t="str">
        <f>HYPERLINK("http://service.sap.com/sap/support/notes/1792168","1792168")</f>
        <v>1792168</v>
      </c>
      <c r="E1591">
        <v>4</v>
      </c>
      <c r="F1591" t="s">
        <v>1935</v>
      </c>
    </row>
    <row r="1592" spans="1:6" x14ac:dyDescent="0.25">
      <c r="A1592" t="s">
        <v>1558</v>
      </c>
      <c r="B1592" t="s">
        <v>362</v>
      </c>
      <c r="C1592" t="s">
        <v>363</v>
      </c>
      <c r="D1592" t="str">
        <f>HYPERLINK("http://service.sap.com/sap/support/notes/1792475","1792475")</f>
        <v>1792475</v>
      </c>
      <c r="E1592">
        <v>1</v>
      </c>
      <c r="F1592" t="s">
        <v>1936</v>
      </c>
    </row>
    <row r="1593" spans="1:6" x14ac:dyDescent="0.25">
      <c r="A1593" t="s">
        <v>1558</v>
      </c>
      <c r="B1593" t="s">
        <v>362</v>
      </c>
      <c r="C1593" t="s">
        <v>363</v>
      </c>
      <c r="D1593" t="str">
        <f>HYPERLINK("http://service.sap.com/sap/support/notes/1793960","1793960")</f>
        <v>1793960</v>
      </c>
      <c r="E1593">
        <v>2</v>
      </c>
      <c r="F1593" t="s">
        <v>1937</v>
      </c>
    </row>
    <row r="1594" spans="1:6" x14ac:dyDescent="0.25">
      <c r="A1594" t="s">
        <v>1558</v>
      </c>
      <c r="B1594" t="s">
        <v>362</v>
      </c>
      <c r="C1594" t="s">
        <v>363</v>
      </c>
      <c r="D1594" t="str">
        <f>HYPERLINK("http://service.sap.com/sap/support/notes/1793962","1793962")</f>
        <v>1793962</v>
      </c>
      <c r="E1594">
        <v>3</v>
      </c>
      <c r="F1594" t="s">
        <v>1938</v>
      </c>
    </row>
    <row r="1595" spans="1:6" x14ac:dyDescent="0.25">
      <c r="A1595" t="s">
        <v>1558</v>
      </c>
      <c r="B1595" t="s">
        <v>362</v>
      </c>
      <c r="C1595" t="s">
        <v>363</v>
      </c>
      <c r="D1595" t="str">
        <f>HYPERLINK("http://service.sap.com/sap/support/notes/1795861","1795861")</f>
        <v>1795861</v>
      </c>
      <c r="E1595">
        <v>2</v>
      </c>
      <c r="F1595" t="s">
        <v>1939</v>
      </c>
    </row>
    <row r="1596" spans="1:6" x14ac:dyDescent="0.25">
      <c r="A1596" t="s">
        <v>1558</v>
      </c>
      <c r="B1596" t="s">
        <v>362</v>
      </c>
      <c r="C1596" t="s">
        <v>363</v>
      </c>
      <c r="D1596" t="str">
        <f>HYPERLINK("http://service.sap.com/sap/support/notes/1796431","1796431")</f>
        <v>1796431</v>
      </c>
      <c r="E1596">
        <v>2</v>
      </c>
      <c r="F1596" t="s">
        <v>1940</v>
      </c>
    </row>
    <row r="1597" spans="1:6" x14ac:dyDescent="0.25">
      <c r="A1597" t="s">
        <v>1558</v>
      </c>
      <c r="B1597" t="s">
        <v>362</v>
      </c>
      <c r="C1597" t="s">
        <v>363</v>
      </c>
      <c r="D1597" t="str">
        <f>HYPERLINK("http://service.sap.com/sap/support/notes/1798066","1798066")</f>
        <v>1798066</v>
      </c>
      <c r="E1597">
        <v>4</v>
      </c>
      <c r="F1597" t="s">
        <v>1941</v>
      </c>
    </row>
    <row r="1598" spans="1:6" x14ac:dyDescent="0.25">
      <c r="A1598" t="s">
        <v>1558</v>
      </c>
      <c r="B1598" t="s">
        <v>362</v>
      </c>
      <c r="C1598" t="s">
        <v>363</v>
      </c>
      <c r="D1598" t="str">
        <f>HYPERLINK("http://service.sap.com/sap/support/notes/1798740","1798740")</f>
        <v>1798740</v>
      </c>
      <c r="E1598">
        <v>1</v>
      </c>
      <c r="F1598" t="s">
        <v>1942</v>
      </c>
    </row>
    <row r="1599" spans="1:6" x14ac:dyDescent="0.25">
      <c r="A1599" t="s">
        <v>1558</v>
      </c>
      <c r="B1599" t="s">
        <v>362</v>
      </c>
      <c r="C1599" t="s">
        <v>363</v>
      </c>
      <c r="D1599" t="str">
        <f>HYPERLINK("http://service.sap.com/sap/support/notes/1800060","1800060")</f>
        <v>1800060</v>
      </c>
      <c r="E1599">
        <v>2</v>
      </c>
      <c r="F1599" t="s">
        <v>1943</v>
      </c>
    </row>
    <row r="1600" spans="1:6" x14ac:dyDescent="0.25">
      <c r="A1600" t="s">
        <v>1558</v>
      </c>
      <c r="B1600" t="s">
        <v>362</v>
      </c>
      <c r="C1600" t="s">
        <v>363</v>
      </c>
      <c r="D1600" t="str">
        <f>HYPERLINK("http://service.sap.com/sap/support/notes/1800499","1800499")</f>
        <v>1800499</v>
      </c>
      <c r="E1600">
        <v>2</v>
      </c>
      <c r="F1600" t="s">
        <v>1944</v>
      </c>
    </row>
    <row r="1601" spans="1:6" x14ac:dyDescent="0.25">
      <c r="A1601" t="s">
        <v>1558</v>
      </c>
      <c r="B1601" t="s">
        <v>362</v>
      </c>
      <c r="C1601" t="s">
        <v>363</v>
      </c>
      <c r="D1601" t="str">
        <f>HYPERLINK("http://service.sap.com/sap/support/notes/1802907","1802907")</f>
        <v>1802907</v>
      </c>
      <c r="E1601">
        <v>2</v>
      </c>
      <c r="F1601" t="s">
        <v>1945</v>
      </c>
    </row>
    <row r="1602" spans="1:6" x14ac:dyDescent="0.25">
      <c r="A1602" t="s">
        <v>1558</v>
      </c>
      <c r="B1602" t="s">
        <v>362</v>
      </c>
      <c r="C1602" t="s">
        <v>363</v>
      </c>
      <c r="D1602" t="str">
        <f>HYPERLINK("http://service.sap.com/sap/support/notes/1806002","1806002")</f>
        <v>1806002</v>
      </c>
      <c r="E1602">
        <v>4</v>
      </c>
      <c r="F1602" t="s">
        <v>1946</v>
      </c>
    </row>
    <row r="1603" spans="1:6" x14ac:dyDescent="0.25">
      <c r="A1603" t="s">
        <v>1558</v>
      </c>
      <c r="B1603" t="s">
        <v>379</v>
      </c>
      <c r="C1603" t="s">
        <v>380</v>
      </c>
      <c r="D1603" t="str">
        <f>HYPERLINK("http://service.sap.com/sap/support/notes/1800484","1800484")</f>
        <v>1800484</v>
      </c>
      <c r="E1603">
        <v>6</v>
      </c>
      <c r="F1603" t="s">
        <v>1947</v>
      </c>
    </row>
    <row r="1604" spans="1:6" x14ac:dyDescent="0.25">
      <c r="A1604" t="s">
        <v>1558</v>
      </c>
      <c r="B1604" t="s">
        <v>384</v>
      </c>
      <c r="C1604" t="s">
        <v>385</v>
      </c>
      <c r="D1604" t="str">
        <f>HYPERLINK("http://service.sap.com/sap/support/notes/1724017","1724017")</f>
        <v>1724017</v>
      </c>
      <c r="E1604">
        <v>1</v>
      </c>
      <c r="F1604" t="s">
        <v>387</v>
      </c>
    </row>
    <row r="1605" spans="1:6" x14ac:dyDescent="0.25">
      <c r="A1605" t="s">
        <v>1558</v>
      </c>
      <c r="B1605" t="s">
        <v>384</v>
      </c>
      <c r="C1605" t="s">
        <v>385</v>
      </c>
      <c r="D1605" t="str">
        <f>HYPERLINK("http://service.sap.com/sap/support/notes/1791420","1791420")</f>
        <v>1791420</v>
      </c>
      <c r="E1605">
        <v>1</v>
      </c>
      <c r="F1605" t="s">
        <v>1948</v>
      </c>
    </row>
    <row r="1606" spans="1:6" x14ac:dyDescent="0.25">
      <c r="A1606" t="s">
        <v>1558</v>
      </c>
      <c r="B1606" t="s">
        <v>384</v>
      </c>
      <c r="C1606" t="s">
        <v>385</v>
      </c>
      <c r="D1606" t="str">
        <f>HYPERLINK("http://service.sap.com/sap/support/notes/1799030","1799030")</f>
        <v>1799030</v>
      </c>
      <c r="E1606">
        <v>1</v>
      </c>
      <c r="F1606" t="s">
        <v>1949</v>
      </c>
    </row>
    <row r="1607" spans="1:6" x14ac:dyDescent="0.25">
      <c r="A1607" t="s">
        <v>1558</v>
      </c>
      <c r="B1607" t="s">
        <v>395</v>
      </c>
      <c r="C1607" t="s">
        <v>396</v>
      </c>
      <c r="D1607" t="str">
        <f>HYPERLINK("http://service.sap.com/sap/support/notes/1781877","1781877")</f>
        <v>1781877</v>
      </c>
      <c r="E1607">
        <v>1</v>
      </c>
      <c r="F1607" t="s">
        <v>1950</v>
      </c>
    </row>
    <row r="1608" spans="1:6" x14ac:dyDescent="0.25">
      <c r="A1608" t="s">
        <v>1558</v>
      </c>
      <c r="B1608" t="s">
        <v>395</v>
      </c>
      <c r="C1608" t="s">
        <v>396</v>
      </c>
      <c r="D1608" t="str">
        <f>HYPERLINK("http://service.sap.com/sap/support/notes/1785955","1785955")</f>
        <v>1785955</v>
      </c>
      <c r="E1608">
        <v>1</v>
      </c>
      <c r="F1608" t="s">
        <v>1951</v>
      </c>
    </row>
    <row r="1609" spans="1:6" x14ac:dyDescent="0.25">
      <c r="A1609" t="s">
        <v>1558</v>
      </c>
      <c r="B1609" t="s">
        <v>395</v>
      </c>
      <c r="C1609" t="s">
        <v>396</v>
      </c>
      <c r="D1609" t="str">
        <f>HYPERLINK("http://service.sap.com/sap/support/notes/1791813","1791813")</f>
        <v>1791813</v>
      </c>
      <c r="E1609">
        <v>1</v>
      </c>
      <c r="F1609" t="s">
        <v>1952</v>
      </c>
    </row>
    <row r="1610" spans="1:6" x14ac:dyDescent="0.25">
      <c r="A1610" t="s">
        <v>1558</v>
      </c>
      <c r="B1610" t="s">
        <v>395</v>
      </c>
      <c r="C1610" t="s">
        <v>396</v>
      </c>
      <c r="D1610" t="str">
        <f>HYPERLINK("http://service.sap.com/sap/support/notes/1797637","1797637")</f>
        <v>1797637</v>
      </c>
      <c r="E1610">
        <v>1</v>
      </c>
      <c r="F1610" t="s">
        <v>1953</v>
      </c>
    </row>
    <row r="1611" spans="1:6" x14ac:dyDescent="0.25">
      <c r="A1611" t="s">
        <v>1558</v>
      </c>
      <c r="B1611" t="s">
        <v>395</v>
      </c>
      <c r="C1611" t="s">
        <v>396</v>
      </c>
      <c r="D1611" t="str">
        <f>HYPERLINK("http://service.sap.com/sap/support/notes/1797927","1797927")</f>
        <v>1797927</v>
      </c>
      <c r="E1611">
        <v>1</v>
      </c>
      <c r="F1611" t="s">
        <v>1954</v>
      </c>
    </row>
    <row r="1612" spans="1:6" x14ac:dyDescent="0.25">
      <c r="A1612" t="s">
        <v>1558</v>
      </c>
      <c r="B1612" t="s">
        <v>395</v>
      </c>
      <c r="C1612" t="s">
        <v>396</v>
      </c>
      <c r="D1612" t="str">
        <f>HYPERLINK("http://service.sap.com/sap/support/notes/1799266","1799266")</f>
        <v>1799266</v>
      </c>
      <c r="E1612">
        <v>1</v>
      </c>
      <c r="F1612" t="s">
        <v>1955</v>
      </c>
    </row>
    <row r="1613" spans="1:6" x14ac:dyDescent="0.25">
      <c r="A1613" t="s">
        <v>1558</v>
      </c>
      <c r="B1613" t="s">
        <v>402</v>
      </c>
      <c r="C1613" t="s">
        <v>403</v>
      </c>
      <c r="D1613" t="str">
        <f>HYPERLINK("http://service.sap.com/sap/support/notes/1799897","1799897")</f>
        <v>1799897</v>
      </c>
      <c r="E1613">
        <v>1</v>
      </c>
      <c r="F1613" t="s">
        <v>1956</v>
      </c>
    </row>
    <row r="1614" spans="1:6" x14ac:dyDescent="0.25">
      <c r="A1614" t="s">
        <v>1558</v>
      </c>
      <c r="B1614" t="s">
        <v>406</v>
      </c>
      <c r="C1614" t="s">
        <v>407</v>
      </c>
      <c r="D1614" t="str">
        <f>HYPERLINK("http://service.sap.com/sap/support/notes/1753360","1753360")</f>
        <v>1753360</v>
      </c>
      <c r="E1614">
        <v>4</v>
      </c>
      <c r="F1614" t="s">
        <v>1957</v>
      </c>
    </row>
    <row r="1615" spans="1:6" x14ac:dyDescent="0.25">
      <c r="A1615" t="s">
        <v>1558</v>
      </c>
      <c r="B1615" t="s">
        <v>406</v>
      </c>
      <c r="C1615" t="s">
        <v>407</v>
      </c>
      <c r="D1615" t="str">
        <f>HYPERLINK("http://service.sap.com/sap/support/notes/1773691","1773691")</f>
        <v>1773691</v>
      </c>
      <c r="E1615">
        <v>3</v>
      </c>
      <c r="F1615" t="s">
        <v>1958</v>
      </c>
    </row>
    <row r="1616" spans="1:6" x14ac:dyDescent="0.25">
      <c r="A1616" t="s">
        <v>1558</v>
      </c>
      <c r="B1616" t="s">
        <v>406</v>
      </c>
      <c r="C1616" t="s">
        <v>407</v>
      </c>
      <c r="D1616" t="str">
        <f>HYPERLINK("http://service.sap.com/sap/support/notes/1780875","1780875")</f>
        <v>1780875</v>
      </c>
      <c r="E1616">
        <v>3</v>
      </c>
      <c r="F1616" t="s">
        <v>1959</v>
      </c>
    </row>
    <row r="1617" spans="1:6" x14ac:dyDescent="0.25">
      <c r="A1617" t="s">
        <v>1558</v>
      </c>
      <c r="B1617" t="s">
        <v>406</v>
      </c>
      <c r="C1617" t="s">
        <v>407</v>
      </c>
      <c r="D1617" t="str">
        <f>HYPERLINK("http://service.sap.com/sap/support/notes/1782737","1782737")</f>
        <v>1782737</v>
      </c>
      <c r="E1617">
        <v>5</v>
      </c>
      <c r="F1617" t="s">
        <v>1960</v>
      </c>
    </row>
    <row r="1618" spans="1:6" x14ac:dyDescent="0.25">
      <c r="A1618" t="s">
        <v>1558</v>
      </c>
      <c r="B1618" t="s">
        <v>406</v>
      </c>
      <c r="C1618" t="s">
        <v>407</v>
      </c>
      <c r="D1618" t="str">
        <f>HYPERLINK("http://service.sap.com/sap/support/notes/1784618","1784618")</f>
        <v>1784618</v>
      </c>
      <c r="E1618">
        <v>1</v>
      </c>
      <c r="F1618" t="s">
        <v>1961</v>
      </c>
    </row>
    <row r="1619" spans="1:6" x14ac:dyDescent="0.25">
      <c r="A1619" t="s">
        <v>1558</v>
      </c>
      <c r="B1619" t="s">
        <v>406</v>
      </c>
      <c r="C1619" t="s">
        <v>407</v>
      </c>
      <c r="D1619" t="str">
        <f>HYPERLINK("http://service.sap.com/sap/support/notes/1794650","1794650")</f>
        <v>1794650</v>
      </c>
      <c r="E1619">
        <v>1</v>
      </c>
      <c r="F1619" t="s">
        <v>1760</v>
      </c>
    </row>
    <row r="1620" spans="1:6" x14ac:dyDescent="0.25">
      <c r="A1620" t="s">
        <v>1558</v>
      </c>
      <c r="B1620" t="s">
        <v>406</v>
      </c>
      <c r="C1620" t="s">
        <v>407</v>
      </c>
      <c r="D1620" t="str">
        <f>HYPERLINK("http://service.sap.com/sap/support/notes/1795806","1795806")</f>
        <v>1795806</v>
      </c>
      <c r="E1620">
        <v>1</v>
      </c>
      <c r="F1620" t="s">
        <v>1962</v>
      </c>
    </row>
    <row r="1621" spans="1:6" x14ac:dyDescent="0.25">
      <c r="A1621" t="s">
        <v>1558</v>
      </c>
      <c r="B1621" t="s">
        <v>406</v>
      </c>
      <c r="C1621" t="s">
        <v>407</v>
      </c>
      <c r="D1621" t="str">
        <f>HYPERLINK("http://service.sap.com/sap/support/notes/1796628","1796628")</f>
        <v>1796628</v>
      </c>
      <c r="E1621">
        <v>2</v>
      </c>
      <c r="F1621" t="s">
        <v>1963</v>
      </c>
    </row>
    <row r="1622" spans="1:6" x14ac:dyDescent="0.25">
      <c r="A1622" t="s">
        <v>1558</v>
      </c>
      <c r="B1622" t="s">
        <v>409</v>
      </c>
      <c r="C1622" t="s">
        <v>410</v>
      </c>
      <c r="D1622" t="str">
        <f>HYPERLINK("http://service.sap.com/sap/support/notes/1779245","1779245")</f>
        <v>1779245</v>
      </c>
      <c r="E1622">
        <v>3</v>
      </c>
      <c r="F1622" t="s">
        <v>1964</v>
      </c>
    </row>
    <row r="1623" spans="1:6" x14ac:dyDescent="0.25">
      <c r="A1623" t="s">
        <v>1558</v>
      </c>
      <c r="B1623" t="s">
        <v>409</v>
      </c>
      <c r="C1623" t="s">
        <v>410</v>
      </c>
      <c r="D1623" t="str">
        <f>HYPERLINK("http://service.sap.com/sap/support/notes/1780863","1780863")</f>
        <v>1780863</v>
      </c>
      <c r="E1623">
        <v>2</v>
      </c>
      <c r="F1623" t="s">
        <v>1965</v>
      </c>
    </row>
    <row r="1624" spans="1:6" x14ac:dyDescent="0.25">
      <c r="A1624" t="s">
        <v>1558</v>
      </c>
      <c r="B1624" t="s">
        <v>409</v>
      </c>
      <c r="C1624" t="s">
        <v>410</v>
      </c>
      <c r="D1624" t="str">
        <f>HYPERLINK("http://service.sap.com/sap/support/notes/1784200","1784200")</f>
        <v>1784200</v>
      </c>
      <c r="E1624">
        <v>2</v>
      </c>
      <c r="F1624" t="s">
        <v>1966</v>
      </c>
    </row>
    <row r="1625" spans="1:6" x14ac:dyDescent="0.25">
      <c r="A1625" t="s">
        <v>1558</v>
      </c>
      <c r="B1625" t="s">
        <v>409</v>
      </c>
      <c r="C1625" t="s">
        <v>410</v>
      </c>
      <c r="D1625" t="str">
        <f>HYPERLINK("http://service.sap.com/sap/support/notes/1796955","1796955")</f>
        <v>1796955</v>
      </c>
      <c r="E1625">
        <v>4</v>
      </c>
      <c r="F1625" t="s">
        <v>1967</v>
      </c>
    </row>
    <row r="1626" spans="1:6" x14ac:dyDescent="0.25">
      <c r="A1626" t="s">
        <v>1558</v>
      </c>
      <c r="B1626" t="s">
        <v>409</v>
      </c>
      <c r="C1626" t="s">
        <v>410</v>
      </c>
      <c r="D1626" t="str">
        <f>HYPERLINK("http://service.sap.com/sap/support/notes/1798359","1798359")</f>
        <v>1798359</v>
      </c>
      <c r="E1626">
        <v>3</v>
      </c>
      <c r="F1626" t="s">
        <v>1968</v>
      </c>
    </row>
    <row r="1627" spans="1:6" x14ac:dyDescent="0.25">
      <c r="A1627" t="s">
        <v>1558</v>
      </c>
      <c r="B1627" t="s">
        <v>423</v>
      </c>
      <c r="C1627" t="s">
        <v>424</v>
      </c>
      <c r="D1627" t="str">
        <f>HYPERLINK("http://service.sap.com/sap/support/notes/1772490","1772490")</f>
        <v>1772490</v>
      </c>
      <c r="E1627">
        <v>3</v>
      </c>
      <c r="F1627" t="s">
        <v>1969</v>
      </c>
    </row>
    <row r="1628" spans="1:6" x14ac:dyDescent="0.25">
      <c r="A1628" t="s">
        <v>1558</v>
      </c>
      <c r="B1628" t="s">
        <v>423</v>
      </c>
      <c r="C1628" t="s">
        <v>424</v>
      </c>
      <c r="D1628" t="str">
        <f>HYPERLINK("http://service.sap.com/sap/support/notes/1781215","1781215")</f>
        <v>1781215</v>
      </c>
      <c r="E1628">
        <v>2</v>
      </c>
      <c r="F1628" t="s">
        <v>1970</v>
      </c>
    </row>
    <row r="1629" spans="1:6" x14ac:dyDescent="0.25">
      <c r="A1629" t="s">
        <v>1558</v>
      </c>
      <c r="B1629" t="s">
        <v>423</v>
      </c>
      <c r="C1629" t="s">
        <v>424</v>
      </c>
      <c r="D1629" t="str">
        <f>HYPERLINK("http://service.sap.com/sap/support/notes/1784992","1784992")</f>
        <v>1784992</v>
      </c>
      <c r="E1629">
        <v>1</v>
      </c>
      <c r="F1629" t="s">
        <v>1971</v>
      </c>
    </row>
    <row r="1630" spans="1:6" x14ac:dyDescent="0.25">
      <c r="A1630" t="s">
        <v>1558</v>
      </c>
      <c r="B1630" t="s">
        <v>423</v>
      </c>
      <c r="C1630" t="s">
        <v>424</v>
      </c>
      <c r="D1630" t="str">
        <f>HYPERLINK("http://service.sap.com/sap/support/notes/1792440","1792440")</f>
        <v>1792440</v>
      </c>
      <c r="E1630">
        <v>1</v>
      </c>
      <c r="F1630" t="s">
        <v>1972</v>
      </c>
    </row>
    <row r="1631" spans="1:6" x14ac:dyDescent="0.25">
      <c r="A1631" t="s">
        <v>1558</v>
      </c>
      <c r="B1631" t="s">
        <v>423</v>
      </c>
      <c r="C1631" t="s">
        <v>424</v>
      </c>
      <c r="D1631" t="str">
        <f>HYPERLINK("http://service.sap.com/sap/support/notes/1792609","1792609")</f>
        <v>1792609</v>
      </c>
      <c r="E1631">
        <v>2</v>
      </c>
      <c r="F1631" t="s">
        <v>1973</v>
      </c>
    </row>
    <row r="1632" spans="1:6" x14ac:dyDescent="0.25">
      <c r="A1632" t="s">
        <v>1558</v>
      </c>
      <c r="B1632" t="s">
        <v>423</v>
      </c>
      <c r="C1632" t="s">
        <v>424</v>
      </c>
      <c r="D1632" t="str">
        <f>HYPERLINK("http://service.sap.com/sap/support/notes/1793296","1793296")</f>
        <v>1793296</v>
      </c>
      <c r="E1632">
        <v>1</v>
      </c>
      <c r="F1632" t="s">
        <v>1974</v>
      </c>
    </row>
    <row r="1633" spans="1:6" x14ac:dyDescent="0.25">
      <c r="A1633" t="s">
        <v>1558</v>
      </c>
      <c r="B1633" t="s">
        <v>423</v>
      </c>
      <c r="C1633" t="s">
        <v>424</v>
      </c>
      <c r="D1633" t="str">
        <f>HYPERLINK("http://service.sap.com/sap/support/notes/1795054","1795054")</f>
        <v>1795054</v>
      </c>
      <c r="E1633">
        <v>1</v>
      </c>
      <c r="F1633" t="s">
        <v>1975</v>
      </c>
    </row>
    <row r="1634" spans="1:6" x14ac:dyDescent="0.25">
      <c r="A1634" t="s">
        <v>1558</v>
      </c>
      <c r="B1634" t="s">
        <v>423</v>
      </c>
      <c r="C1634" t="s">
        <v>424</v>
      </c>
      <c r="D1634" t="str">
        <f>HYPERLINK("http://service.sap.com/sap/support/notes/1797420","1797420")</f>
        <v>1797420</v>
      </c>
      <c r="E1634">
        <v>1</v>
      </c>
      <c r="F1634" t="s">
        <v>1976</v>
      </c>
    </row>
    <row r="1635" spans="1:6" x14ac:dyDescent="0.25">
      <c r="A1635" t="s">
        <v>1558</v>
      </c>
      <c r="B1635" t="s">
        <v>423</v>
      </c>
      <c r="C1635" t="s">
        <v>424</v>
      </c>
      <c r="D1635" t="str">
        <f>HYPERLINK("http://service.sap.com/sap/support/notes/1802792","1802792")</f>
        <v>1802792</v>
      </c>
      <c r="E1635">
        <v>2</v>
      </c>
      <c r="F1635" t="s">
        <v>1977</v>
      </c>
    </row>
    <row r="1636" spans="1:6" x14ac:dyDescent="0.25">
      <c r="A1636" t="s">
        <v>1558</v>
      </c>
      <c r="B1636" t="s">
        <v>423</v>
      </c>
      <c r="C1636" t="s">
        <v>424</v>
      </c>
      <c r="D1636" t="str">
        <f>HYPERLINK("http://service.sap.com/sap/support/notes/1803274","1803274")</f>
        <v>1803274</v>
      </c>
      <c r="E1636">
        <v>2</v>
      </c>
      <c r="F1636" t="s">
        <v>1978</v>
      </c>
    </row>
    <row r="1637" spans="1:6" x14ac:dyDescent="0.25">
      <c r="A1637" t="s">
        <v>1558</v>
      </c>
      <c r="B1637" t="s">
        <v>423</v>
      </c>
      <c r="C1637" t="s">
        <v>424</v>
      </c>
      <c r="D1637" t="str">
        <f>HYPERLINK("http://service.sap.com/sap/support/notes/1804062","1804062")</f>
        <v>1804062</v>
      </c>
      <c r="E1637">
        <v>3</v>
      </c>
      <c r="F1637" t="s">
        <v>1979</v>
      </c>
    </row>
    <row r="1638" spans="1:6" x14ac:dyDescent="0.25">
      <c r="A1638" t="s">
        <v>1558</v>
      </c>
      <c r="B1638" t="s">
        <v>423</v>
      </c>
      <c r="C1638" t="s">
        <v>424</v>
      </c>
      <c r="D1638" t="str">
        <f>HYPERLINK("http://service.sap.com/sap/support/notes/1804813","1804813")</f>
        <v>1804813</v>
      </c>
      <c r="E1638">
        <v>2</v>
      </c>
      <c r="F1638" t="s">
        <v>1980</v>
      </c>
    </row>
    <row r="1639" spans="1:6" x14ac:dyDescent="0.25">
      <c r="A1639" t="s">
        <v>1558</v>
      </c>
      <c r="B1639" t="s">
        <v>430</v>
      </c>
      <c r="C1639" t="s">
        <v>431</v>
      </c>
      <c r="D1639" t="str">
        <f>HYPERLINK("http://service.sap.com/sap/support/notes/1774452","1774452")</f>
        <v>1774452</v>
      </c>
      <c r="E1639">
        <v>3</v>
      </c>
      <c r="F1639" t="s">
        <v>1981</v>
      </c>
    </row>
    <row r="1640" spans="1:6" x14ac:dyDescent="0.25">
      <c r="A1640" t="s">
        <v>1558</v>
      </c>
      <c r="B1640" t="s">
        <v>430</v>
      </c>
      <c r="C1640" t="s">
        <v>431</v>
      </c>
      <c r="D1640" t="str">
        <f>HYPERLINK("http://service.sap.com/sap/support/notes/1799280","1799280")</f>
        <v>1799280</v>
      </c>
      <c r="E1640">
        <v>1</v>
      </c>
      <c r="F1640" t="s">
        <v>1982</v>
      </c>
    </row>
    <row r="1641" spans="1:6" x14ac:dyDescent="0.25">
      <c r="A1641" t="s">
        <v>1558</v>
      </c>
      <c r="B1641" t="s">
        <v>430</v>
      </c>
      <c r="C1641" t="s">
        <v>431</v>
      </c>
      <c r="D1641" t="str">
        <f>HYPERLINK("http://service.sap.com/sap/support/notes/1802533","1802533")</f>
        <v>1802533</v>
      </c>
      <c r="E1641">
        <v>1</v>
      </c>
      <c r="F1641" t="s">
        <v>1983</v>
      </c>
    </row>
    <row r="1642" spans="1:6" x14ac:dyDescent="0.25">
      <c r="A1642" t="s">
        <v>1558</v>
      </c>
      <c r="B1642" t="s">
        <v>430</v>
      </c>
      <c r="C1642" t="s">
        <v>431</v>
      </c>
      <c r="D1642" t="str">
        <f>HYPERLINK("http://service.sap.com/sap/support/notes/1806044","1806044")</f>
        <v>1806044</v>
      </c>
      <c r="E1642">
        <v>3</v>
      </c>
      <c r="F1642" t="s">
        <v>1984</v>
      </c>
    </row>
    <row r="1643" spans="1:6" x14ac:dyDescent="0.25">
      <c r="A1643" t="s">
        <v>1558</v>
      </c>
      <c r="B1643" t="s">
        <v>437</v>
      </c>
      <c r="C1643" t="s">
        <v>438</v>
      </c>
      <c r="D1643" t="str">
        <f>HYPERLINK("http://service.sap.com/sap/support/notes/1791608","1791608")</f>
        <v>1791608</v>
      </c>
      <c r="E1643">
        <v>2</v>
      </c>
      <c r="F1643" t="s">
        <v>1985</v>
      </c>
    </row>
    <row r="1644" spans="1:6" x14ac:dyDescent="0.25">
      <c r="A1644" t="s">
        <v>1558</v>
      </c>
      <c r="B1644" t="s">
        <v>437</v>
      </c>
      <c r="C1644" t="s">
        <v>438</v>
      </c>
      <c r="D1644" t="str">
        <f>HYPERLINK("http://service.sap.com/sap/support/notes/1794702","1794702")</f>
        <v>1794702</v>
      </c>
      <c r="E1644">
        <v>3</v>
      </c>
      <c r="F1644" t="s">
        <v>1986</v>
      </c>
    </row>
    <row r="1645" spans="1:6" x14ac:dyDescent="0.25">
      <c r="A1645" t="s">
        <v>1558</v>
      </c>
      <c r="B1645" t="s">
        <v>437</v>
      </c>
      <c r="C1645" t="s">
        <v>438</v>
      </c>
      <c r="D1645" t="str">
        <f>HYPERLINK("http://service.sap.com/sap/support/notes/1798114","1798114")</f>
        <v>1798114</v>
      </c>
      <c r="E1645">
        <v>1</v>
      </c>
      <c r="F1645" t="s">
        <v>1987</v>
      </c>
    </row>
    <row r="1646" spans="1:6" x14ac:dyDescent="0.25">
      <c r="A1646" t="s">
        <v>1558</v>
      </c>
      <c r="B1646" t="s">
        <v>437</v>
      </c>
      <c r="C1646" t="s">
        <v>438</v>
      </c>
      <c r="D1646" t="str">
        <f>HYPERLINK("http://service.sap.com/sap/support/notes/1799224","1799224")</f>
        <v>1799224</v>
      </c>
      <c r="E1646">
        <v>1</v>
      </c>
      <c r="F1646" t="s">
        <v>1988</v>
      </c>
    </row>
    <row r="1647" spans="1:6" x14ac:dyDescent="0.25">
      <c r="A1647" t="s">
        <v>1558</v>
      </c>
      <c r="B1647" t="s">
        <v>437</v>
      </c>
      <c r="C1647" t="s">
        <v>438</v>
      </c>
      <c r="D1647" t="str">
        <f>HYPERLINK("http://service.sap.com/sap/support/notes/1799814","1799814")</f>
        <v>1799814</v>
      </c>
      <c r="E1647">
        <v>1</v>
      </c>
      <c r="F1647" t="s">
        <v>1989</v>
      </c>
    </row>
    <row r="1648" spans="1:6" x14ac:dyDescent="0.25">
      <c r="A1648" t="s">
        <v>1558</v>
      </c>
      <c r="B1648" t="s">
        <v>443</v>
      </c>
      <c r="C1648" t="s">
        <v>444</v>
      </c>
      <c r="D1648" t="str">
        <f>HYPERLINK("http://service.sap.com/sap/support/notes/1783858","1783858")</f>
        <v>1783858</v>
      </c>
      <c r="E1648">
        <v>3</v>
      </c>
      <c r="F1648" t="s">
        <v>1408</v>
      </c>
    </row>
    <row r="1649" spans="1:6" x14ac:dyDescent="0.25">
      <c r="A1649" t="s">
        <v>1558</v>
      </c>
      <c r="B1649" t="s">
        <v>443</v>
      </c>
      <c r="C1649" t="s">
        <v>444</v>
      </c>
      <c r="D1649" t="str">
        <f>HYPERLINK("http://service.sap.com/sap/support/notes/1790824","1790824")</f>
        <v>1790824</v>
      </c>
      <c r="E1649">
        <v>1</v>
      </c>
      <c r="F1649" t="s">
        <v>1409</v>
      </c>
    </row>
    <row r="1650" spans="1:6" x14ac:dyDescent="0.25">
      <c r="A1650" t="s">
        <v>1558</v>
      </c>
      <c r="B1650" t="s">
        <v>443</v>
      </c>
      <c r="C1650" t="s">
        <v>444</v>
      </c>
      <c r="D1650" t="str">
        <f>HYPERLINK("http://service.sap.com/sap/support/notes/1793041","1793041")</f>
        <v>1793041</v>
      </c>
      <c r="E1650">
        <v>2</v>
      </c>
      <c r="F1650" t="s">
        <v>1990</v>
      </c>
    </row>
    <row r="1651" spans="1:6" x14ac:dyDescent="0.25">
      <c r="A1651" t="s">
        <v>1558</v>
      </c>
      <c r="B1651" t="s">
        <v>443</v>
      </c>
      <c r="C1651" t="s">
        <v>444</v>
      </c>
      <c r="D1651" t="str">
        <f>HYPERLINK("http://service.sap.com/sap/support/notes/1794307","1794307")</f>
        <v>1794307</v>
      </c>
      <c r="E1651">
        <v>2</v>
      </c>
      <c r="F1651" t="s">
        <v>1991</v>
      </c>
    </row>
    <row r="1652" spans="1:6" x14ac:dyDescent="0.25">
      <c r="A1652" t="s">
        <v>1558</v>
      </c>
      <c r="B1652" t="s">
        <v>443</v>
      </c>
      <c r="C1652" t="s">
        <v>444</v>
      </c>
      <c r="D1652" t="str">
        <f>HYPERLINK("http://service.sap.com/sap/support/notes/1799792","1799792")</f>
        <v>1799792</v>
      </c>
      <c r="E1652">
        <v>1</v>
      </c>
      <c r="F1652" t="s">
        <v>1992</v>
      </c>
    </row>
    <row r="1653" spans="1:6" x14ac:dyDescent="0.25">
      <c r="A1653" t="s">
        <v>1558</v>
      </c>
      <c r="B1653" t="s">
        <v>443</v>
      </c>
      <c r="C1653" t="s">
        <v>444</v>
      </c>
      <c r="D1653" t="str">
        <f>HYPERLINK("http://service.sap.com/sap/support/notes/1803194","1803194")</f>
        <v>1803194</v>
      </c>
      <c r="E1653">
        <v>1</v>
      </c>
      <c r="F1653" t="s">
        <v>1993</v>
      </c>
    </row>
    <row r="1654" spans="1:6" x14ac:dyDescent="0.25">
      <c r="A1654" t="s">
        <v>1558</v>
      </c>
      <c r="B1654" t="s">
        <v>443</v>
      </c>
      <c r="C1654" t="s">
        <v>444</v>
      </c>
      <c r="D1654" t="str">
        <f>HYPERLINK("http://service.sap.com/sap/support/notes/1804171","1804171")</f>
        <v>1804171</v>
      </c>
      <c r="E1654">
        <v>1</v>
      </c>
      <c r="F1654" t="s">
        <v>1994</v>
      </c>
    </row>
    <row r="1655" spans="1:6" x14ac:dyDescent="0.25">
      <c r="A1655" t="s">
        <v>1558</v>
      </c>
      <c r="B1655" t="s">
        <v>443</v>
      </c>
      <c r="C1655" t="s">
        <v>444</v>
      </c>
      <c r="D1655" t="str">
        <f>HYPERLINK("http://service.sap.com/sap/support/notes/1805539","1805539")</f>
        <v>1805539</v>
      </c>
      <c r="E1655">
        <v>1</v>
      </c>
      <c r="F1655" t="s">
        <v>1995</v>
      </c>
    </row>
    <row r="1656" spans="1:6" x14ac:dyDescent="0.25">
      <c r="A1656" t="s">
        <v>1558</v>
      </c>
      <c r="B1656" t="s">
        <v>450</v>
      </c>
      <c r="C1656" t="s">
        <v>451</v>
      </c>
      <c r="D1656" t="str">
        <f>HYPERLINK("http://service.sap.com/sap/support/notes/1774995","1774995")</f>
        <v>1774995</v>
      </c>
      <c r="E1656">
        <v>6</v>
      </c>
      <c r="F1656" t="s">
        <v>1557</v>
      </c>
    </row>
    <row r="1657" spans="1:6" x14ac:dyDescent="0.25">
      <c r="A1657" t="s">
        <v>1558</v>
      </c>
      <c r="B1657" t="s">
        <v>450</v>
      </c>
      <c r="C1657" t="s">
        <v>451</v>
      </c>
      <c r="D1657" t="str">
        <f>HYPERLINK("http://service.sap.com/sap/support/notes/1796747","1796747")</f>
        <v>1796747</v>
      </c>
      <c r="E1657">
        <v>2</v>
      </c>
      <c r="F1657" t="s">
        <v>1996</v>
      </c>
    </row>
    <row r="1658" spans="1:6" x14ac:dyDescent="0.25">
      <c r="A1658" t="s">
        <v>1558</v>
      </c>
      <c r="B1658" t="s">
        <v>450</v>
      </c>
      <c r="C1658" t="s">
        <v>451</v>
      </c>
      <c r="D1658" t="str">
        <f>HYPERLINK("http://service.sap.com/sap/support/notes/1797337","1797337")</f>
        <v>1797337</v>
      </c>
      <c r="E1658">
        <v>1</v>
      </c>
      <c r="F1658" t="s">
        <v>1997</v>
      </c>
    </row>
    <row r="1659" spans="1:6" x14ac:dyDescent="0.25">
      <c r="A1659" t="s">
        <v>1558</v>
      </c>
      <c r="B1659" t="s">
        <v>450</v>
      </c>
      <c r="C1659" t="s">
        <v>451</v>
      </c>
      <c r="D1659" t="str">
        <f>HYPERLINK("http://service.sap.com/sap/support/notes/1800822","1800822")</f>
        <v>1800822</v>
      </c>
      <c r="E1659">
        <v>3</v>
      </c>
      <c r="F1659" t="s">
        <v>1998</v>
      </c>
    </row>
    <row r="1660" spans="1:6" x14ac:dyDescent="0.25">
      <c r="A1660" t="s">
        <v>1558</v>
      </c>
      <c r="B1660" t="s">
        <v>450</v>
      </c>
      <c r="C1660" t="s">
        <v>451</v>
      </c>
      <c r="D1660" t="str">
        <f>HYPERLINK("http://service.sap.com/sap/support/notes/1804186","1804186")</f>
        <v>1804186</v>
      </c>
      <c r="E1660">
        <v>3</v>
      </c>
      <c r="F1660" t="s">
        <v>1999</v>
      </c>
    </row>
    <row r="1661" spans="1:6" x14ac:dyDescent="0.25">
      <c r="A1661" t="s">
        <v>1558</v>
      </c>
      <c r="B1661" t="s">
        <v>450</v>
      </c>
      <c r="C1661" t="s">
        <v>451</v>
      </c>
      <c r="D1661" t="str">
        <f>HYPERLINK("http://service.sap.com/sap/support/notes/1804189","1804189")</f>
        <v>1804189</v>
      </c>
      <c r="E1661">
        <v>6</v>
      </c>
      <c r="F1661" t="s">
        <v>2000</v>
      </c>
    </row>
    <row r="1662" spans="1:6" x14ac:dyDescent="0.25">
      <c r="A1662" t="s">
        <v>1558</v>
      </c>
      <c r="B1662" t="s">
        <v>450</v>
      </c>
      <c r="C1662" t="s">
        <v>451</v>
      </c>
      <c r="D1662" t="str">
        <f>HYPERLINK("http://service.sap.com/sap/support/notes/1804488","1804488")</f>
        <v>1804488</v>
      </c>
      <c r="E1662">
        <v>5</v>
      </c>
      <c r="F1662" t="s">
        <v>2001</v>
      </c>
    </row>
    <row r="1663" spans="1:6" x14ac:dyDescent="0.25">
      <c r="A1663" t="s">
        <v>1558</v>
      </c>
      <c r="B1663" t="s">
        <v>450</v>
      </c>
      <c r="C1663" t="s">
        <v>451</v>
      </c>
      <c r="D1663" t="str">
        <f>HYPERLINK("http://service.sap.com/sap/support/notes/1805540","1805540")</f>
        <v>1805540</v>
      </c>
      <c r="E1663">
        <v>1</v>
      </c>
      <c r="F1663" t="s">
        <v>2002</v>
      </c>
    </row>
    <row r="1664" spans="1:6" x14ac:dyDescent="0.25">
      <c r="A1664" t="s">
        <v>1558</v>
      </c>
      <c r="B1664" t="s">
        <v>453</v>
      </c>
      <c r="C1664" t="s">
        <v>74</v>
      </c>
      <c r="D1664" t="str">
        <f>HYPERLINK("http://service.sap.com/sap/support/notes/1752922","1752922")</f>
        <v>1752922</v>
      </c>
      <c r="E1664">
        <v>2</v>
      </c>
      <c r="F1664" t="s">
        <v>2003</v>
      </c>
    </row>
    <row r="1665" spans="1:6" x14ac:dyDescent="0.25">
      <c r="A1665" t="s">
        <v>1558</v>
      </c>
      <c r="B1665" t="s">
        <v>453</v>
      </c>
      <c r="C1665" t="s">
        <v>74</v>
      </c>
      <c r="D1665" t="str">
        <f>HYPERLINK("http://service.sap.com/sap/support/notes/1794655","1794655")</f>
        <v>1794655</v>
      </c>
      <c r="E1665">
        <v>1</v>
      </c>
      <c r="F1665" t="s">
        <v>1760</v>
      </c>
    </row>
    <row r="1666" spans="1:6" x14ac:dyDescent="0.25">
      <c r="A1666" t="s">
        <v>1558</v>
      </c>
      <c r="B1666" t="s">
        <v>601</v>
      </c>
      <c r="C1666" t="s">
        <v>196</v>
      </c>
    </row>
    <row r="1667" spans="1:6" x14ac:dyDescent="0.25">
      <c r="A1667" t="s">
        <v>1558</v>
      </c>
      <c r="B1667" t="s">
        <v>604</v>
      </c>
      <c r="C1667" t="s">
        <v>605</v>
      </c>
      <c r="D1667" t="str">
        <f>HYPERLINK("http://service.sap.com/sap/support/notes/1799045","1799045")</f>
        <v>1799045</v>
      </c>
      <c r="E1667">
        <v>2</v>
      </c>
      <c r="F1667" t="s">
        <v>2004</v>
      </c>
    </row>
    <row r="1668" spans="1:6" x14ac:dyDescent="0.25">
      <c r="A1668" t="s">
        <v>1558</v>
      </c>
      <c r="B1668" t="s">
        <v>607</v>
      </c>
      <c r="C1668" t="s">
        <v>156</v>
      </c>
      <c r="D1668" t="str">
        <f>HYPERLINK("http://service.sap.com/sap/support/notes/1799554","1799554")</f>
        <v>1799554</v>
      </c>
      <c r="E1668">
        <v>1</v>
      </c>
      <c r="F1668" t="s">
        <v>2005</v>
      </c>
    </row>
    <row r="1669" spans="1:6" x14ac:dyDescent="0.25">
      <c r="A1669" t="s">
        <v>1558</v>
      </c>
      <c r="B1669" t="s">
        <v>457</v>
      </c>
      <c r="C1669" t="s">
        <v>458</v>
      </c>
      <c r="D1669" t="str">
        <f>HYPERLINK("http://service.sap.com/sap/support/notes/1579200","1579200")</f>
        <v>1579200</v>
      </c>
      <c r="E1669">
        <v>2</v>
      </c>
      <c r="F1669" t="s">
        <v>2006</v>
      </c>
    </row>
    <row r="1670" spans="1:6" x14ac:dyDescent="0.25">
      <c r="A1670" t="s">
        <v>1558</v>
      </c>
      <c r="B1670" t="s">
        <v>457</v>
      </c>
      <c r="C1670" t="s">
        <v>458</v>
      </c>
      <c r="D1670" t="str">
        <f>HYPERLINK("http://service.sap.com/sap/support/notes/1764123","1764123")</f>
        <v>1764123</v>
      </c>
      <c r="E1670">
        <v>9</v>
      </c>
      <c r="F1670" t="s">
        <v>1438</v>
      </c>
    </row>
    <row r="1671" spans="1:6" x14ac:dyDescent="0.25">
      <c r="A1671" t="s">
        <v>1558</v>
      </c>
      <c r="B1671" t="s">
        <v>457</v>
      </c>
      <c r="C1671" t="s">
        <v>458</v>
      </c>
      <c r="D1671" t="str">
        <f>HYPERLINK("http://service.sap.com/sap/support/notes/1774874","1774874")</f>
        <v>1774874</v>
      </c>
      <c r="E1671">
        <v>7</v>
      </c>
      <c r="F1671" t="s">
        <v>2007</v>
      </c>
    </row>
    <row r="1672" spans="1:6" x14ac:dyDescent="0.25">
      <c r="A1672" t="s">
        <v>1558</v>
      </c>
      <c r="B1672" t="s">
        <v>457</v>
      </c>
      <c r="C1672" t="s">
        <v>458</v>
      </c>
      <c r="D1672" t="str">
        <f>HYPERLINK("http://service.sap.com/sap/support/notes/1789868","1789868")</f>
        <v>1789868</v>
      </c>
      <c r="E1672">
        <v>1</v>
      </c>
      <c r="F1672" t="s">
        <v>2008</v>
      </c>
    </row>
    <row r="1673" spans="1:6" x14ac:dyDescent="0.25">
      <c r="A1673" t="s">
        <v>1558</v>
      </c>
      <c r="B1673" t="s">
        <v>457</v>
      </c>
      <c r="C1673" t="s">
        <v>458</v>
      </c>
      <c r="D1673" t="str">
        <f>HYPERLINK("http://service.sap.com/sap/support/notes/1800557","1800557")</f>
        <v>1800557</v>
      </c>
      <c r="E1673">
        <v>2</v>
      </c>
      <c r="F1673" t="s">
        <v>2009</v>
      </c>
    </row>
    <row r="1674" spans="1:6" x14ac:dyDescent="0.25">
      <c r="A1674" t="s">
        <v>1558</v>
      </c>
      <c r="B1674" t="s">
        <v>457</v>
      </c>
      <c r="C1674" t="s">
        <v>458</v>
      </c>
      <c r="D1674" t="str">
        <f>HYPERLINK("http://service.sap.com/sap/support/notes/1804779","1804779")</f>
        <v>1804779</v>
      </c>
      <c r="E1674">
        <v>1</v>
      </c>
      <c r="F1674" t="s">
        <v>2010</v>
      </c>
    </row>
    <row r="1675" spans="1:6" x14ac:dyDescent="0.25">
      <c r="A1675" t="s">
        <v>1558</v>
      </c>
      <c r="B1675" t="s">
        <v>461</v>
      </c>
      <c r="C1675" t="s">
        <v>462</v>
      </c>
      <c r="D1675" t="str">
        <f>HYPERLINK("http://service.sap.com/sap/support/notes/1755773","1755773")</f>
        <v>1755773</v>
      </c>
      <c r="E1675">
        <v>2</v>
      </c>
      <c r="F1675" t="s">
        <v>2011</v>
      </c>
    </row>
    <row r="1676" spans="1:6" x14ac:dyDescent="0.25">
      <c r="A1676" t="s">
        <v>1558</v>
      </c>
      <c r="B1676" t="s">
        <v>461</v>
      </c>
      <c r="C1676" t="s">
        <v>462</v>
      </c>
      <c r="D1676" t="str">
        <f>HYPERLINK("http://service.sap.com/sap/support/notes/1794693","1794693")</f>
        <v>1794693</v>
      </c>
      <c r="E1676">
        <v>1</v>
      </c>
      <c r="F1676" t="s">
        <v>2012</v>
      </c>
    </row>
    <row r="1677" spans="1:6" x14ac:dyDescent="0.25">
      <c r="A1677" t="s">
        <v>1558</v>
      </c>
      <c r="B1677" t="s">
        <v>610</v>
      </c>
      <c r="C1677" t="s">
        <v>635</v>
      </c>
    </row>
    <row r="1678" spans="1:6" x14ac:dyDescent="0.25">
      <c r="A1678" t="s">
        <v>1558</v>
      </c>
      <c r="B1678" t="s">
        <v>624</v>
      </c>
      <c r="C1678" t="s">
        <v>625</v>
      </c>
      <c r="D1678" t="str">
        <f>HYPERLINK("http://service.sap.com/sap/support/notes/1800460","1800460")</f>
        <v>1800460</v>
      </c>
      <c r="E1678">
        <v>2</v>
      </c>
      <c r="F1678" t="s">
        <v>2013</v>
      </c>
    </row>
    <row r="1679" spans="1:6" x14ac:dyDescent="0.25">
      <c r="A1679" t="s">
        <v>1558</v>
      </c>
      <c r="B1679" t="s">
        <v>626</v>
      </c>
      <c r="C1679" t="s">
        <v>654</v>
      </c>
      <c r="D1679" t="str">
        <f>HYPERLINK("http://service.sap.com/sap/support/notes/1794095","1794095")</f>
        <v>1794095</v>
      </c>
      <c r="E1679">
        <v>2</v>
      </c>
      <c r="F1679" t="s">
        <v>2014</v>
      </c>
    </row>
    <row r="1680" spans="1:6" x14ac:dyDescent="0.25">
      <c r="A1680" t="s">
        <v>1558</v>
      </c>
      <c r="B1680" t="s">
        <v>464</v>
      </c>
      <c r="C1680" t="s">
        <v>465</v>
      </c>
      <c r="D1680" t="str">
        <f>HYPERLINK("http://service.sap.com/sap/support/notes/1799038","1799038")</f>
        <v>1799038</v>
      </c>
      <c r="E1680">
        <v>1</v>
      </c>
      <c r="F1680" t="s">
        <v>2015</v>
      </c>
    </row>
    <row r="1681" spans="1:6" x14ac:dyDescent="0.25">
      <c r="A1681" t="s">
        <v>2016</v>
      </c>
      <c r="B1681" t="s">
        <v>5</v>
      </c>
      <c r="C1681" t="s">
        <v>6</v>
      </c>
    </row>
    <row r="1682" spans="1:6" x14ac:dyDescent="0.25">
      <c r="A1682" t="s">
        <v>2016</v>
      </c>
      <c r="B1682" t="s">
        <v>7</v>
      </c>
      <c r="C1682" t="s">
        <v>8</v>
      </c>
    </row>
    <row r="1683" spans="1:6" x14ac:dyDescent="0.25">
      <c r="A1683" t="s">
        <v>2016</v>
      </c>
      <c r="B1683" t="s">
        <v>9</v>
      </c>
      <c r="C1683" t="s">
        <v>10</v>
      </c>
      <c r="D1683" t="str">
        <f>HYPERLINK("http://service.sap.com/sap/support/notes/1808235","1808235")</f>
        <v>1808235</v>
      </c>
      <c r="E1683">
        <v>1</v>
      </c>
      <c r="F1683" t="s">
        <v>2017</v>
      </c>
    </row>
    <row r="1684" spans="1:6" x14ac:dyDescent="0.25">
      <c r="A1684" t="s">
        <v>2016</v>
      </c>
      <c r="B1684" t="s">
        <v>24</v>
      </c>
      <c r="C1684" t="s">
        <v>10</v>
      </c>
    </row>
    <row r="1685" spans="1:6" x14ac:dyDescent="0.25">
      <c r="A1685" t="s">
        <v>2016</v>
      </c>
      <c r="B1685" t="s">
        <v>25</v>
      </c>
      <c r="C1685" t="s">
        <v>26</v>
      </c>
    </row>
    <row r="1686" spans="1:6" x14ac:dyDescent="0.25">
      <c r="A1686" t="s">
        <v>2016</v>
      </c>
      <c r="B1686" t="s">
        <v>518</v>
      </c>
      <c r="C1686" t="s">
        <v>98</v>
      </c>
      <c r="D1686" t="str">
        <f>HYPERLINK("http://service.sap.com/sap/support/notes/1812434","1812434")</f>
        <v>1812434</v>
      </c>
      <c r="E1686">
        <v>3</v>
      </c>
      <c r="F1686" t="s">
        <v>2018</v>
      </c>
    </row>
    <row r="1687" spans="1:6" x14ac:dyDescent="0.25">
      <c r="A1687" t="s">
        <v>2016</v>
      </c>
      <c r="B1687" t="s">
        <v>519</v>
      </c>
      <c r="C1687" t="s">
        <v>132</v>
      </c>
      <c r="D1687" t="str">
        <f>HYPERLINK("http://service.sap.com/sap/support/notes/1753039","1753039")</f>
        <v>1753039</v>
      </c>
      <c r="E1687">
        <v>2</v>
      </c>
      <c r="F1687" t="s">
        <v>2019</v>
      </c>
    </row>
    <row r="1688" spans="1:6" x14ac:dyDescent="0.25">
      <c r="A1688" t="s">
        <v>2016</v>
      </c>
      <c r="B1688" t="s">
        <v>519</v>
      </c>
      <c r="C1688" t="s">
        <v>132</v>
      </c>
      <c r="D1688" t="str">
        <f>HYPERLINK("http://service.sap.com/sap/support/notes/1814448","1814448")</f>
        <v>1814448</v>
      </c>
      <c r="E1688">
        <v>1</v>
      </c>
      <c r="F1688" t="s">
        <v>2020</v>
      </c>
    </row>
    <row r="1689" spans="1:6" x14ac:dyDescent="0.25">
      <c r="A1689" t="s">
        <v>2016</v>
      </c>
      <c r="B1689" t="s">
        <v>33</v>
      </c>
      <c r="C1689" t="s">
        <v>34</v>
      </c>
      <c r="D1689" t="str">
        <f>HYPERLINK("http://service.sap.com/sap/support/notes/1790489","1790489")</f>
        <v>1790489</v>
      </c>
      <c r="E1689">
        <v>1</v>
      </c>
      <c r="F1689" t="s">
        <v>1571</v>
      </c>
    </row>
    <row r="1690" spans="1:6" x14ac:dyDescent="0.25">
      <c r="A1690" t="s">
        <v>2016</v>
      </c>
      <c r="B1690" t="s">
        <v>520</v>
      </c>
      <c r="C1690" t="s">
        <v>176</v>
      </c>
      <c r="D1690" t="str">
        <f>HYPERLINK("http://service.sap.com/sap/support/notes/1807355","1807355")</f>
        <v>1807355</v>
      </c>
      <c r="E1690">
        <v>1</v>
      </c>
      <c r="F1690" t="s">
        <v>2021</v>
      </c>
    </row>
    <row r="1691" spans="1:6" x14ac:dyDescent="0.25">
      <c r="A1691" t="s">
        <v>2016</v>
      </c>
      <c r="B1691" t="s">
        <v>40</v>
      </c>
      <c r="C1691" t="s">
        <v>41</v>
      </c>
      <c r="D1691" t="str">
        <f>HYPERLINK("http://service.sap.com/sap/support/notes/700094","700094")</f>
        <v>700094</v>
      </c>
      <c r="E1691">
        <v>8</v>
      </c>
      <c r="F1691" t="s">
        <v>42</v>
      </c>
    </row>
    <row r="1692" spans="1:6" x14ac:dyDescent="0.25">
      <c r="A1692" t="s">
        <v>2016</v>
      </c>
      <c r="B1692" t="s">
        <v>40</v>
      </c>
      <c r="C1692" t="s">
        <v>41</v>
      </c>
      <c r="D1692" t="str">
        <f>HYPERLINK("http://service.sap.com/sap/support/notes/1811637","1811637")</f>
        <v>1811637</v>
      </c>
      <c r="E1692">
        <v>1</v>
      </c>
      <c r="F1692" t="s">
        <v>2022</v>
      </c>
    </row>
    <row r="1693" spans="1:6" x14ac:dyDescent="0.25">
      <c r="A1693" t="s">
        <v>2016</v>
      </c>
      <c r="B1693" t="s">
        <v>43</v>
      </c>
      <c r="C1693" t="s">
        <v>44</v>
      </c>
      <c r="D1693" t="str">
        <f>HYPERLINK("http://service.sap.com/sap/support/notes/1808763","1808763")</f>
        <v>1808763</v>
      </c>
      <c r="E1693">
        <v>2</v>
      </c>
      <c r="F1693" t="s">
        <v>2023</v>
      </c>
    </row>
    <row r="1694" spans="1:6" x14ac:dyDescent="0.25">
      <c r="A1694" t="s">
        <v>2016</v>
      </c>
      <c r="B1694" t="s">
        <v>43</v>
      </c>
      <c r="C1694" t="s">
        <v>44</v>
      </c>
      <c r="D1694" t="str">
        <f>HYPERLINK("http://service.sap.com/sap/support/notes/1811064","1811064")</f>
        <v>1811064</v>
      </c>
      <c r="E1694">
        <v>1</v>
      </c>
      <c r="F1694" t="s">
        <v>2024</v>
      </c>
    </row>
    <row r="1695" spans="1:6" x14ac:dyDescent="0.25">
      <c r="A1695" t="s">
        <v>2016</v>
      </c>
      <c r="B1695" t="s">
        <v>522</v>
      </c>
      <c r="C1695" t="s">
        <v>523</v>
      </c>
      <c r="D1695" t="str">
        <f>HYPERLINK("http://service.sap.com/sap/support/notes/1806362","1806362")</f>
        <v>1806362</v>
      </c>
      <c r="E1695">
        <v>1</v>
      </c>
      <c r="F1695" t="s">
        <v>2025</v>
      </c>
    </row>
    <row r="1696" spans="1:6" x14ac:dyDescent="0.25">
      <c r="A1696" t="s">
        <v>2016</v>
      </c>
      <c r="B1696" t="s">
        <v>522</v>
      </c>
      <c r="C1696" t="s">
        <v>523</v>
      </c>
      <c r="D1696" t="str">
        <f>HYPERLINK("http://service.sap.com/sap/support/notes/1807895","1807895")</f>
        <v>1807895</v>
      </c>
      <c r="E1696">
        <v>1</v>
      </c>
      <c r="F1696" t="s">
        <v>2026</v>
      </c>
    </row>
    <row r="1697" spans="1:6" x14ac:dyDescent="0.25">
      <c r="A1697" t="s">
        <v>2016</v>
      </c>
      <c r="B1697" t="s">
        <v>1582</v>
      </c>
      <c r="C1697" t="s">
        <v>314</v>
      </c>
      <c r="D1697" t="str">
        <f>HYPERLINK("http://service.sap.com/sap/support/notes/1805653","1805653")</f>
        <v>1805653</v>
      </c>
      <c r="E1697">
        <v>1</v>
      </c>
      <c r="F1697" t="s">
        <v>2027</v>
      </c>
    </row>
    <row r="1698" spans="1:6" x14ac:dyDescent="0.25">
      <c r="A1698" t="s">
        <v>2016</v>
      </c>
      <c r="B1698" t="s">
        <v>1582</v>
      </c>
      <c r="C1698" t="s">
        <v>314</v>
      </c>
      <c r="D1698" t="str">
        <f>HYPERLINK("http://service.sap.com/sap/support/notes/1816678","1816678")</f>
        <v>1816678</v>
      </c>
      <c r="E1698">
        <v>1</v>
      </c>
      <c r="F1698" t="s">
        <v>2028</v>
      </c>
    </row>
    <row r="1699" spans="1:6" x14ac:dyDescent="0.25">
      <c r="A1699" t="s">
        <v>2016</v>
      </c>
      <c r="B1699" t="s">
        <v>54</v>
      </c>
      <c r="C1699" t="s">
        <v>55</v>
      </c>
      <c r="D1699" t="str">
        <f>HYPERLINK("http://service.sap.com/sap/support/notes/1797114","1797114")</f>
        <v>1797114</v>
      </c>
      <c r="E1699">
        <v>1</v>
      </c>
      <c r="F1699" t="s">
        <v>1591</v>
      </c>
    </row>
    <row r="1700" spans="1:6" x14ac:dyDescent="0.25">
      <c r="A1700" t="s">
        <v>2016</v>
      </c>
      <c r="B1700" t="s">
        <v>54</v>
      </c>
      <c r="C1700" t="s">
        <v>55</v>
      </c>
      <c r="D1700" t="str">
        <f>HYPERLINK("http://service.sap.com/sap/support/notes/1810214","1810214")</f>
        <v>1810214</v>
      </c>
      <c r="E1700">
        <v>2</v>
      </c>
      <c r="F1700" t="s">
        <v>2029</v>
      </c>
    </row>
    <row r="1701" spans="1:6" x14ac:dyDescent="0.25">
      <c r="A1701" t="s">
        <v>2016</v>
      </c>
      <c r="B1701" t="s">
        <v>54</v>
      </c>
      <c r="C1701" t="s">
        <v>55</v>
      </c>
      <c r="D1701" t="str">
        <f>HYPERLINK("http://service.sap.com/sap/support/notes/1810464","1810464")</f>
        <v>1810464</v>
      </c>
      <c r="E1701">
        <v>1</v>
      </c>
      <c r="F1701" t="s">
        <v>2030</v>
      </c>
    </row>
    <row r="1702" spans="1:6" x14ac:dyDescent="0.25">
      <c r="A1702" t="s">
        <v>2016</v>
      </c>
      <c r="B1702" t="s">
        <v>54</v>
      </c>
      <c r="C1702" t="s">
        <v>55</v>
      </c>
      <c r="D1702" t="str">
        <f>HYPERLINK("http://service.sap.com/sap/support/notes/1813449","1813449")</f>
        <v>1813449</v>
      </c>
      <c r="E1702">
        <v>1</v>
      </c>
      <c r="F1702" t="s">
        <v>2031</v>
      </c>
    </row>
    <row r="1703" spans="1:6" x14ac:dyDescent="0.25">
      <c r="A1703" t="s">
        <v>2016</v>
      </c>
      <c r="B1703" t="s">
        <v>60</v>
      </c>
      <c r="C1703" t="s">
        <v>61</v>
      </c>
      <c r="D1703" t="str">
        <f>HYPERLINK("http://service.sap.com/sap/support/notes/1765129","1765129")</f>
        <v>1765129</v>
      </c>
      <c r="E1703">
        <v>1</v>
      </c>
      <c r="F1703" t="s">
        <v>1594</v>
      </c>
    </row>
    <row r="1704" spans="1:6" x14ac:dyDescent="0.25">
      <c r="A1704" t="s">
        <v>2016</v>
      </c>
      <c r="B1704" t="s">
        <v>60</v>
      </c>
      <c r="C1704" t="s">
        <v>61</v>
      </c>
      <c r="D1704" t="str">
        <f>HYPERLINK("http://service.sap.com/sap/support/notes/1804199","1804199")</f>
        <v>1804199</v>
      </c>
      <c r="E1704">
        <v>1</v>
      </c>
      <c r="F1704" t="s">
        <v>2032</v>
      </c>
    </row>
    <row r="1705" spans="1:6" x14ac:dyDescent="0.25">
      <c r="A1705" t="s">
        <v>2016</v>
      </c>
      <c r="B1705" t="s">
        <v>60</v>
      </c>
      <c r="C1705" t="s">
        <v>61</v>
      </c>
      <c r="D1705" t="str">
        <f>HYPERLINK("http://service.sap.com/sap/support/notes/1813660","1813660")</f>
        <v>1813660</v>
      </c>
      <c r="E1705">
        <v>2</v>
      </c>
      <c r="F1705" t="s">
        <v>2033</v>
      </c>
    </row>
    <row r="1706" spans="1:6" x14ac:dyDescent="0.25">
      <c r="A1706" t="s">
        <v>2016</v>
      </c>
      <c r="B1706" t="s">
        <v>63</v>
      </c>
      <c r="C1706" t="s">
        <v>64</v>
      </c>
      <c r="D1706" t="str">
        <f>HYPERLINK("http://service.sap.com/sap/support/notes/1744322","1744322")</f>
        <v>1744322</v>
      </c>
      <c r="E1706">
        <v>1</v>
      </c>
      <c r="F1706" t="s">
        <v>66</v>
      </c>
    </row>
    <row r="1707" spans="1:6" x14ac:dyDescent="0.25">
      <c r="A1707" t="s">
        <v>2016</v>
      </c>
      <c r="B1707" t="s">
        <v>63</v>
      </c>
      <c r="C1707" t="s">
        <v>64</v>
      </c>
      <c r="D1707" t="str">
        <f>HYPERLINK("http://service.sap.com/sap/support/notes/1793062","1793062")</f>
        <v>1793062</v>
      </c>
      <c r="E1707">
        <v>2</v>
      </c>
      <c r="F1707" t="s">
        <v>1599</v>
      </c>
    </row>
    <row r="1708" spans="1:6" x14ac:dyDescent="0.25">
      <c r="A1708" t="s">
        <v>2016</v>
      </c>
      <c r="B1708" t="s">
        <v>63</v>
      </c>
      <c r="C1708" t="s">
        <v>64</v>
      </c>
      <c r="D1708" t="str">
        <f>HYPERLINK("http://service.sap.com/sap/support/notes/1804655","1804655")</f>
        <v>1804655</v>
      </c>
      <c r="E1708">
        <v>1</v>
      </c>
      <c r="F1708" t="s">
        <v>2034</v>
      </c>
    </row>
    <row r="1709" spans="1:6" x14ac:dyDescent="0.25">
      <c r="A1709" t="s">
        <v>2016</v>
      </c>
      <c r="B1709" t="s">
        <v>63</v>
      </c>
      <c r="C1709" t="s">
        <v>64</v>
      </c>
      <c r="D1709" t="str">
        <f>HYPERLINK("http://service.sap.com/sap/support/notes/1808745","1808745")</f>
        <v>1808745</v>
      </c>
      <c r="E1709">
        <v>2</v>
      </c>
      <c r="F1709" t="s">
        <v>2035</v>
      </c>
    </row>
    <row r="1710" spans="1:6" x14ac:dyDescent="0.25">
      <c r="A1710" t="s">
        <v>2016</v>
      </c>
      <c r="B1710" t="s">
        <v>63</v>
      </c>
      <c r="C1710" t="s">
        <v>64</v>
      </c>
      <c r="D1710" t="str">
        <f>HYPERLINK("http://service.sap.com/sap/support/notes/1809013","1809013")</f>
        <v>1809013</v>
      </c>
      <c r="E1710">
        <v>3</v>
      </c>
      <c r="F1710" t="s">
        <v>2036</v>
      </c>
    </row>
    <row r="1711" spans="1:6" x14ac:dyDescent="0.25">
      <c r="A1711" t="s">
        <v>2016</v>
      </c>
      <c r="B1711" t="s">
        <v>63</v>
      </c>
      <c r="C1711" t="s">
        <v>64</v>
      </c>
      <c r="D1711" t="str">
        <f>HYPERLINK("http://service.sap.com/sap/support/notes/1810622","1810622")</f>
        <v>1810622</v>
      </c>
      <c r="E1711">
        <v>1</v>
      </c>
      <c r="F1711" t="s">
        <v>2037</v>
      </c>
    </row>
    <row r="1712" spans="1:6" x14ac:dyDescent="0.25">
      <c r="A1712" t="s">
        <v>2016</v>
      </c>
      <c r="B1712" t="s">
        <v>63</v>
      </c>
      <c r="C1712" t="s">
        <v>64</v>
      </c>
      <c r="D1712" t="str">
        <f>HYPERLINK("http://service.sap.com/sap/support/notes/1811755","1811755")</f>
        <v>1811755</v>
      </c>
      <c r="E1712">
        <v>2</v>
      </c>
      <c r="F1712" t="s">
        <v>2038</v>
      </c>
    </row>
    <row r="1713" spans="1:6" x14ac:dyDescent="0.25">
      <c r="A1713" t="s">
        <v>2016</v>
      </c>
      <c r="B1713" t="s">
        <v>63</v>
      </c>
      <c r="C1713" t="s">
        <v>64</v>
      </c>
      <c r="D1713" t="str">
        <f>HYPERLINK("http://service.sap.com/sap/support/notes/1812306","1812306")</f>
        <v>1812306</v>
      </c>
      <c r="E1713">
        <v>2</v>
      </c>
      <c r="F1713" t="s">
        <v>2039</v>
      </c>
    </row>
    <row r="1714" spans="1:6" x14ac:dyDescent="0.25">
      <c r="A1714" t="s">
        <v>2016</v>
      </c>
      <c r="B1714" t="s">
        <v>63</v>
      </c>
      <c r="C1714" t="s">
        <v>64</v>
      </c>
      <c r="D1714" t="str">
        <f>HYPERLINK("http://service.sap.com/sap/support/notes/1813609","1813609")</f>
        <v>1813609</v>
      </c>
      <c r="E1714">
        <v>2</v>
      </c>
      <c r="F1714" t="s">
        <v>2040</v>
      </c>
    </row>
    <row r="1715" spans="1:6" x14ac:dyDescent="0.25">
      <c r="A1715" t="s">
        <v>2016</v>
      </c>
      <c r="B1715" t="s">
        <v>684</v>
      </c>
      <c r="C1715" t="s">
        <v>451</v>
      </c>
      <c r="D1715" t="str">
        <f>HYPERLINK("http://service.sap.com/sap/support/notes/1811425","1811425")</f>
        <v>1811425</v>
      </c>
      <c r="E1715">
        <v>1</v>
      </c>
      <c r="F1715" t="s">
        <v>2041</v>
      </c>
    </row>
    <row r="1716" spans="1:6" x14ac:dyDescent="0.25">
      <c r="A1716" t="s">
        <v>2016</v>
      </c>
      <c r="B1716" t="s">
        <v>73</v>
      </c>
      <c r="C1716" t="s">
        <v>74</v>
      </c>
      <c r="D1716" t="str">
        <f>HYPERLINK("http://service.sap.com/sap/support/notes/1786973","1786973")</f>
        <v>1786973</v>
      </c>
      <c r="E1716">
        <v>2</v>
      </c>
      <c r="F1716" t="s">
        <v>826</v>
      </c>
    </row>
    <row r="1717" spans="1:6" x14ac:dyDescent="0.25">
      <c r="A1717" t="s">
        <v>2016</v>
      </c>
      <c r="B1717" t="s">
        <v>79</v>
      </c>
      <c r="C1717" t="s">
        <v>80</v>
      </c>
    </row>
    <row r="1718" spans="1:6" x14ac:dyDescent="0.25">
      <c r="A1718" t="s">
        <v>2016</v>
      </c>
      <c r="B1718" t="s">
        <v>538</v>
      </c>
      <c r="C1718" t="s">
        <v>632</v>
      </c>
      <c r="D1718" t="str">
        <f>HYPERLINK("http://service.sap.com/sap/support/notes/1806336","1806336")</f>
        <v>1806336</v>
      </c>
      <c r="E1718">
        <v>1</v>
      </c>
      <c r="F1718" t="s">
        <v>2042</v>
      </c>
    </row>
    <row r="1719" spans="1:6" x14ac:dyDescent="0.25">
      <c r="A1719" t="s">
        <v>2016</v>
      </c>
      <c r="B1719" t="s">
        <v>90</v>
      </c>
      <c r="C1719" t="s">
        <v>13</v>
      </c>
    </row>
    <row r="1720" spans="1:6" x14ac:dyDescent="0.25">
      <c r="A1720" t="s">
        <v>2016</v>
      </c>
      <c r="B1720" t="s">
        <v>91</v>
      </c>
      <c r="C1720" t="s">
        <v>92</v>
      </c>
      <c r="D1720" t="str">
        <f>HYPERLINK("http://service.sap.com/sap/support/notes/1781313","1781313")</f>
        <v>1781313</v>
      </c>
      <c r="E1720">
        <v>3</v>
      </c>
      <c r="F1720" t="s">
        <v>2043</v>
      </c>
    </row>
    <row r="1721" spans="1:6" x14ac:dyDescent="0.25">
      <c r="A1721" t="s">
        <v>2016</v>
      </c>
      <c r="B1721" t="s">
        <v>91</v>
      </c>
      <c r="C1721" t="s">
        <v>92</v>
      </c>
      <c r="D1721" t="str">
        <f>HYPERLINK("http://service.sap.com/sap/support/notes/1805153","1805153")</f>
        <v>1805153</v>
      </c>
      <c r="E1721">
        <v>3</v>
      </c>
      <c r="F1721" t="s">
        <v>2044</v>
      </c>
    </row>
    <row r="1722" spans="1:6" x14ac:dyDescent="0.25">
      <c r="A1722" t="s">
        <v>2016</v>
      </c>
      <c r="B1722" t="s">
        <v>91</v>
      </c>
      <c r="C1722" t="s">
        <v>92</v>
      </c>
      <c r="D1722" t="str">
        <f>HYPERLINK("http://service.sap.com/sap/support/notes/1807766","1807766")</f>
        <v>1807766</v>
      </c>
      <c r="E1722">
        <v>1</v>
      </c>
      <c r="F1722" t="s">
        <v>2045</v>
      </c>
    </row>
    <row r="1723" spans="1:6" x14ac:dyDescent="0.25">
      <c r="A1723" t="s">
        <v>2016</v>
      </c>
      <c r="B1723" t="s">
        <v>91</v>
      </c>
      <c r="C1723" t="s">
        <v>92</v>
      </c>
      <c r="D1723" t="str">
        <f>HYPERLINK("http://service.sap.com/sap/support/notes/1809490","1809490")</f>
        <v>1809490</v>
      </c>
      <c r="E1723">
        <v>1</v>
      </c>
      <c r="F1723" t="s">
        <v>2046</v>
      </c>
    </row>
    <row r="1724" spans="1:6" x14ac:dyDescent="0.25">
      <c r="A1724" t="s">
        <v>2016</v>
      </c>
      <c r="B1724" t="s">
        <v>95</v>
      </c>
      <c r="C1724" t="s">
        <v>96</v>
      </c>
    </row>
    <row r="1725" spans="1:6" x14ac:dyDescent="0.25">
      <c r="A1725" t="s">
        <v>2016</v>
      </c>
      <c r="B1725" t="s">
        <v>569</v>
      </c>
      <c r="C1725" t="s">
        <v>28</v>
      </c>
      <c r="D1725" t="str">
        <f>HYPERLINK("http://service.sap.com/sap/support/notes/1774252","1774252")</f>
        <v>1774252</v>
      </c>
      <c r="E1725">
        <v>6</v>
      </c>
      <c r="F1725" t="s">
        <v>2047</v>
      </c>
    </row>
    <row r="1726" spans="1:6" x14ac:dyDescent="0.25">
      <c r="A1726" t="s">
        <v>2016</v>
      </c>
      <c r="B1726" t="s">
        <v>569</v>
      </c>
      <c r="C1726" t="s">
        <v>28</v>
      </c>
      <c r="D1726" t="str">
        <f>HYPERLINK("http://service.sap.com/sap/support/notes/1783113","1783113")</f>
        <v>1783113</v>
      </c>
      <c r="E1726">
        <v>3</v>
      </c>
      <c r="F1726" t="s">
        <v>2048</v>
      </c>
    </row>
    <row r="1727" spans="1:6" x14ac:dyDescent="0.25">
      <c r="A1727" t="s">
        <v>2016</v>
      </c>
      <c r="B1727" t="s">
        <v>569</v>
      </c>
      <c r="C1727" t="s">
        <v>28</v>
      </c>
      <c r="D1727" t="str">
        <f>HYPERLINK("http://service.sap.com/sap/support/notes/1804615","1804615")</f>
        <v>1804615</v>
      </c>
      <c r="E1727">
        <v>4</v>
      </c>
      <c r="F1727" t="s">
        <v>2049</v>
      </c>
    </row>
    <row r="1728" spans="1:6" x14ac:dyDescent="0.25">
      <c r="A1728" t="s">
        <v>2016</v>
      </c>
      <c r="B1728" t="s">
        <v>97</v>
      </c>
      <c r="C1728" t="s">
        <v>98</v>
      </c>
      <c r="D1728" t="str">
        <f>HYPERLINK("http://service.sap.com/sap/support/notes/1593267","1593267")</f>
        <v>1593267</v>
      </c>
      <c r="E1728">
        <v>2</v>
      </c>
      <c r="F1728" t="s">
        <v>2050</v>
      </c>
    </row>
    <row r="1729" spans="1:6" x14ac:dyDescent="0.25">
      <c r="A1729" t="s">
        <v>2016</v>
      </c>
      <c r="B1729" t="s">
        <v>97</v>
      </c>
      <c r="C1729" t="s">
        <v>98</v>
      </c>
      <c r="D1729" t="str">
        <f>HYPERLINK("http://service.sap.com/sap/support/notes/1740374","1740374")</f>
        <v>1740374</v>
      </c>
      <c r="E1729">
        <v>1</v>
      </c>
      <c r="F1729" t="s">
        <v>2051</v>
      </c>
    </row>
    <row r="1730" spans="1:6" x14ac:dyDescent="0.25">
      <c r="A1730" t="s">
        <v>2016</v>
      </c>
      <c r="B1730" t="s">
        <v>97</v>
      </c>
      <c r="C1730" t="s">
        <v>98</v>
      </c>
      <c r="D1730" t="str">
        <f>HYPERLINK("http://service.sap.com/sap/support/notes/1776857","1776857")</f>
        <v>1776857</v>
      </c>
      <c r="E1730">
        <v>3</v>
      </c>
      <c r="F1730" t="s">
        <v>2052</v>
      </c>
    </row>
    <row r="1731" spans="1:6" x14ac:dyDescent="0.25">
      <c r="A1731" t="s">
        <v>2016</v>
      </c>
      <c r="B1731" t="s">
        <v>97</v>
      </c>
      <c r="C1731" t="s">
        <v>98</v>
      </c>
      <c r="D1731" t="str">
        <f>HYPERLINK("http://service.sap.com/sap/support/notes/1794246","1794246")</f>
        <v>1794246</v>
      </c>
      <c r="E1731">
        <v>5</v>
      </c>
      <c r="F1731" t="s">
        <v>2053</v>
      </c>
    </row>
    <row r="1732" spans="1:6" x14ac:dyDescent="0.25">
      <c r="A1732" t="s">
        <v>2016</v>
      </c>
      <c r="B1732" t="s">
        <v>97</v>
      </c>
      <c r="C1732" t="s">
        <v>98</v>
      </c>
      <c r="D1732" t="str">
        <f>HYPERLINK("http://service.sap.com/sap/support/notes/1797586","1797586")</f>
        <v>1797586</v>
      </c>
      <c r="E1732">
        <v>1</v>
      </c>
      <c r="F1732" t="s">
        <v>2054</v>
      </c>
    </row>
    <row r="1733" spans="1:6" x14ac:dyDescent="0.25">
      <c r="A1733" t="s">
        <v>2016</v>
      </c>
      <c r="B1733" t="s">
        <v>97</v>
      </c>
      <c r="C1733" t="s">
        <v>98</v>
      </c>
      <c r="D1733" t="str">
        <f>HYPERLINK("http://service.sap.com/sap/support/notes/1803654","1803654")</f>
        <v>1803654</v>
      </c>
      <c r="E1733">
        <v>7</v>
      </c>
      <c r="F1733" t="s">
        <v>2055</v>
      </c>
    </row>
    <row r="1734" spans="1:6" x14ac:dyDescent="0.25">
      <c r="A1734" t="s">
        <v>2016</v>
      </c>
      <c r="B1734" t="s">
        <v>97</v>
      </c>
      <c r="C1734" t="s">
        <v>98</v>
      </c>
      <c r="D1734" t="str">
        <f>HYPERLINK("http://service.sap.com/sap/support/notes/1805992","1805992")</f>
        <v>1805992</v>
      </c>
      <c r="E1734">
        <v>5</v>
      </c>
      <c r="F1734" t="s">
        <v>2056</v>
      </c>
    </row>
    <row r="1735" spans="1:6" x14ac:dyDescent="0.25">
      <c r="A1735" t="s">
        <v>2016</v>
      </c>
      <c r="B1735" t="s">
        <v>97</v>
      </c>
      <c r="C1735" t="s">
        <v>98</v>
      </c>
      <c r="D1735" t="str">
        <f>HYPERLINK("http://service.sap.com/sap/support/notes/1806280","1806280")</f>
        <v>1806280</v>
      </c>
      <c r="E1735">
        <v>4</v>
      </c>
      <c r="F1735" t="s">
        <v>2057</v>
      </c>
    </row>
    <row r="1736" spans="1:6" x14ac:dyDescent="0.25">
      <c r="A1736" t="s">
        <v>2016</v>
      </c>
      <c r="B1736" t="s">
        <v>97</v>
      </c>
      <c r="C1736" t="s">
        <v>98</v>
      </c>
      <c r="D1736" t="str">
        <f>HYPERLINK("http://service.sap.com/sap/support/notes/1806356","1806356")</f>
        <v>1806356</v>
      </c>
      <c r="E1736">
        <v>3</v>
      </c>
      <c r="F1736" t="s">
        <v>2058</v>
      </c>
    </row>
    <row r="1737" spans="1:6" x14ac:dyDescent="0.25">
      <c r="A1737" t="s">
        <v>2016</v>
      </c>
      <c r="B1737" t="s">
        <v>97</v>
      </c>
      <c r="C1737" t="s">
        <v>98</v>
      </c>
      <c r="D1737" t="str">
        <f>HYPERLINK("http://service.sap.com/sap/support/notes/1806390","1806390")</f>
        <v>1806390</v>
      </c>
      <c r="E1737">
        <v>4</v>
      </c>
      <c r="F1737" t="s">
        <v>2059</v>
      </c>
    </row>
    <row r="1738" spans="1:6" x14ac:dyDescent="0.25">
      <c r="A1738" t="s">
        <v>2016</v>
      </c>
      <c r="B1738" t="s">
        <v>97</v>
      </c>
      <c r="C1738" t="s">
        <v>98</v>
      </c>
      <c r="D1738" t="str">
        <f>HYPERLINK("http://service.sap.com/sap/support/notes/1807138","1807138")</f>
        <v>1807138</v>
      </c>
      <c r="E1738">
        <v>1</v>
      </c>
      <c r="F1738" t="s">
        <v>2060</v>
      </c>
    </row>
    <row r="1739" spans="1:6" x14ac:dyDescent="0.25">
      <c r="A1739" t="s">
        <v>2016</v>
      </c>
      <c r="B1739" t="s">
        <v>97</v>
      </c>
      <c r="C1739" t="s">
        <v>98</v>
      </c>
      <c r="D1739" t="str">
        <f>HYPERLINK("http://service.sap.com/sap/support/notes/1807228","1807228")</f>
        <v>1807228</v>
      </c>
      <c r="E1739">
        <v>2</v>
      </c>
      <c r="F1739" t="s">
        <v>2061</v>
      </c>
    </row>
    <row r="1740" spans="1:6" x14ac:dyDescent="0.25">
      <c r="A1740" t="s">
        <v>2016</v>
      </c>
      <c r="B1740" t="s">
        <v>97</v>
      </c>
      <c r="C1740" t="s">
        <v>98</v>
      </c>
      <c r="D1740" t="str">
        <f>HYPERLINK("http://service.sap.com/sap/support/notes/1808535","1808535")</f>
        <v>1808535</v>
      </c>
      <c r="E1740">
        <v>2</v>
      </c>
      <c r="F1740" t="s">
        <v>2062</v>
      </c>
    </row>
    <row r="1741" spans="1:6" x14ac:dyDescent="0.25">
      <c r="A1741" t="s">
        <v>2016</v>
      </c>
      <c r="B1741" t="s">
        <v>97</v>
      </c>
      <c r="C1741" t="s">
        <v>98</v>
      </c>
      <c r="D1741" t="str">
        <f>HYPERLINK("http://service.sap.com/sap/support/notes/1809027","1809027")</f>
        <v>1809027</v>
      </c>
      <c r="E1741">
        <v>2</v>
      </c>
      <c r="F1741" t="s">
        <v>2063</v>
      </c>
    </row>
    <row r="1742" spans="1:6" x14ac:dyDescent="0.25">
      <c r="A1742" t="s">
        <v>2016</v>
      </c>
      <c r="B1742" t="s">
        <v>97</v>
      </c>
      <c r="C1742" t="s">
        <v>98</v>
      </c>
      <c r="D1742" t="str">
        <f>HYPERLINK("http://service.sap.com/sap/support/notes/1809544","1809544")</f>
        <v>1809544</v>
      </c>
      <c r="E1742">
        <v>1</v>
      </c>
      <c r="F1742" t="s">
        <v>2064</v>
      </c>
    </row>
    <row r="1743" spans="1:6" x14ac:dyDescent="0.25">
      <c r="A1743" t="s">
        <v>2016</v>
      </c>
      <c r="B1743" t="s">
        <v>97</v>
      </c>
      <c r="C1743" t="s">
        <v>98</v>
      </c>
      <c r="D1743" t="str">
        <f>HYPERLINK("http://service.sap.com/sap/support/notes/1810120","1810120")</f>
        <v>1810120</v>
      </c>
      <c r="E1743">
        <v>2</v>
      </c>
      <c r="F1743" t="s">
        <v>2065</v>
      </c>
    </row>
    <row r="1744" spans="1:6" x14ac:dyDescent="0.25">
      <c r="A1744" t="s">
        <v>2016</v>
      </c>
      <c r="B1744" t="s">
        <v>97</v>
      </c>
      <c r="C1744" t="s">
        <v>98</v>
      </c>
      <c r="D1744" t="str">
        <f>HYPERLINK("http://service.sap.com/sap/support/notes/1810715","1810715")</f>
        <v>1810715</v>
      </c>
      <c r="E1744">
        <v>2</v>
      </c>
      <c r="F1744" t="s">
        <v>2066</v>
      </c>
    </row>
    <row r="1745" spans="1:6" x14ac:dyDescent="0.25">
      <c r="A1745" t="s">
        <v>2016</v>
      </c>
      <c r="B1745" t="s">
        <v>114</v>
      </c>
      <c r="C1745" t="s">
        <v>115</v>
      </c>
      <c r="D1745" t="str">
        <f>HYPERLINK("http://service.sap.com/sap/support/notes/1801488","1801488")</f>
        <v>1801488</v>
      </c>
      <c r="E1745">
        <v>3</v>
      </c>
      <c r="F1745" t="s">
        <v>2067</v>
      </c>
    </row>
    <row r="1746" spans="1:6" x14ac:dyDescent="0.25">
      <c r="A1746" t="s">
        <v>2016</v>
      </c>
      <c r="B1746" t="s">
        <v>114</v>
      </c>
      <c r="C1746" t="s">
        <v>115</v>
      </c>
      <c r="D1746" t="str">
        <f>HYPERLINK("http://service.sap.com/sap/support/notes/1802976","1802976")</f>
        <v>1802976</v>
      </c>
      <c r="E1746">
        <v>3</v>
      </c>
      <c r="F1746" t="s">
        <v>2068</v>
      </c>
    </row>
    <row r="1747" spans="1:6" x14ac:dyDescent="0.25">
      <c r="A1747" t="s">
        <v>2016</v>
      </c>
      <c r="B1747" t="s">
        <v>114</v>
      </c>
      <c r="C1747" t="s">
        <v>115</v>
      </c>
      <c r="D1747" t="str">
        <f>HYPERLINK("http://service.sap.com/sap/support/notes/1807136","1807136")</f>
        <v>1807136</v>
      </c>
      <c r="E1747">
        <v>1</v>
      </c>
      <c r="F1747" t="s">
        <v>1648</v>
      </c>
    </row>
    <row r="1748" spans="1:6" x14ac:dyDescent="0.25">
      <c r="A1748" t="s">
        <v>2016</v>
      </c>
      <c r="B1748" t="s">
        <v>114</v>
      </c>
      <c r="C1748" t="s">
        <v>115</v>
      </c>
      <c r="D1748" t="str">
        <f>HYPERLINK("http://service.sap.com/sap/support/notes/1813641","1813641")</f>
        <v>1813641</v>
      </c>
      <c r="E1748">
        <v>2</v>
      </c>
      <c r="F1748" t="s">
        <v>2069</v>
      </c>
    </row>
    <row r="1749" spans="1:6" x14ac:dyDescent="0.25">
      <c r="A1749" t="s">
        <v>2016</v>
      </c>
      <c r="B1749" t="s">
        <v>685</v>
      </c>
      <c r="C1749" t="s">
        <v>686</v>
      </c>
      <c r="D1749" t="str">
        <f>HYPERLINK("http://service.sap.com/sap/support/notes/1792372","1792372")</f>
        <v>1792372</v>
      </c>
      <c r="E1749">
        <v>1</v>
      </c>
      <c r="F1749" t="s">
        <v>2070</v>
      </c>
    </row>
    <row r="1750" spans="1:6" x14ac:dyDescent="0.25">
      <c r="A1750" t="s">
        <v>2016</v>
      </c>
      <c r="B1750" t="s">
        <v>127</v>
      </c>
      <c r="C1750" t="s">
        <v>128</v>
      </c>
      <c r="D1750" t="str">
        <f>HYPERLINK("http://service.sap.com/sap/support/notes/1810308","1810308")</f>
        <v>1810308</v>
      </c>
      <c r="E1750">
        <v>1</v>
      </c>
      <c r="F1750" t="s">
        <v>2071</v>
      </c>
    </row>
    <row r="1751" spans="1:6" x14ac:dyDescent="0.25">
      <c r="A1751" t="s">
        <v>2016</v>
      </c>
      <c r="B1751" t="s">
        <v>131</v>
      </c>
      <c r="C1751" t="s">
        <v>132</v>
      </c>
      <c r="D1751" t="str">
        <f>HYPERLINK("http://service.sap.com/sap/support/notes/1716951","1716951")</f>
        <v>1716951</v>
      </c>
      <c r="E1751">
        <v>1</v>
      </c>
      <c r="F1751" t="s">
        <v>2072</v>
      </c>
    </row>
    <row r="1752" spans="1:6" x14ac:dyDescent="0.25">
      <c r="A1752" t="s">
        <v>2016</v>
      </c>
      <c r="B1752" t="s">
        <v>131</v>
      </c>
      <c r="C1752" t="s">
        <v>132</v>
      </c>
      <c r="D1752" t="str">
        <f>HYPERLINK("http://service.sap.com/sap/support/notes/1770948","1770948")</f>
        <v>1770948</v>
      </c>
      <c r="E1752">
        <v>3</v>
      </c>
      <c r="F1752" t="s">
        <v>2073</v>
      </c>
    </row>
    <row r="1753" spans="1:6" x14ac:dyDescent="0.25">
      <c r="A1753" t="s">
        <v>2016</v>
      </c>
      <c r="B1753" t="s">
        <v>131</v>
      </c>
      <c r="C1753" t="s">
        <v>132</v>
      </c>
      <c r="D1753" t="str">
        <f>HYPERLINK("http://service.sap.com/sap/support/notes/1778685","1778685")</f>
        <v>1778685</v>
      </c>
      <c r="E1753">
        <v>2</v>
      </c>
      <c r="F1753" t="s">
        <v>2074</v>
      </c>
    </row>
    <row r="1754" spans="1:6" x14ac:dyDescent="0.25">
      <c r="A1754" t="s">
        <v>2016</v>
      </c>
      <c r="B1754" t="s">
        <v>131</v>
      </c>
      <c r="C1754" t="s">
        <v>132</v>
      </c>
      <c r="D1754" t="str">
        <f>HYPERLINK("http://service.sap.com/sap/support/notes/1780315","1780315")</f>
        <v>1780315</v>
      </c>
      <c r="E1754">
        <v>2</v>
      </c>
      <c r="F1754" t="s">
        <v>2075</v>
      </c>
    </row>
    <row r="1755" spans="1:6" x14ac:dyDescent="0.25">
      <c r="A1755" t="s">
        <v>2016</v>
      </c>
      <c r="B1755" t="s">
        <v>131</v>
      </c>
      <c r="C1755" t="s">
        <v>132</v>
      </c>
      <c r="D1755" t="str">
        <f>HYPERLINK("http://service.sap.com/sap/support/notes/1788212","1788212")</f>
        <v>1788212</v>
      </c>
      <c r="E1755">
        <v>4</v>
      </c>
      <c r="F1755" t="s">
        <v>2076</v>
      </c>
    </row>
    <row r="1756" spans="1:6" x14ac:dyDescent="0.25">
      <c r="A1756" t="s">
        <v>2016</v>
      </c>
      <c r="B1756" t="s">
        <v>131</v>
      </c>
      <c r="C1756" t="s">
        <v>132</v>
      </c>
      <c r="D1756" t="str">
        <f>HYPERLINK("http://service.sap.com/sap/support/notes/1798259","1798259")</f>
        <v>1798259</v>
      </c>
      <c r="E1756">
        <v>2</v>
      </c>
      <c r="F1756" t="s">
        <v>2077</v>
      </c>
    </row>
    <row r="1757" spans="1:6" x14ac:dyDescent="0.25">
      <c r="A1757" t="s">
        <v>2016</v>
      </c>
      <c r="B1757" t="s">
        <v>131</v>
      </c>
      <c r="C1757" t="s">
        <v>132</v>
      </c>
      <c r="D1757" t="str">
        <f>HYPERLINK("http://service.sap.com/sap/support/notes/1802820","1802820")</f>
        <v>1802820</v>
      </c>
      <c r="E1757">
        <v>2</v>
      </c>
      <c r="F1757" t="s">
        <v>2078</v>
      </c>
    </row>
    <row r="1758" spans="1:6" x14ac:dyDescent="0.25">
      <c r="A1758" t="s">
        <v>2016</v>
      </c>
      <c r="B1758" t="s">
        <v>131</v>
      </c>
      <c r="C1758" t="s">
        <v>132</v>
      </c>
      <c r="D1758" t="str">
        <f>HYPERLINK("http://service.sap.com/sap/support/notes/1803461","1803461")</f>
        <v>1803461</v>
      </c>
      <c r="E1758">
        <v>2</v>
      </c>
      <c r="F1758" t="s">
        <v>2079</v>
      </c>
    </row>
    <row r="1759" spans="1:6" x14ac:dyDescent="0.25">
      <c r="A1759" t="s">
        <v>2016</v>
      </c>
      <c r="B1759" t="s">
        <v>131</v>
      </c>
      <c r="C1759" t="s">
        <v>132</v>
      </c>
      <c r="D1759" t="str">
        <f>HYPERLINK("http://service.sap.com/sap/support/notes/1803931","1803931")</f>
        <v>1803931</v>
      </c>
      <c r="E1759">
        <v>4</v>
      </c>
      <c r="F1759" t="s">
        <v>2080</v>
      </c>
    </row>
    <row r="1760" spans="1:6" x14ac:dyDescent="0.25">
      <c r="A1760" t="s">
        <v>2016</v>
      </c>
      <c r="B1760" t="s">
        <v>131</v>
      </c>
      <c r="C1760" t="s">
        <v>132</v>
      </c>
      <c r="D1760" t="str">
        <f>HYPERLINK("http://service.sap.com/sap/support/notes/1807772","1807772")</f>
        <v>1807772</v>
      </c>
      <c r="E1760">
        <v>3</v>
      </c>
      <c r="F1760" t="s">
        <v>2081</v>
      </c>
    </row>
    <row r="1761" spans="1:6" x14ac:dyDescent="0.25">
      <c r="A1761" t="s">
        <v>2016</v>
      </c>
      <c r="B1761" t="s">
        <v>131</v>
      </c>
      <c r="C1761" t="s">
        <v>132</v>
      </c>
      <c r="D1761" t="str">
        <f>HYPERLINK("http://service.sap.com/sap/support/notes/1807809","1807809")</f>
        <v>1807809</v>
      </c>
      <c r="E1761">
        <v>2</v>
      </c>
      <c r="F1761" t="s">
        <v>2082</v>
      </c>
    </row>
    <row r="1762" spans="1:6" x14ac:dyDescent="0.25">
      <c r="A1762" t="s">
        <v>2016</v>
      </c>
      <c r="B1762" t="s">
        <v>131</v>
      </c>
      <c r="C1762" t="s">
        <v>132</v>
      </c>
      <c r="D1762" t="str">
        <f>HYPERLINK("http://service.sap.com/sap/support/notes/1808227","1808227")</f>
        <v>1808227</v>
      </c>
      <c r="E1762">
        <v>12</v>
      </c>
      <c r="F1762" t="s">
        <v>2083</v>
      </c>
    </row>
    <row r="1763" spans="1:6" x14ac:dyDescent="0.25">
      <c r="A1763" t="s">
        <v>2016</v>
      </c>
      <c r="B1763" t="s">
        <v>131</v>
      </c>
      <c r="C1763" t="s">
        <v>132</v>
      </c>
      <c r="D1763" t="str">
        <f>HYPERLINK("http://service.sap.com/sap/support/notes/1809214","1809214")</f>
        <v>1809214</v>
      </c>
      <c r="E1763">
        <v>2</v>
      </c>
      <c r="F1763" t="s">
        <v>2084</v>
      </c>
    </row>
    <row r="1764" spans="1:6" x14ac:dyDescent="0.25">
      <c r="A1764" t="s">
        <v>2016</v>
      </c>
      <c r="B1764" t="s">
        <v>131</v>
      </c>
      <c r="C1764" t="s">
        <v>132</v>
      </c>
      <c r="D1764" t="str">
        <f>HYPERLINK("http://service.sap.com/sap/support/notes/1809216","1809216")</f>
        <v>1809216</v>
      </c>
      <c r="E1764">
        <v>2</v>
      </c>
      <c r="F1764" t="s">
        <v>2085</v>
      </c>
    </row>
    <row r="1765" spans="1:6" x14ac:dyDescent="0.25">
      <c r="A1765" t="s">
        <v>2016</v>
      </c>
      <c r="B1765" t="s">
        <v>131</v>
      </c>
      <c r="C1765" t="s">
        <v>132</v>
      </c>
      <c r="D1765" t="str">
        <f>HYPERLINK("http://service.sap.com/sap/support/notes/1809890","1809890")</f>
        <v>1809890</v>
      </c>
      <c r="E1765">
        <v>2</v>
      </c>
      <c r="F1765" t="s">
        <v>2086</v>
      </c>
    </row>
    <row r="1766" spans="1:6" x14ac:dyDescent="0.25">
      <c r="A1766" t="s">
        <v>2016</v>
      </c>
      <c r="B1766" t="s">
        <v>131</v>
      </c>
      <c r="C1766" t="s">
        <v>132</v>
      </c>
      <c r="D1766" t="str">
        <f>HYPERLINK("http://service.sap.com/sap/support/notes/1810073","1810073")</f>
        <v>1810073</v>
      </c>
      <c r="E1766">
        <v>3</v>
      </c>
      <c r="F1766" t="s">
        <v>2087</v>
      </c>
    </row>
    <row r="1767" spans="1:6" x14ac:dyDescent="0.25">
      <c r="A1767" t="s">
        <v>2016</v>
      </c>
      <c r="B1767" t="s">
        <v>131</v>
      </c>
      <c r="C1767" t="s">
        <v>132</v>
      </c>
      <c r="D1767" t="str">
        <f>HYPERLINK("http://service.sap.com/sap/support/notes/1810080","1810080")</f>
        <v>1810080</v>
      </c>
      <c r="E1767">
        <v>2</v>
      </c>
      <c r="F1767" t="s">
        <v>2088</v>
      </c>
    </row>
    <row r="1768" spans="1:6" x14ac:dyDescent="0.25">
      <c r="A1768" t="s">
        <v>2016</v>
      </c>
      <c r="B1768" t="s">
        <v>131</v>
      </c>
      <c r="C1768" t="s">
        <v>132</v>
      </c>
      <c r="D1768" t="str">
        <f>HYPERLINK("http://service.sap.com/sap/support/notes/1811087","1811087")</f>
        <v>1811087</v>
      </c>
      <c r="E1768">
        <v>4</v>
      </c>
      <c r="F1768" t="s">
        <v>2089</v>
      </c>
    </row>
    <row r="1769" spans="1:6" x14ac:dyDescent="0.25">
      <c r="A1769" t="s">
        <v>2016</v>
      </c>
      <c r="B1769" t="s">
        <v>131</v>
      </c>
      <c r="C1769" t="s">
        <v>132</v>
      </c>
      <c r="D1769" t="str">
        <f>HYPERLINK("http://service.sap.com/sap/support/notes/1811629","1811629")</f>
        <v>1811629</v>
      </c>
      <c r="E1769">
        <v>2</v>
      </c>
      <c r="F1769" t="s">
        <v>2090</v>
      </c>
    </row>
    <row r="1770" spans="1:6" x14ac:dyDescent="0.25">
      <c r="A1770" t="s">
        <v>2016</v>
      </c>
      <c r="B1770" t="s">
        <v>131</v>
      </c>
      <c r="C1770" t="s">
        <v>132</v>
      </c>
      <c r="D1770" t="str">
        <f>HYPERLINK("http://service.sap.com/sap/support/notes/1811679","1811679")</f>
        <v>1811679</v>
      </c>
      <c r="E1770">
        <v>2</v>
      </c>
      <c r="F1770" t="s">
        <v>2091</v>
      </c>
    </row>
    <row r="1771" spans="1:6" x14ac:dyDescent="0.25">
      <c r="A1771" t="s">
        <v>2016</v>
      </c>
      <c r="B1771" t="s">
        <v>131</v>
      </c>
      <c r="C1771" t="s">
        <v>132</v>
      </c>
      <c r="D1771" t="str">
        <f>HYPERLINK("http://service.sap.com/sap/support/notes/1812131","1812131")</f>
        <v>1812131</v>
      </c>
      <c r="E1771">
        <v>1</v>
      </c>
      <c r="F1771" t="s">
        <v>2092</v>
      </c>
    </row>
    <row r="1772" spans="1:6" x14ac:dyDescent="0.25">
      <c r="A1772" t="s">
        <v>2016</v>
      </c>
      <c r="B1772" t="s">
        <v>131</v>
      </c>
      <c r="C1772" t="s">
        <v>132</v>
      </c>
      <c r="D1772" t="str">
        <f>HYPERLINK("http://service.sap.com/sap/support/notes/1813436","1813436")</f>
        <v>1813436</v>
      </c>
      <c r="E1772">
        <v>1</v>
      </c>
      <c r="F1772" t="s">
        <v>2093</v>
      </c>
    </row>
    <row r="1773" spans="1:6" x14ac:dyDescent="0.25">
      <c r="A1773" t="s">
        <v>2016</v>
      </c>
      <c r="B1773" t="s">
        <v>144</v>
      </c>
      <c r="C1773" t="s">
        <v>145</v>
      </c>
      <c r="D1773" t="str">
        <f>HYPERLINK("http://service.sap.com/sap/support/notes/1723629","1723629")</f>
        <v>1723629</v>
      </c>
      <c r="E1773">
        <v>4</v>
      </c>
      <c r="F1773" t="s">
        <v>2094</v>
      </c>
    </row>
    <row r="1774" spans="1:6" x14ac:dyDescent="0.25">
      <c r="A1774" t="s">
        <v>2016</v>
      </c>
      <c r="B1774" t="s">
        <v>144</v>
      </c>
      <c r="C1774" t="s">
        <v>145</v>
      </c>
      <c r="D1774" t="str">
        <f>HYPERLINK("http://service.sap.com/sap/support/notes/1766523","1766523")</f>
        <v>1766523</v>
      </c>
      <c r="E1774">
        <v>4</v>
      </c>
      <c r="F1774" t="s">
        <v>2095</v>
      </c>
    </row>
    <row r="1775" spans="1:6" x14ac:dyDescent="0.25">
      <c r="A1775" t="s">
        <v>2016</v>
      </c>
      <c r="B1775" t="s">
        <v>144</v>
      </c>
      <c r="C1775" t="s">
        <v>145</v>
      </c>
      <c r="D1775" t="str">
        <f>HYPERLINK("http://service.sap.com/sap/support/notes/1796626","1796626")</f>
        <v>1796626</v>
      </c>
      <c r="E1775">
        <v>6</v>
      </c>
      <c r="F1775" t="s">
        <v>2096</v>
      </c>
    </row>
    <row r="1776" spans="1:6" x14ac:dyDescent="0.25">
      <c r="A1776" t="s">
        <v>2016</v>
      </c>
      <c r="B1776" t="s">
        <v>144</v>
      </c>
      <c r="C1776" t="s">
        <v>145</v>
      </c>
      <c r="D1776" t="str">
        <f>HYPERLINK("http://service.sap.com/sap/support/notes/1800759","1800759")</f>
        <v>1800759</v>
      </c>
      <c r="E1776">
        <v>4</v>
      </c>
      <c r="F1776" t="s">
        <v>2097</v>
      </c>
    </row>
    <row r="1777" spans="1:6" x14ac:dyDescent="0.25">
      <c r="A1777" t="s">
        <v>2016</v>
      </c>
      <c r="B1777" t="s">
        <v>144</v>
      </c>
      <c r="C1777" t="s">
        <v>145</v>
      </c>
      <c r="D1777" t="str">
        <f>HYPERLINK("http://service.sap.com/sap/support/notes/1806164","1806164")</f>
        <v>1806164</v>
      </c>
      <c r="E1777">
        <v>2</v>
      </c>
      <c r="F1777" t="s">
        <v>2098</v>
      </c>
    </row>
    <row r="1778" spans="1:6" x14ac:dyDescent="0.25">
      <c r="A1778" t="s">
        <v>2016</v>
      </c>
      <c r="B1778" t="s">
        <v>144</v>
      </c>
      <c r="C1778" t="s">
        <v>145</v>
      </c>
      <c r="D1778" t="str">
        <f>HYPERLINK("http://service.sap.com/sap/support/notes/1811366","1811366")</f>
        <v>1811366</v>
      </c>
      <c r="E1778">
        <v>4</v>
      </c>
      <c r="F1778" t="s">
        <v>2099</v>
      </c>
    </row>
    <row r="1779" spans="1:6" x14ac:dyDescent="0.25">
      <c r="A1779" t="s">
        <v>2016</v>
      </c>
      <c r="B1779" t="s">
        <v>150</v>
      </c>
      <c r="C1779" t="s">
        <v>151</v>
      </c>
    </row>
    <row r="1780" spans="1:6" x14ac:dyDescent="0.25">
      <c r="A1780" t="s">
        <v>2016</v>
      </c>
      <c r="B1780" t="s">
        <v>155</v>
      </c>
      <c r="C1780" t="s">
        <v>156</v>
      </c>
      <c r="D1780" t="str">
        <f>HYPERLINK("http://service.sap.com/sap/support/notes/1791860","1791860")</f>
        <v>1791860</v>
      </c>
      <c r="E1780">
        <v>2</v>
      </c>
      <c r="F1780" t="s">
        <v>2100</v>
      </c>
    </row>
    <row r="1781" spans="1:6" x14ac:dyDescent="0.25">
      <c r="A1781" t="s">
        <v>2016</v>
      </c>
      <c r="B1781" t="s">
        <v>155</v>
      </c>
      <c r="C1781" t="s">
        <v>156</v>
      </c>
      <c r="D1781" t="str">
        <f>HYPERLINK("http://service.sap.com/sap/support/notes/1809984","1809984")</f>
        <v>1809984</v>
      </c>
      <c r="E1781">
        <v>1</v>
      </c>
      <c r="F1781" t="s">
        <v>1687</v>
      </c>
    </row>
    <row r="1782" spans="1:6" x14ac:dyDescent="0.25">
      <c r="A1782" t="s">
        <v>2016</v>
      </c>
      <c r="B1782" t="s">
        <v>155</v>
      </c>
      <c r="C1782" t="s">
        <v>156</v>
      </c>
      <c r="D1782" t="str">
        <f>HYPERLINK("http://service.sap.com/sap/support/notes/1810350","1810350")</f>
        <v>1810350</v>
      </c>
      <c r="E1782">
        <v>1</v>
      </c>
      <c r="F1782" t="s">
        <v>2101</v>
      </c>
    </row>
    <row r="1783" spans="1:6" x14ac:dyDescent="0.25">
      <c r="A1783" t="s">
        <v>2016</v>
      </c>
      <c r="B1783" t="s">
        <v>155</v>
      </c>
      <c r="C1783" t="s">
        <v>156</v>
      </c>
      <c r="D1783" t="str">
        <f>HYPERLINK("http://service.sap.com/sap/support/notes/1813049","1813049")</f>
        <v>1813049</v>
      </c>
      <c r="E1783">
        <v>1</v>
      </c>
      <c r="F1783" t="s">
        <v>2102</v>
      </c>
    </row>
    <row r="1784" spans="1:6" x14ac:dyDescent="0.25">
      <c r="A1784" t="s">
        <v>2016</v>
      </c>
      <c r="B1784" t="s">
        <v>688</v>
      </c>
      <c r="C1784" t="s">
        <v>689</v>
      </c>
      <c r="D1784" t="str">
        <f>HYPERLINK("http://service.sap.com/sap/support/notes/1805545","1805545")</f>
        <v>1805545</v>
      </c>
      <c r="E1784">
        <v>3</v>
      </c>
      <c r="F1784" t="s">
        <v>2103</v>
      </c>
    </row>
    <row r="1785" spans="1:6" x14ac:dyDescent="0.25">
      <c r="A1785" t="s">
        <v>2016</v>
      </c>
      <c r="B1785" t="s">
        <v>688</v>
      </c>
      <c r="C1785" t="s">
        <v>689</v>
      </c>
      <c r="D1785" t="str">
        <f>HYPERLINK("http://service.sap.com/sap/support/notes/1807550","1807550")</f>
        <v>1807550</v>
      </c>
      <c r="E1785">
        <v>2</v>
      </c>
      <c r="F1785" t="s">
        <v>2104</v>
      </c>
    </row>
    <row r="1786" spans="1:6" x14ac:dyDescent="0.25">
      <c r="A1786" t="s">
        <v>2016</v>
      </c>
      <c r="B1786" t="s">
        <v>688</v>
      </c>
      <c r="C1786" t="s">
        <v>689</v>
      </c>
      <c r="D1786" t="str">
        <f>HYPERLINK("http://service.sap.com/sap/support/notes/1809282","1809282")</f>
        <v>1809282</v>
      </c>
      <c r="E1786">
        <v>1</v>
      </c>
      <c r="F1786" t="s">
        <v>2105</v>
      </c>
    </row>
    <row r="1787" spans="1:6" x14ac:dyDescent="0.25">
      <c r="A1787" t="s">
        <v>2016</v>
      </c>
      <c r="B1787" t="s">
        <v>159</v>
      </c>
      <c r="C1787" t="s">
        <v>160</v>
      </c>
      <c r="D1787" t="str">
        <f>HYPERLINK("http://service.sap.com/sap/support/notes/1786975","1786975")</f>
        <v>1786975</v>
      </c>
      <c r="E1787">
        <v>1</v>
      </c>
      <c r="F1787" t="s">
        <v>2106</v>
      </c>
    </row>
    <row r="1788" spans="1:6" x14ac:dyDescent="0.25">
      <c r="A1788" t="s">
        <v>2016</v>
      </c>
      <c r="B1788" t="s">
        <v>159</v>
      </c>
      <c r="C1788" t="s">
        <v>160</v>
      </c>
      <c r="D1788" t="str">
        <f>HYPERLINK("http://service.sap.com/sap/support/notes/1804638","1804638")</f>
        <v>1804638</v>
      </c>
      <c r="E1788">
        <v>2</v>
      </c>
      <c r="F1788" t="s">
        <v>2107</v>
      </c>
    </row>
    <row r="1789" spans="1:6" x14ac:dyDescent="0.25">
      <c r="A1789" t="s">
        <v>2016</v>
      </c>
      <c r="B1789" t="s">
        <v>159</v>
      </c>
      <c r="C1789" t="s">
        <v>160</v>
      </c>
      <c r="D1789" t="str">
        <f>HYPERLINK("http://service.sap.com/sap/support/notes/1805053","1805053")</f>
        <v>1805053</v>
      </c>
      <c r="E1789">
        <v>2</v>
      </c>
      <c r="F1789" t="s">
        <v>2108</v>
      </c>
    </row>
    <row r="1790" spans="1:6" x14ac:dyDescent="0.25">
      <c r="A1790" t="s">
        <v>2016</v>
      </c>
      <c r="B1790" t="s">
        <v>159</v>
      </c>
      <c r="C1790" t="s">
        <v>160</v>
      </c>
      <c r="D1790" t="str">
        <f>HYPERLINK("http://service.sap.com/sap/support/notes/1806666","1806666")</f>
        <v>1806666</v>
      </c>
      <c r="E1790">
        <v>1</v>
      </c>
      <c r="F1790" t="s">
        <v>2109</v>
      </c>
    </row>
    <row r="1791" spans="1:6" x14ac:dyDescent="0.25">
      <c r="A1791" t="s">
        <v>2016</v>
      </c>
      <c r="B1791" t="s">
        <v>159</v>
      </c>
      <c r="C1791" t="s">
        <v>160</v>
      </c>
      <c r="D1791" t="str">
        <f>HYPERLINK("http://service.sap.com/sap/support/notes/1807296","1807296")</f>
        <v>1807296</v>
      </c>
      <c r="E1791">
        <v>1</v>
      </c>
      <c r="F1791" t="s">
        <v>2110</v>
      </c>
    </row>
    <row r="1792" spans="1:6" x14ac:dyDescent="0.25">
      <c r="A1792" t="s">
        <v>2016</v>
      </c>
      <c r="B1792" t="s">
        <v>159</v>
      </c>
      <c r="C1792" t="s">
        <v>160</v>
      </c>
      <c r="D1792" t="str">
        <f>HYPERLINK("http://service.sap.com/sap/support/notes/1808386","1808386")</f>
        <v>1808386</v>
      </c>
      <c r="E1792">
        <v>1</v>
      </c>
      <c r="F1792" t="s">
        <v>2111</v>
      </c>
    </row>
    <row r="1793" spans="1:6" x14ac:dyDescent="0.25">
      <c r="A1793" t="s">
        <v>2016</v>
      </c>
      <c r="B1793" t="s">
        <v>159</v>
      </c>
      <c r="C1793" t="s">
        <v>160</v>
      </c>
      <c r="D1793" t="str">
        <f>HYPERLINK("http://service.sap.com/sap/support/notes/1809070","1809070")</f>
        <v>1809070</v>
      </c>
      <c r="E1793">
        <v>1</v>
      </c>
      <c r="F1793" t="s">
        <v>1691</v>
      </c>
    </row>
    <row r="1794" spans="1:6" x14ac:dyDescent="0.25">
      <c r="A1794" t="s">
        <v>2016</v>
      </c>
      <c r="B1794" t="s">
        <v>159</v>
      </c>
      <c r="C1794" t="s">
        <v>160</v>
      </c>
      <c r="D1794" t="str">
        <f>HYPERLINK("http://service.sap.com/sap/support/notes/1809907","1809907")</f>
        <v>1809907</v>
      </c>
      <c r="E1794">
        <v>1</v>
      </c>
      <c r="F1794" t="s">
        <v>2112</v>
      </c>
    </row>
    <row r="1795" spans="1:6" x14ac:dyDescent="0.25">
      <c r="A1795" t="s">
        <v>2016</v>
      </c>
      <c r="B1795" t="s">
        <v>165</v>
      </c>
      <c r="C1795" t="s">
        <v>31</v>
      </c>
      <c r="D1795" t="str">
        <f>HYPERLINK("http://service.sap.com/sap/support/notes/1801599","1801599")</f>
        <v>1801599</v>
      </c>
      <c r="E1795">
        <v>2</v>
      </c>
      <c r="F1795" t="s">
        <v>2113</v>
      </c>
    </row>
    <row r="1796" spans="1:6" x14ac:dyDescent="0.25">
      <c r="A1796" t="s">
        <v>2016</v>
      </c>
      <c r="B1796" t="s">
        <v>165</v>
      </c>
      <c r="C1796" t="s">
        <v>31</v>
      </c>
      <c r="D1796" t="str">
        <f>HYPERLINK("http://service.sap.com/sap/support/notes/1804776","1804776")</f>
        <v>1804776</v>
      </c>
      <c r="E1796">
        <v>4</v>
      </c>
      <c r="F1796" t="s">
        <v>2114</v>
      </c>
    </row>
    <row r="1797" spans="1:6" x14ac:dyDescent="0.25">
      <c r="A1797" t="s">
        <v>2016</v>
      </c>
      <c r="B1797" t="s">
        <v>165</v>
      </c>
      <c r="C1797" t="s">
        <v>31</v>
      </c>
      <c r="D1797" t="str">
        <f>HYPERLINK("http://service.sap.com/sap/support/notes/1807918","1807918")</f>
        <v>1807918</v>
      </c>
      <c r="E1797">
        <v>2</v>
      </c>
      <c r="F1797" t="s">
        <v>2115</v>
      </c>
    </row>
    <row r="1798" spans="1:6" x14ac:dyDescent="0.25">
      <c r="A1798" t="s">
        <v>2016</v>
      </c>
      <c r="B1798" t="s">
        <v>169</v>
      </c>
      <c r="C1798" t="s">
        <v>34</v>
      </c>
      <c r="D1798" t="str">
        <f>HYPERLINK("http://service.sap.com/sap/support/notes/1805874","1805874")</f>
        <v>1805874</v>
      </c>
      <c r="E1798">
        <v>1</v>
      </c>
      <c r="F1798" t="s">
        <v>2116</v>
      </c>
    </row>
    <row r="1799" spans="1:6" x14ac:dyDescent="0.25">
      <c r="A1799" t="s">
        <v>2016</v>
      </c>
      <c r="B1799" t="s">
        <v>169</v>
      </c>
      <c r="C1799" t="s">
        <v>34</v>
      </c>
      <c r="D1799" t="str">
        <f>HYPERLINK("http://service.sap.com/sap/support/notes/1807567","1807567")</f>
        <v>1807567</v>
      </c>
      <c r="E1799">
        <v>1</v>
      </c>
      <c r="F1799" t="s">
        <v>2117</v>
      </c>
    </row>
    <row r="1800" spans="1:6" x14ac:dyDescent="0.25">
      <c r="A1800" t="s">
        <v>2016</v>
      </c>
      <c r="B1800" t="s">
        <v>169</v>
      </c>
      <c r="C1800" t="s">
        <v>34</v>
      </c>
      <c r="D1800" t="str">
        <f>HYPERLINK("http://service.sap.com/sap/support/notes/1809291","1809291")</f>
        <v>1809291</v>
      </c>
      <c r="E1800">
        <v>1</v>
      </c>
      <c r="F1800" t="s">
        <v>2118</v>
      </c>
    </row>
    <row r="1801" spans="1:6" x14ac:dyDescent="0.25">
      <c r="A1801" t="s">
        <v>2016</v>
      </c>
      <c r="B1801" t="s">
        <v>175</v>
      </c>
      <c r="C1801" t="s">
        <v>176</v>
      </c>
      <c r="D1801" t="str">
        <f>HYPERLINK("http://service.sap.com/sap/support/notes/1809479","1809479")</f>
        <v>1809479</v>
      </c>
      <c r="E1801">
        <v>4</v>
      </c>
      <c r="F1801" t="s">
        <v>2119</v>
      </c>
    </row>
    <row r="1802" spans="1:6" x14ac:dyDescent="0.25">
      <c r="A1802" t="s">
        <v>2016</v>
      </c>
      <c r="B1802" t="s">
        <v>177</v>
      </c>
      <c r="C1802" t="s">
        <v>178</v>
      </c>
      <c r="D1802" t="str">
        <f>HYPERLINK("http://service.sap.com/sap/support/notes/1808485","1808485")</f>
        <v>1808485</v>
      </c>
      <c r="E1802">
        <v>20</v>
      </c>
      <c r="F1802" t="s">
        <v>2120</v>
      </c>
    </row>
    <row r="1803" spans="1:6" x14ac:dyDescent="0.25">
      <c r="A1803" t="s">
        <v>2016</v>
      </c>
      <c r="B1803" t="s">
        <v>177</v>
      </c>
      <c r="C1803" t="s">
        <v>178</v>
      </c>
      <c r="D1803" t="str">
        <f>HYPERLINK("http://service.sap.com/sap/support/notes/1811745","1811745")</f>
        <v>1811745</v>
      </c>
      <c r="E1803">
        <v>1</v>
      </c>
      <c r="F1803" t="s">
        <v>2121</v>
      </c>
    </row>
    <row r="1804" spans="1:6" x14ac:dyDescent="0.25">
      <c r="A1804" t="s">
        <v>2016</v>
      </c>
      <c r="B1804" t="s">
        <v>180</v>
      </c>
      <c r="C1804" t="s">
        <v>181</v>
      </c>
      <c r="D1804" t="str">
        <f>HYPERLINK("http://service.sap.com/sap/support/notes/1791993","1791993")</f>
        <v>1791993</v>
      </c>
      <c r="E1804">
        <v>3</v>
      </c>
      <c r="F1804" t="s">
        <v>2122</v>
      </c>
    </row>
    <row r="1805" spans="1:6" x14ac:dyDescent="0.25">
      <c r="A1805" t="s">
        <v>2016</v>
      </c>
      <c r="B1805" t="s">
        <v>180</v>
      </c>
      <c r="C1805" t="s">
        <v>181</v>
      </c>
      <c r="D1805" t="str">
        <f>HYPERLINK("http://service.sap.com/sap/support/notes/1802425","1802425")</f>
        <v>1802425</v>
      </c>
      <c r="E1805">
        <v>1</v>
      </c>
      <c r="F1805" t="s">
        <v>2123</v>
      </c>
    </row>
    <row r="1806" spans="1:6" x14ac:dyDescent="0.25">
      <c r="A1806" t="s">
        <v>2016</v>
      </c>
      <c r="B1806" t="s">
        <v>180</v>
      </c>
      <c r="C1806" t="s">
        <v>181</v>
      </c>
      <c r="D1806" t="str">
        <f>HYPERLINK("http://service.sap.com/sap/support/notes/1806624","1806624")</f>
        <v>1806624</v>
      </c>
      <c r="E1806">
        <v>1</v>
      </c>
      <c r="F1806" t="s">
        <v>2124</v>
      </c>
    </row>
    <row r="1807" spans="1:6" x14ac:dyDescent="0.25">
      <c r="A1807" t="s">
        <v>2016</v>
      </c>
      <c r="B1807" t="s">
        <v>180</v>
      </c>
      <c r="C1807" t="s">
        <v>181</v>
      </c>
      <c r="D1807" t="str">
        <f>HYPERLINK("http://service.sap.com/sap/support/notes/1808765","1808765")</f>
        <v>1808765</v>
      </c>
      <c r="E1807">
        <v>1</v>
      </c>
      <c r="F1807" t="s">
        <v>2125</v>
      </c>
    </row>
    <row r="1808" spans="1:6" x14ac:dyDescent="0.25">
      <c r="A1808" t="s">
        <v>2016</v>
      </c>
      <c r="B1808" t="s">
        <v>183</v>
      </c>
      <c r="C1808" t="s">
        <v>184</v>
      </c>
    </row>
    <row r="1809" spans="1:6" x14ac:dyDescent="0.25">
      <c r="A1809" t="s">
        <v>2016</v>
      </c>
      <c r="B1809" t="s">
        <v>576</v>
      </c>
      <c r="C1809" t="s">
        <v>577</v>
      </c>
      <c r="D1809" t="str">
        <f>HYPERLINK("http://service.sap.com/sap/support/notes/1798892","1798892")</f>
        <v>1798892</v>
      </c>
      <c r="E1809">
        <v>5</v>
      </c>
      <c r="F1809" t="s">
        <v>2126</v>
      </c>
    </row>
    <row r="1810" spans="1:6" x14ac:dyDescent="0.25">
      <c r="A1810" t="s">
        <v>2016</v>
      </c>
      <c r="B1810" t="s">
        <v>576</v>
      </c>
      <c r="C1810" t="s">
        <v>577</v>
      </c>
      <c r="D1810" t="str">
        <f>HYPERLINK("http://service.sap.com/sap/support/notes/1798973","1798973")</f>
        <v>1798973</v>
      </c>
      <c r="E1810">
        <v>6</v>
      </c>
      <c r="F1810" t="s">
        <v>2127</v>
      </c>
    </row>
    <row r="1811" spans="1:6" x14ac:dyDescent="0.25">
      <c r="A1811" t="s">
        <v>2016</v>
      </c>
      <c r="B1811" t="s">
        <v>1522</v>
      </c>
      <c r="C1811" t="s">
        <v>1523</v>
      </c>
      <c r="D1811" t="str">
        <f>HYPERLINK("http://service.sap.com/sap/support/notes/1802434","1802434")</f>
        <v>1802434</v>
      </c>
      <c r="E1811">
        <v>1</v>
      </c>
      <c r="F1811" t="s">
        <v>2128</v>
      </c>
    </row>
    <row r="1812" spans="1:6" x14ac:dyDescent="0.25">
      <c r="A1812" t="s">
        <v>2016</v>
      </c>
      <c r="B1812" t="s">
        <v>1522</v>
      </c>
      <c r="C1812" t="s">
        <v>1523</v>
      </c>
      <c r="D1812" t="str">
        <f>HYPERLINK("http://service.sap.com/sap/support/notes/1803945","1803945")</f>
        <v>1803945</v>
      </c>
      <c r="E1812">
        <v>1</v>
      </c>
      <c r="F1812" t="s">
        <v>2129</v>
      </c>
    </row>
    <row r="1813" spans="1:6" x14ac:dyDescent="0.25">
      <c r="A1813" t="s">
        <v>2016</v>
      </c>
      <c r="B1813" t="s">
        <v>1522</v>
      </c>
      <c r="C1813" t="s">
        <v>1523</v>
      </c>
      <c r="D1813" t="str">
        <f>HYPERLINK("http://service.sap.com/sap/support/notes/1806090","1806090")</f>
        <v>1806090</v>
      </c>
      <c r="E1813">
        <v>3</v>
      </c>
      <c r="F1813" t="s">
        <v>2130</v>
      </c>
    </row>
    <row r="1814" spans="1:6" x14ac:dyDescent="0.25">
      <c r="A1814" t="s">
        <v>2016</v>
      </c>
      <c r="B1814" t="s">
        <v>1522</v>
      </c>
      <c r="C1814" t="s">
        <v>1523</v>
      </c>
      <c r="D1814" t="str">
        <f>HYPERLINK("http://service.sap.com/sap/support/notes/1807090","1807090")</f>
        <v>1807090</v>
      </c>
      <c r="E1814">
        <v>2</v>
      </c>
      <c r="F1814" t="s">
        <v>2131</v>
      </c>
    </row>
    <row r="1815" spans="1:6" x14ac:dyDescent="0.25">
      <c r="A1815" t="s">
        <v>2016</v>
      </c>
      <c r="B1815" t="s">
        <v>1522</v>
      </c>
      <c r="C1815" t="s">
        <v>1523</v>
      </c>
      <c r="D1815" t="str">
        <f>HYPERLINK("http://service.sap.com/sap/support/notes/1808461","1808461")</f>
        <v>1808461</v>
      </c>
      <c r="E1815">
        <v>1</v>
      </c>
      <c r="F1815" t="s">
        <v>2132</v>
      </c>
    </row>
    <row r="1816" spans="1:6" x14ac:dyDescent="0.25">
      <c r="A1816" t="s">
        <v>2016</v>
      </c>
      <c r="B1816" t="s">
        <v>1522</v>
      </c>
      <c r="C1816" t="s">
        <v>1523</v>
      </c>
      <c r="D1816" t="str">
        <f>HYPERLINK("http://service.sap.com/sap/support/notes/1810919","1810919")</f>
        <v>1810919</v>
      </c>
      <c r="E1816">
        <v>1</v>
      </c>
      <c r="F1816" t="s">
        <v>2133</v>
      </c>
    </row>
    <row r="1817" spans="1:6" x14ac:dyDescent="0.25">
      <c r="A1817" t="s">
        <v>2016</v>
      </c>
      <c r="B1817" t="s">
        <v>1522</v>
      </c>
      <c r="C1817" t="s">
        <v>1523</v>
      </c>
      <c r="D1817" t="str">
        <f>HYPERLINK("http://service.sap.com/sap/support/notes/1812539","1812539")</f>
        <v>1812539</v>
      </c>
      <c r="E1817">
        <v>3</v>
      </c>
      <c r="F1817" t="s">
        <v>2134</v>
      </c>
    </row>
    <row r="1818" spans="1:6" x14ac:dyDescent="0.25">
      <c r="A1818" t="s">
        <v>2016</v>
      </c>
      <c r="B1818" t="s">
        <v>185</v>
      </c>
      <c r="C1818" t="s">
        <v>186</v>
      </c>
      <c r="D1818" t="str">
        <f>HYPERLINK("http://service.sap.com/sap/support/notes/1738595","1738595")</f>
        <v>1738595</v>
      </c>
      <c r="E1818">
        <v>2</v>
      </c>
      <c r="F1818" t="s">
        <v>2135</v>
      </c>
    </row>
    <row r="1819" spans="1:6" x14ac:dyDescent="0.25">
      <c r="A1819" t="s">
        <v>2016</v>
      </c>
      <c r="B1819" t="s">
        <v>185</v>
      </c>
      <c r="C1819" t="s">
        <v>186</v>
      </c>
      <c r="D1819" t="str">
        <f>HYPERLINK("http://service.sap.com/sap/support/notes/1803485","1803485")</f>
        <v>1803485</v>
      </c>
      <c r="E1819">
        <v>2</v>
      </c>
      <c r="F1819" t="s">
        <v>2136</v>
      </c>
    </row>
    <row r="1820" spans="1:6" x14ac:dyDescent="0.25">
      <c r="A1820" t="s">
        <v>2016</v>
      </c>
      <c r="B1820" t="s">
        <v>185</v>
      </c>
      <c r="C1820" t="s">
        <v>186</v>
      </c>
      <c r="D1820" t="str">
        <f>HYPERLINK("http://service.sap.com/sap/support/notes/1803819","1803819")</f>
        <v>1803819</v>
      </c>
      <c r="E1820">
        <v>2</v>
      </c>
      <c r="F1820" t="s">
        <v>2137</v>
      </c>
    </row>
    <row r="1821" spans="1:6" x14ac:dyDescent="0.25">
      <c r="A1821" t="s">
        <v>2016</v>
      </c>
      <c r="B1821" t="s">
        <v>185</v>
      </c>
      <c r="C1821" t="s">
        <v>186</v>
      </c>
      <c r="D1821" t="str">
        <f>HYPERLINK("http://service.sap.com/sap/support/notes/1810042","1810042")</f>
        <v>1810042</v>
      </c>
      <c r="E1821">
        <v>2</v>
      </c>
      <c r="F1821" t="s">
        <v>2138</v>
      </c>
    </row>
    <row r="1822" spans="1:6" x14ac:dyDescent="0.25">
      <c r="A1822" t="s">
        <v>2016</v>
      </c>
      <c r="B1822" t="s">
        <v>185</v>
      </c>
      <c r="C1822" t="s">
        <v>186</v>
      </c>
      <c r="D1822" t="str">
        <f>HYPERLINK("http://service.sap.com/sap/support/notes/1810388","1810388")</f>
        <v>1810388</v>
      </c>
      <c r="E1822">
        <v>4</v>
      </c>
      <c r="F1822" t="s">
        <v>2139</v>
      </c>
    </row>
    <row r="1823" spans="1:6" x14ac:dyDescent="0.25">
      <c r="A1823" t="s">
        <v>2016</v>
      </c>
      <c r="B1823" t="s">
        <v>191</v>
      </c>
      <c r="C1823" t="s">
        <v>192</v>
      </c>
      <c r="D1823" t="str">
        <f>HYPERLINK("http://service.sap.com/sap/support/notes/1804680","1804680")</f>
        <v>1804680</v>
      </c>
      <c r="E1823">
        <v>2</v>
      </c>
      <c r="F1823" t="s">
        <v>2140</v>
      </c>
    </row>
    <row r="1824" spans="1:6" x14ac:dyDescent="0.25">
      <c r="A1824" t="s">
        <v>2016</v>
      </c>
      <c r="B1824" t="s">
        <v>191</v>
      </c>
      <c r="C1824" t="s">
        <v>192</v>
      </c>
      <c r="D1824" t="str">
        <f>HYPERLINK("http://service.sap.com/sap/support/notes/1808523","1808523")</f>
        <v>1808523</v>
      </c>
      <c r="E1824">
        <v>3</v>
      </c>
      <c r="F1824" t="s">
        <v>2141</v>
      </c>
    </row>
    <row r="1825" spans="1:6" x14ac:dyDescent="0.25">
      <c r="A1825" t="s">
        <v>2016</v>
      </c>
      <c r="B1825" t="s">
        <v>195</v>
      </c>
      <c r="C1825" t="s">
        <v>196</v>
      </c>
    </row>
    <row r="1826" spans="1:6" x14ac:dyDescent="0.25">
      <c r="A1826" t="s">
        <v>2016</v>
      </c>
      <c r="B1826" t="s">
        <v>197</v>
      </c>
      <c r="C1826" t="s">
        <v>198</v>
      </c>
      <c r="D1826" t="str">
        <f>HYPERLINK("http://service.sap.com/sap/support/notes/1800700","1800700")</f>
        <v>1800700</v>
      </c>
      <c r="E1826">
        <v>1</v>
      </c>
      <c r="F1826" t="s">
        <v>2142</v>
      </c>
    </row>
    <row r="1827" spans="1:6" x14ac:dyDescent="0.25">
      <c r="A1827" t="s">
        <v>2016</v>
      </c>
      <c r="B1827" t="s">
        <v>197</v>
      </c>
      <c r="C1827" t="s">
        <v>198</v>
      </c>
      <c r="D1827" t="str">
        <f>HYPERLINK("http://service.sap.com/sap/support/notes/1803329","1803329")</f>
        <v>1803329</v>
      </c>
      <c r="E1827">
        <v>1</v>
      </c>
      <c r="F1827" t="s">
        <v>2143</v>
      </c>
    </row>
    <row r="1828" spans="1:6" x14ac:dyDescent="0.25">
      <c r="A1828" t="s">
        <v>2016</v>
      </c>
      <c r="B1828" t="s">
        <v>197</v>
      </c>
      <c r="C1828" t="s">
        <v>198</v>
      </c>
      <c r="D1828" t="str">
        <f>HYPERLINK("http://service.sap.com/sap/support/notes/1814746","1814746")</f>
        <v>1814746</v>
      </c>
      <c r="E1828">
        <v>2</v>
      </c>
      <c r="F1828" t="s">
        <v>2144</v>
      </c>
    </row>
    <row r="1829" spans="1:6" x14ac:dyDescent="0.25">
      <c r="A1829" t="s">
        <v>2016</v>
      </c>
      <c r="B1829" t="s">
        <v>666</v>
      </c>
      <c r="C1829" t="s">
        <v>667</v>
      </c>
      <c r="D1829" t="str">
        <f>HYPERLINK("http://service.sap.com/sap/support/notes/146944","146944")</f>
        <v>146944</v>
      </c>
      <c r="E1829">
        <v>31</v>
      </c>
      <c r="F1829" t="s">
        <v>2145</v>
      </c>
    </row>
    <row r="1830" spans="1:6" x14ac:dyDescent="0.25">
      <c r="A1830" t="s">
        <v>2016</v>
      </c>
      <c r="B1830" t="s">
        <v>666</v>
      </c>
      <c r="C1830" t="s">
        <v>667</v>
      </c>
      <c r="D1830" t="str">
        <f>HYPERLINK("http://service.sap.com/sap/support/notes/1793539","1793539")</f>
        <v>1793539</v>
      </c>
      <c r="E1830">
        <v>4</v>
      </c>
      <c r="F1830" t="s">
        <v>2146</v>
      </c>
    </row>
    <row r="1831" spans="1:6" x14ac:dyDescent="0.25">
      <c r="A1831" t="s">
        <v>2016</v>
      </c>
      <c r="B1831" t="s">
        <v>666</v>
      </c>
      <c r="C1831" t="s">
        <v>667</v>
      </c>
      <c r="D1831" t="str">
        <f>HYPERLINK("http://service.sap.com/sap/support/notes/1805606","1805606")</f>
        <v>1805606</v>
      </c>
      <c r="E1831">
        <v>7</v>
      </c>
      <c r="F1831" t="s">
        <v>2147</v>
      </c>
    </row>
    <row r="1832" spans="1:6" x14ac:dyDescent="0.25">
      <c r="A1832" t="s">
        <v>2016</v>
      </c>
      <c r="B1832" t="s">
        <v>201</v>
      </c>
      <c r="C1832" t="s">
        <v>202</v>
      </c>
      <c r="D1832" t="str">
        <f>HYPERLINK("http://service.sap.com/sap/support/notes/1800126","1800126")</f>
        <v>1800126</v>
      </c>
      <c r="E1832">
        <v>9</v>
      </c>
      <c r="F1832" t="s">
        <v>2148</v>
      </c>
    </row>
    <row r="1833" spans="1:6" x14ac:dyDescent="0.25">
      <c r="A1833" t="s">
        <v>2016</v>
      </c>
      <c r="B1833" t="s">
        <v>201</v>
      </c>
      <c r="C1833" t="s">
        <v>202</v>
      </c>
      <c r="D1833" t="str">
        <f>HYPERLINK("http://service.sap.com/sap/support/notes/1807080","1807080")</f>
        <v>1807080</v>
      </c>
      <c r="E1833">
        <v>2</v>
      </c>
      <c r="F1833" t="s">
        <v>2149</v>
      </c>
    </row>
    <row r="1834" spans="1:6" x14ac:dyDescent="0.25">
      <c r="A1834" t="s">
        <v>2016</v>
      </c>
      <c r="B1834" t="s">
        <v>204</v>
      </c>
      <c r="C1834" t="s">
        <v>205</v>
      </c>
      <c r="D1834" t="str">
        <f>HYPERLINK("http://service.sap.com/sap/support/notes/1800727","1800727")</f>
        <v>1800727</v>
      </c>
      <c r="E1834">
        <v>2</v>
      </c>
      <c r="F1834" t="s">
        <v>2150</v>
      </c>
    </row>
    <row r="1835" spans="1:6" x14ac:dyDescent="0.25">
      <c r="A1835" t="s">
        <v>2016</v>
      </c>
      <c r="B1835" t="s">
        <v>211</v>
      </c>
      <c r="C1835" t="s">
        <v>128</v>
      </c>
      <c r="D1835" t="str">
        <f>HYPERLINK("http://service.sap.com/sap/support/notes/1797689","1797689")</f>
        <v>1797689</v>
      </c>
      <c r="E1835">
        <v>5</v>
      </c>
      <c r="F1835" t="s">
        <v>2151</v>
      </c>
    </row>
    <row r="1836" spans="1:6" x14ac:dyDescent="0.25">
      <c r="A1836" t="s">
        <v>2016</v>
      </c>
      <c r="B1836" t="s">
        <v>211</v>
      </c>
      <c r="C1836" t="s">
        <v>128</v>
      </c>
      <c r="D1836" t="str">
        <f>HYPERLINK("http://service.sap.com/sap/support/notes/1806400","1806400")</f>
        <v>1806400</v>
      </c>
      <c r="E1836">
        <v>1</v>
      </c>
      <c r="F1836" t="s">
        <v>2152</v>
      </c>
    </row>
    <row r="1837" spans="1:6" x14ac:dyDescent="0.25">
      <c r="A1837" t="s">
        <v>2016</v>
      </c>
      <c r="B1837" t="s">
        <v>211</v>
      </c>
      <c r="C1837" t="s">
        <v>128</v>
      </c>
      <c r="D1837" t="str">
        <f>HYPERLINK("http://service.sap.com/sap/support/notes/1807641","1807641")</f>
        <v>1807641</v>
      </c>
      <c r="E1837">
        <v>1</v>
      </c>
      <c r="F1837" t="s">
        <v>2153</v>
      </c>
    </row>
    <row r="1838" spans="1:6" x14ac:dyDescent="0.25">
      <c r="A1838" t="s">
        <v>2016</v>
      </c>
      <c r="B1838" t="s">
        <v>211</v>
      </c>
      <c r="C1838" t="s">
        <v>128</v>
      </c>
      <c r="D1838" t="str">
        <f>HYPERLINK("http://service.sap.com/sap/support/notes/1807800","1807800")</f>
        <v>1807800</v>
      </c>
      <c r="E1838">
        <v>2</v>
      </c>
      <c r="F1838" t="s">
        <v>2154</v>
      </c>
    </row>
    <row r="1839" spans="1:6" x14ac:dyDescent="0.25">
      <c r="A1839" t="s">
        <v>2016</v>
      </c>
      <c r="B1839" t="s">
        <v>211</v>
      </c>
      <c r="C1839" t="s">
        <v>128</v>
      </c>
      <c r="D1839" t="str">
        <f>HYPERLINK("http://service.sap.com/sap/support/notes/1809406","1809406")</f>
        <v>1809406</v>
      </c>
      <c r="E1839">
        <v>1</v>
      </c>
      <c r="F1839" t="s">
        <v>2155</v>
      </c>
    </row>
    <row r="1840" spans="1:6" x14ac:dyDescent="0.25">
      <c r="A1840" t="s">
        <v>2016</v>
      </c>
      <c r="B1840" t="s">
        <v>211</v>
      </c>
      <c r="C1840" t="s">
        <v>128</v>
      </c>
      <c r="D1840" t="str">
        <f>HYPERLINK("http://service.sap.com/sap/support/notes/1812933","1812933")</f>
        <v>1812933</v>
      </c>
      <c r="E1840">
        <v>2</v>
      </c>
      <c r="F1840" t="s">
        <v>2156</v>
      </c>
    </row>
    <row r="1841" spans="1:6" x14ac:dyDescent="0.25">
      <c r="A1841" t="s">
        <v>2016</v>
      </c>
      <c r="B1841" t="s">
        <v>211</v>
      </c>
      <c r="C1841" t="s">
        <v>128</v>
      </c>
      <c r="D1841" t="str">
        <f>HYPERLINK("http://service.sap.com/sap/support/notes/1814577","1814577")</f>
        <v>1814577</v>
      </c>
      <c r="E1841">
        <v>1</v>
      </c>
      <c r="F1841" t="s">
        <v>2157</v>
      </c>
    </row>
    <row r="1842" spans="1:6" x14ac:dyDescent="0.25">
      <c r="A1842" t="s">
        <v>2016</v>
      </c>
      <c r="B1842" t="s">
        <v>221</v>
      </c>
      <c r="C1842" t="s">
        <v>222</v>
      </c>
      <c r="D1842" t="str">
        <f>HYPERLINK("http://service.sap.com/sap/support/notes/1749785","1749785")</f>
        <v>1749785</v>
      </c>
      <c r="E1842">
        <v>1</v>
      </c>
      <c r="F1842" t="s">
        <v>2158</v>
      </c>
    </row>
    <row r="1843" spans="1:6" x14ac:dyDescent="0.25">
      <c r="A1843" t="s">
        <v>2016</v>
      </c>
      <c r="B1843" t="s">
        <v>221</v>
      </c>
      <c r="C1843" t="s">
        <v>222</v>
      </c>
      <c r="D1843" t="str">
        <f>HYPERLINK("http://service.sap.com/sap/support/notes/1792427","1792427")</f>
        <v>1792427</v>
      </c>
      <c r="E1843">
        <v>4</v>
      </c>
      <c r="F1843" t="s">
        <v>2159</v>
      </c>
    </row>
    <row r="1844" spans="1:6" x14ac:dyDescent="0.25">
      <c r="A1844" t="s">
        <v>2016</v>
      </c>
      <c r="B1844" t="s">
        <v>221</v>
      </c>
      <c r="C1844" t="s">
        <v>222</v>
      </c>
      <c r="D1844" t="str">
        <f>HYPERLINK("http://service.sap.com/sap/support/notes/1796448","1796448")</f>
        <v>1796448</v>
      </c>
      <c r="E1844">
        <v>1</v>
      </c>
      <c r="F1844" t="s">
        <v>2160</v>
      </c>
    </row>
    <row r="1845" spans="1:6" x14ac:dyDescent="0.25">
      <c r="A1845" t="s">
        <v>2016</v>
      </c>
      <c r="B1845" t="s">
        <v>221</v>
      </c>
      <c r="C1845" t="s">
        <v>222</v>
      </c>
      <c r="D1845" t="str">
        <f>HYPERLINK("http://service.sap.com/sap/support/notes/1804719","1804719")</f>
        <v>1804719</v>
      </c>
      <c r="E1845">
        <v>1</v>
      </c>
      <c r="F1845" t="s">
        <v>2161</v>
      </c>
    </row>
    <row r="1846" spans="1:6" x14ac:dyDescent="0.25">
      <c r="A1846" t="s">
        <v>2016</v>
      </c>
      <c r="B1846" t="s">
        <v>221</v>
      </c>
      <c r="C1846" t="s">
        <v>222</v>
      </c>
      <c r="D1846" t="str">
        <f>HYPERLINK("http://service.sap.com/sap/support/notes/1805008","1805008")</f>
        <v>1805008</v>
      </c>
      <c r="E1846">
        <v>2</v>
      </c>
      <c r="F1846" t="s">
        <v>2162</v>
      </c>
    </row>
    <row r="1847" spans="1:6" x14ac:dyDescent="0.25">
      <c r="A1847" t="s">
        <v>2016</v>
      </c>
      <c r="B1847" t="s">
        <v>221</v>
      </c>
      <c r="C1847" t="s">
        <v>222</v>
      </c>
      <c r="D1847" t="str">
        <f>HYPERLINK("http://service.sap.com/sap/support/notes/1805592","1805592")</f>
        <v>1805592</v>
      </c>
      <c r="E1847">
        <v>1</v>
      </c>
      <c r="F1847" t="s">
        <v>2163</v>
      </c>
    </row>
    <row r="1848" spans="1:6" x14ac:dyDescent="0.25">
      <c r="A1848" t="s">
        <v>2016</v>
      </c>
      <c r="B1848" t="s">
        <v>221</v>
      </c>
      <c r="C1848" t="s">
        <v>222</v>
      </c>
      <c r="D1848" t="str">
        <f>HYPERLINK("http://service.sap.com/sap/support/notes/1809320","1809320")</f>
        <v>1809320</v>
      </c>
      <c r="E1848">
        <v>1</v>
      </c>
      <c r="F1848" t="s">
        <v>2164</v>
      </c>
    </row>
    <row r="1849" spans="1:6" x14ac:dyDescent="0.25">
      <c r="A1849" t="s">
        <v>2016</v>
      </c>
      <c r="B1849" t="s">
        <v>221</v>
      </c>
      <c r="C1849" t="s">
        <v>222</v>
      </c>
      <c r="D1849" t="str">
        <f>HYPERLINK("http://service.sap.com/sap/support/notes/1809683","1809683")</f>
        <v>1809683</v>
      </c>
      <c r="E1849">
        <v>1</v>
      </c>
      <c r="F1849" t="s">
        <v>2165</v>
      </c>
    </row>
    <row r="1850" spans="1:6" x14ac:dyDescent="0.25">
      <c r="A1850" t="s">
        <v>2016</v>
      </c>
      <c r="B1850" t="s">
        <v>221</v>
      </c>
      <c r="C1850" t="s">
        <v>222</v>
      </c>
      <c r="D1850" t="str">
        <f>HYPERLINK("http://service.sap.com/sap/support/notes/1811668","1811668")</f>
        <v>1811668</v>
      </c>
      <c r="E1850">
        <v>1</v>
      </c>
      <c r="F1850" t="s">
        <v>2166</v>
      </c>
    </row>
    <row r="1851" spans="1:6" x14ac:dyDescent="0.25">
      <c r="A1851" t="s">
        <v>2016</v>
      </c>
      <c r="B1851" t="s">
        <v>586</v>
      </c>
      <c r="C1851" t="s">
        <v>587</v>
      </c>
      <c r="D1851" t="str">
        <f>HYPERLINK("http://service.sap.com/sap/support/notes/1783450","1783450")</f>
        <v>1783450</v>
      </c>
      <c r="E1851">
        <v>3</v>
      </c>
      <c r="F1851" t="s">
        <v>2167</v>
      </c>
    </row>
    <row r="1852" spans="1:6" x14ac:dyDescent="0.25">
      <c r="A1852" t="s">
        <v>2016</v>
      </c>
      <c r="B1852" t="s">
        <v>586</v>
      </c>
      <c r="C1852" t="s">
        <v>587</v>
      </c>
      <c r="D1852" t="str">
        <f>HYPERLINK("http://service.sap.com/sap/support/notes/1804789","1804789")</f>
        <v>1804789</v>
      </c>
      <c r="E1852">
        <v>2</v>
      </c>
      <c r="F1852" t="s">
        <v>2168</v>
      </c>
    </row>
    <row r="1853" spans="1:6" x14ac:dyDescent="0.25">
      <c r="A1853" t="s">
        <v>2016</v>
      </c>
      <c r="B1853" t="s">
        <v>586</v>
      </c>
      <c r="C1853" t="s">
        <v>587</v>
      </c>
      <c r="D1853" t="str">
        <f>HYPERLINK("http://service.sap.com/sap/support/notes/1809116","1809116")</f>
        <v>1809116</v>
      </c>
      <c r="E1853">
        <v>4</v>
      </c>
      <c r="F1853" t="s">
        <v>2169</v>
      </c>
    </row>
    <row r="1854" spans="1:6" x14ac:dyDescent="0.25">
      <c r="A1854" t="s">
        <v>2016</v>
      </c>
      <c r="B1854" t="s">
        <v>229</v>
      </c>
      <c r="C1854" t="s">
        <v>230</v>
      </c>
      <c r="D1854" t="str">
        <f>HYPERLINK("http://service.sap.com/sap/support/notes/1773170","1773170")</f>
        <v>1773170</v>
      </c>
      <c r="E1854">
        <v>1</v>
      </c>
      <c r="F1854" t="s">
        <v>1184</v>
      </c>
    </row>
    <row r="1855" spans="1:6" x14ac:dyDescent="0.25">
      <c r="A1855" t="s">
        <v>2016</v>
      </c>
      <c r="B1855" t="s">
        <v>229</v>
      </c>
      <c r="C1855" t="s">
        <v>230</v>
      </c>
      <c r="D1855" t="str">
        <f>HYPERLINK("http://service.sap.com/sap/support/notes/1774317","1774317")</f>
        <v>1774317</v>
      </c>
      <c r="E1855">
        <v>2</v>
      </c>
      <c r="F1855" t="s">
        <v>2170</v>
      </c>
    </row>
    <row r="1856" spans="1:6" x14ac:dyDescent="0.25">
      <c r="A1856" t="s">
        <v>2016</v>
      </c>
      <c r="B1856" t="s">
        <v>229</v>
      </c>
      <c r="C1856" t="s">
        <v>230</v>
      </c>
      <c r="D1856" t="str">
        <f>HYPERLINK("http://service.sap.com/sap/support/notes/1788003","1788003")</f>
        <v>1788003</v>
      </c>
      <c r="E1856">
        <v>4</v>
      </c>
      <c r="F1856" t="s">
        <v>2171</v>
      </c>
    </row>
    <row r="1857" spans="1:6" x14ac:dyDescent="0.25">
      <c r="A1857" t="s">
        <v>2016</v>
      </c>
      <c r="B1857" t="s">
        <v>229</v>
      </c>
      <c r="C1857" t="s">
        <v>230</v>
      </c>
      <c r="D1857" t="str">
        <f>HYPERLINK("http://service.sap.com/sap/support/notes/1792026","1792026")</f>
        <v>1792026</v>
      </c>
      <c r="E1857">
        <v>3</v>
      </c>
      <c r="F1857" t="s">
        <v>2172</v>
      </c>
    </row>
    <row r="1858" spans="1:6" x14ac:dyDescent="0.25">
      <c r="A1858" t="s">
        <v>2016</v>
      </c>
      <c r="B1858" t="s">
        <v>229</v>
      </c>
      <c r="C1858" t="s">
        <v>230</v>
      </c>
      <c r="D1858" t="str">
        <f>HYPERLINK("http://service.sap.com/sap/support/notes/1800588","1800588")</f>
        <v>1800588</v>
      </c>
      <c r="E1858">
        <v>2</v>
      </c>
      <c r="F1858" t="s">
        <v>2173</v>
      </c>
    </row>
    <row r="1859" spans="1:6" x14ac:dyDescent="0.25">
      <c r="A1859" t="s">
        <v>2016</v>
      </c>
      <c r="B1859" t="s">
        <v>229</v>
      </c>
      <c r="C1859" t="s">
        <v>230</v>
      </c>
      <c r="D1859" t="str">
        <f>HYPERLINK("http://service.sap.com/sap/support/notes/1801652","1801652")</f>
        <v>1801652</v>
      </c>
      <c r="E1859">
        <v>4</v>
      </c>
      <c r="F1859" t="s">
        <v>2174</v>
      </c>
    </row>
    <row r="1860" spans="1:6" x14ac:dyDescent="0.25">
      <c r="A1860" t="s">
        <v>2016</v>
      </c>
      <c r="B1860" t="s">
        <v>229</v>
      </c>
      <c r="C1860" t="s">
        <v>230</v>
      </c>
      <c r="D1860" t="str">
        <f>HYPERLINK("http://service.sap.com/sap/support/notes/1802364","1802364")</f>
        <v>1802364</v>
      </c>
      <c r="E1860">
        <v>2</v>
      </c>
      <c r="F1860" t="s">
        <v>2175</v>
      </c>
    </row>
    <row r="1861" spans="1:6" x14ac:dyDescent="0.25">
      <c r="A1861" t="s">
        <v>2016</v>
      </c>
      <c r="B1861" t="s">
        <v>229</v>
      </c>
      <c r="C1861" t="s">
        <v>230</v>
      </c>
      <c r="D1861" t="str">
        <f>HYPERLINK("http://service.sap.com/sap/support/notes/1804345","1804345")</f>
        <v>1804345</v>
      </c>
      <c r="E1861">
        <v>4</v>
      </c>
      <c r="F1861" t="s">
        <v>2176</v>
      </c>
    </row>
    <row r="1862" spans="1:6" x14ac:dyDescent="0.25">
      <c r="A1862" t="s">
        <v>2016</v>
      </c>
      <c r="B1862" t="s">
        <v>229</v>
      </c>
      <c r="C1862" t="s">
        <v>230</v>
      </c>
      <c r="D1862" t="str">
        <f>HYPERLINK("http://service.sap.com/sap/support/notes/1804548","1804548")</f>
        <v>1804548</v>
      </c>
      <c r="E1862">
        <v>5</v>
      </c>
      <c r="F1862" t="s">
        <v>2177</v>
      </c>
    </row>
    <row r="1863" spans="1:6" x14ac:dyDescent="0.25">
      <c r="A1863" t="s">
        <v>2016</v>
      </c>
      <c r="B1863" t="s">
        <v>229</v>
      </c>
      <c r="C1863" t="s">
        <v>230</v>
      </c>
      <c r="D1863" t="str">
        <f>HYPERLINK("http://service.sap.com/sap/support/notes/1804642","1804642")</f>
        <v>1804642</v>
      </c>
      <c r="E1863">
        <v>5</v>
      </c>
      <c r="F1863" t="s">
        <v>2178</v>
      </c>
    </row>
    <row r="1864" spans="1:6" x14ac:dyDescent="0.25">
      <c r="A1864" t="s">
        <v>2016</v>
      </c>
      <c r="B1864" t="s">
        <v>229</v>
      </c>
      <c r="C1864" t="s">
        <v>230</v>
      </c>
      <c r="D1864" t="str">
        <f>HYPERLINK("http://service.sap.com/sap/support/notes/1807517","1807517")</f>
        <v>1807517</v>
      </c>
      <c r="E1864">
        <v>2</v>
      </c>
      <c r="F1864" t="s">
        <v>2179</v>
      </c>
    </row>
    <row r="1865" spans="1:6" x14ac:dyDescent="0.25">
      <c r="A1865" t="s">
        <v>2016</v>
      </c>
      <c r="B1865" t="s">
        <v>229</v>
      </c>
      <c r="C1865" t="s">
        <v>230</v>
      </c>
      <c r="D1865" t="str">
        <f>HYPERLINK("http://service.sap.com/sap/support/notes/1807526","1807526")</f>
        <v>1807526</v>
      </c>
      <c r="E1865">
        <v>2</v>
      </c>
      <c r="F1865" t="s">
        <v>2180</v>
      </c>
    </row>
    <row r="1866" spans="1:6" x14ac:dyDescent="0.25">
      <c r="A1866" t="s">
        <v>2016</v>
      </c>
      <c r="B1866" t="s">
        <v>229</v>
      </c>
      <c r="C1866" t="s">
        <v>230</v>
      </c>
      <c r="D1866" t="str">
        <f>HYPERLINK("http://service.sap.com/sap/support/notes/1808021","1808021")</f>
        <v>1808021</v>
      </c>
      <c r="E1866">
        <v>3</v>
      </c>
      <c r="F1866" t="s">
        <v>2181</v>
      </c>
    </row>
    <row r="1867" spans="1:6" x14ac:dyDescent="0.25">
      <c r="A1867" t="s">
        <v>2016</v>
      </c>
      <c r="B1867" t="s">
        <v>229</v>
      </c>
      <c r="C1867" t="s">
        <v>230</v>
      </c>
      <c r="D1867" t="str">
        <f>HYPERLINK("http://service.sap.com/sap/support/notes/1808620","1808620")</f>
        <v>1808620</v>
      </c>
      <c r="E1867">
        <v>3</v>
      </c>
      <c r="F1867" t="s">
        <v>2182</v>
      </c>
    </row>
    <row r="1868" spans="1:6" x14ac:dyDescent="0.25">
      <c r="A1868" t="s">
        <v>2016</v>
      </c>
      <c r="B1868" t="s">
        <v>229</v>
      </c>
      <c r="C1868" t="s">
        <v>230</v>
      </c>
      <c r="D1868" t="str">
        <f>HYPERLINK("http://service.sap.com/sap/support/notes/1808960","1808960")</f>
        <v>1808960</v>
      </c>
      <c r="E1868">
        <v>1</v>
      </c>
      <c r="F1868" t="s">
        <v>2183</v>
      </c>
    </row>
    <row r="1869" spans="1:6" x14ac:dyDescent="0.25">
      <c r="A1869" t="s">
        <v>2016</v>
      </c>
      <c r="B1869" t="s">
        <v>229</v>
      </c>
      <c r="C1869" t="s">
        <v>230</v>
      </c>
      <c r="D1869" t="str">
        <f>HYPERLINK("http://service.sap.com/sap/support/notes/1810019","1810019")</f>
        <v>1810019</v>
      </c>
      <c r="E1869">
        <v>1</v>
      </c>
      <c r="F1869" t="s">
        <v>2184</v>
      </c>
    </row>
    <row r="1870" spans="1:6" x14ac:dyDescent="0.25">
      <c r="A1870" t="s">
        <v>2016</v>
      </c>
      <c r="B1870" t="s">
        <v>229</v>
      </c>
      <c r="C1870" t="s">
        <v>230</v>
      </c>
      <c r="D1870" t="str">
        <f>HYPERLINK("http://service.sap.com/sap/support/notes/1810512","1810512")</f>
        <v>1810512</v>
      </c>
      <c r="E1870">
        <v>1</v>
      </c>
      <c r="F1870" t="s">
        <v>2185</v>
      </c>
    </row>
    <row r="1871" spans="1:6" x14ac:dyDescent="0.25">
      <c r="A1871" t="s">
        <v>2016</v>
      </c>
      <c r="B1871" t="s">
        <v>229</v>
      </c>
      <c r="C1871" t="s">
        <v>230</v>
      </c>
      <c r="D1871" t="str">
        <f>HYPERLINK("http://service.sap.com/sap/support/notes/1811097","1811097")</f>
        <v>1811097</v>
      </c>
      <c r="E1871">
        <v>2</v>
      </c>
      <c r="F1871" t="s">
        <v>2186</v>
      </c>
    </row>
    <row r="1872" spans="1:6" x14ac:dyDescent="0.25">
      <c r="A1872" t="s">
        <v>2016</v>
      </c>
      <c r="B1872" t="s">
        <v>229</v>
      </c>
      <c r="C1872" t="s">
        <v>230</v>
      </c>
      <c r="D1872" t="str">
        <f>HYPERLINK("http://service.sap.com/sap/support/notes/1811276","1811276")</f>
        <v>1811276</v>
      </c>
      <c r="E1872">
        <v>2</v>
      </c>
      <c r="F1872" t="s">
        <v>2187</v>
      </c>
    </row>
    <row r="1873" spans="1:6" x14ac:dyDescent="0.25">
      <c r="A1873" t="s">
        <v>2016</v>
      </c>
      <c r="B1873" t="s">
        <v>229</v>
      </c>
      <c r="C1873" t="s">
        <v>230</v>
      </c>
      <c r="D1873" t="str">
        <f>HYPERLINK("http://service.sap.com/sap/support/notes/1811307","1811307")</f>
        <v>1811307</v>
      </c>
      <c r="E1873">
        <v>2</v>
      </c>
      <c r="F1873" t="s">
        <v>2188</v>
      </c>
    </row>
    <row r="1874" spans="1:6" x14ac:dyDescent="0.25">
      <c r="A1874" t="s">
        <v>2016</v>
      </c>
      <c r="B1874" t="s">
        <v>229</v>
      </c>
      <c r="C1874" t="s">
        <v>230</v>
      </c>
      <c r="D1874" t="str">
        <f>HYPERLINK("http://service.sap.com/sap/support/notes/1811825","1811825")</f>
        <v>1811825</v>
      </c>
      <c r="E1874">
        <v>2</v>
      </c>
      <c r="F1874" t="s">
        <v>2189</v>
      </c>
    </row>
    <row r="1875" spans="1:6" x14ac:dyDescent="0.25">
      <c r="A1875" t="s">
        <v>2016</v>
      </c>
      <c r="B1875" t="s">
        <v>229</v>
      </c>
      <c r="C1875" t="s">
        <v>230</v>
      </c>
      <c r="D1875" t="str">
        <f>HYPERLINK("http://service.sap.com/sap/support/notes/1811854","1811854")</f>
        <v>1811854</v>
      </c>
      <c r="E1875">
        <v>2</v>
      </c>
      <c r="F1875" t="s">
        <v>2190</v>
      </c>
    </row>
    <row r="1876" spans="1:6" x14ac:dyDescent="0.25">
      <c r="A1876" t="s">
        <v>2016</v>
      </c>
      <c r="B1876" t="s">
        <v>229</v>
      </c>
      <c r="C1876" t="s">
        <v>230</v>
      </c>
      <c r="D1876" t="str">
        <f>HYPERLINK("http://service.sap.com/sap/support/notes/1814601","1814601")</f>
        <v>1814601</v>
      </c>
      <c r="E1876">
        <v>3</v>
      </c>
      <c r="F1876" t="s">
        <v>2191</v>
      </c>
    </row>
    <row r="1877" spans="1:6" x14ac:dyDescent="0.25">
      <c r="A1877" t="s">
        <v>2016</v>
      </c>
      <c r="B1877" t="s">
        <v>260</v>
      </c>
      <c r="C1877" t="s">
        <v>37</v>
      </c>
      <c r="D1877" t="str">
        <f>HYPERLINK("http://service.sap.com/sap/support/notes/1797947","1797947")</f>
        <v>1797947</v>
      </c>
      <c r="E1877">
        <v>2</v>
      </c>
      <c r="F1877" t="s">
        <v>2192</v>
      </c>
    </row>
    <row r="1878" spans="1:6" x14ac:dyDescent="0.25">
      <c r="A1878" t="s">
        <v>2016</v>
      </c>
      <c r="B1878" t="s">
        <v>260</v>
      </c>
      <c r="C1878" t="s">
        <v>37</v>
      </c>
      <c r="D1878" t="str">
        <f>HYPERLINK("http://service.sap.com/sap/support/notes/1809516","1809516")</f>
        <v>1809516</v>
      </c>
      <c r="E1878">
        <v>2</v>
      </c>
      <c r="F1878" t="s">
        <v>2193</v>
      </c>
    </row>
    <row r="1879" spans="1:6" x14ac:dyDescent="0.25">
      <c r="A1879" t="s">
        <v>2016</v>
      </c>
      <c r="B1879" t="s">
        <v>263</v>
      </c>
      <c r="C1879" t="s">
        <v>41</v>
      </c>
      <c r="D1879" t="str">
        <f>HYPERLINK("http://service.sap.com/sap/support/notes/1800720","1800720")</f>
        <v>1800720</v>
      </c>
      <c r="E1879">
        <v>1</v>
      </c>
      <c r="F1879" t="s">
        <v>2194</v>
      </c>
    </row>
    <row r="1880" spans="1:6" x14ac:dyDescent="0.25">
      <c r="A1880" t="s">
        <v>2016</v>
      </c>
      <c r="B1880" t="s">
        <v>263</v>
      </c>
      <c r="C1880" t="s">
        <v>41</v>
      </c>
      <c r="D1880" t="str">
        <f>HYPERLINK("http://service.sap.com/sap/support/notes/1802099","1802099")</f>
        <v>1802099</v>
      </c>
      <c r="E1880">
        <v>2</v>
      </c>
      <c r="F1880" t="s">
        <v>2195</v>
      </c>
    </row>
    <row r="1881" spans="1:6" x14ac:dyDescent="0.25">
      <c r="A1881" t="s">
        <v>2016</v>
      </c>
      <c r="B1881" t="s">
        <v>263</v>
      </c>
      <c r="C1881" t="s">
        <v>41</v>
      </c>
      <c r="D1881" t="str">
        <f>HYPERLINK("http://service.sap.com/sap/support/notes/1803059","1803059")</f>
        <v>1803059</v>
      </c>
      <c r="E1881">
        <v>1</v>
      </c>
      <c r="F1881" t="s">
        <v>2196</v>
      </c>
    </row>
    <row r="1882" spans="1:6" x14ac:dyDescent="0.25">
      <c r="A1882" t="s">
        <v>2016</v>
      </c>
      <c r="B1882" t="s">
        <v>263</v>
      </c>
      <c r="C1882" t="s">
        <v>41</v>
      </c>
      <c r="D1882" t="str">
        <f>HYPERLINK("http://service.sap.com/sap/support/notes/1805129","1805129")</f>
        <v>1805129</v>
      </c>
      <c r="E1882">
        <v>3</v>
      </c>
      <c r="F1882" t="s">
        <v>2197</v>
      </c>
    </row>
    <row r="1883" spans="1:6" x14ac:dyDescent="0.25">
      <c r="A1883" t="s">
        <v>2016</v>
      </c>
      <c r="B1883" t="s">
        <v>263</v>
      </c>
      <c r="C1883" t="s">
        <v>41</v>
      </c>
      <c r="D1883" t="str">
        <f>HYPERLINK("http://service.sap.com/sap/support/notes/1805984","1805984")</f>
        <v>1805984</v>
      </c>
      <c r="E1883">
        <v>2</v>
      </c>
      <c r="F1883" t="s">
        <v>2198</v>
      </c>
    </row>
    <row r="1884" spans="1:6" x14ac:dyDescent="0.25">
      <c r="A1884" t="s">
        <v>2016</v>
      </c>
      <c r="B1884" t="s">
        <v>263</v>
      </c>
      <c r="C1884" t="s">
        <v>41</v>
      </c>
      <c r="D1884" t="str">
        <f>HYPERLINK("http://service.sap.com/sap/support/notes/1806129","1806129")</f>
        <v>1806129</v>
      </c>
      <c r="E1884">
        <v>5</v>
      </c>
      <c r="F1884" t="s">
        <v>2199</v>
      </c>
    </row>
    <row r="1885" spans="1:6" x14ac:dyDescent="0.25">
      <c r="A1885" t="s">
        <v>2016</v>
      </c>
      <c r="B1885" t="s">
        <v>263</v>
      </c>
      <c r="C1885" t="s">
        <v>41</v>
      </c>
      <c r="D1885" t="str">
        <f>HYPERLINK("http://service.sap.com/sap/support/notes/1806455","1806455")</f>
        <v>1806455</v>
      </c>
      <c r="E1885">
        <v>4</v>
      </c>
      <c r="F1885" t="s">
        <v>2200</v>
      </c>
    </row>
    <row r="1886" spans="1:6" x14ac:dyDescent="0.25">
      <c r="A1886" t="s">
        <v>2016</v>
      </c>
      <c r="B1886" t="s">
        <v>263</v>
      </c>
      <c r="C1886" t="s">
        <v>41</v>
      </c>
      <c r="D1886" t="str">
        <f>HYPERLINK("http://service.sap.com/sap/support/notes/1806607","1806607")</f>
        <v>1806607</v>
      </c>
      <c r="E1886">
        <v>1</v>
      </c>
      <c r="F1886" t="s">
        <v>2201</v>
      </c>
    </row>
    <row r="1887" spans="1:6" x14ac:dyDescent="0.25">
      <c r="A1887" t="s">
        <v>2016</v>
      </c>
      <c r="B1887" t="s">
        <v>263</v>
      </c>
      <c r="C1887" t="s">
        <v>41</v>
      </c>
      <c r="D1887" t="str">
        <f>HYPERLINK("http://service.sap.com/sap/support/notes/1806742","1806742")</f>
        <v>1806742</v>
      </c>
      <c r="E1887">
        <v>1</v>
      </c>
      <c r="F1887" t="s">
        <v>2202</v>
      </c>
    </row>
    <row r="1888" spans="1:6" x14ac:dyDescent="0.25">
      <c r="A1888" t="s">
        <v>2016</v>
      </c>
      <c r="B1888" t="s">
        <v>263</v>
      </c>
      <c r="C1888" t="s">
        <v>41</v>
      </c>
      <c r="D1888" t="str">
        <f>HYPERLINK("http://service.sap.com/sap/support/notes/1807204","1807204")</f>
        <v>1807204</v>
      </c>
      <c r="E1888">
        <v>1</v>
      </c>
      <c r="F1888" t="s">
        <v>2203</v>
      </c>
    </row>
    <row r="1889" spans="1:6" x14ac:dyDescent="0.25">
      <c r="A1889" t="s">
        <v>2016</v>
      </c>
      <c r="B1889" t="s">
        <v>263</v>
      </c>
      <c r="C1889" t="s">
        <v>41</v>
      </c>
      <c r="D1889" t="str">
        <f>HYPERLINK("http://service.sap.com/sap/support/notes/1807473","1807473")</f>
        <v>1807473</v>
      </c>
      <c r="E1889">
        <v>2</v>
      </c>
      <c r="F1889" t="s">
        <v>2204</v>
      </c>
    </row>
    <row r="1890" spans="1:6" x14ac:dyDescent="0.25">
      <c r="A1890" t="s">
        <v>2016</v>
      </c>
      <c r="B1890" t="s">
        <v>263</v>
      </c>
      <c r="C1890" t="s">
        <v>41</v>
      </c>
      <c r="D1890" t="str">
        <f>HYPERLINK("http://service.sap.com/sap/support/notes/1807764","1807764")</f>
        <v>1807764</v>
      </c>
      <c r="E1890">
        <v>1</v>
      </c>
      <c r="F1890" t="s">
        <v>2205</v>
      </c>
    </row>
    <row r="1891" spans="1:6" x14ac:dyDescent="0.25">
      <c r="A1891" t="s">
        <v>2016</v>
      </c>
      <c r="B1891" t="s">
        <v>263</v>
      </c>
      <c r="C1891" t="s">
        <v>41</v>
      </c>
      <c r="D1891" t="str">
        <f>HYPERLINK("http://service.sap.com/sap/support/notes/1807850","1807850")</f>
        <v>1807850</v>
      </c>
      <c r="E1891">
        <v>2</v>
      </c>
      <c r="F1891" t="s">
        <v>2206</v>
      </c>
    </row>
    <row r="1892" spans="1:6" x14ac:dyDescent="0.25">
      <c r="A1892" t="s">
        <v>2016</v>
      </c>
      <c r="B1892" t="s">
        <v>263</v>
      </c>
      <c r="C1892" t="s">
        <v>41</v>
      </c>
      <c r="D1892" t="str">
        <f>HYPERLINK("http://service.sap.com/sap/support/notes/1807976","1807976")</f>
        <v>1807976</v>
      </c>
      <c r="E1892">
        <v>2</v>
      </c>
      <c r="F1892" t="s">
        <v>2207</v>
      </c>
    </row>
    <row r="1893" spans="1:6" x14ac:dyDescent="0.25">
      <c r="A1893" t="s">
        <v>2016</v>
      </c>
      <c r="B1893" t="s">
        <v>263</v>
      </c>
      <c r="C1893" t="s">
        <v>41</v>
      </c>
      <c r="D1893" t="str">
        <f>HYPERLINK("http://service.sap.com/sap/support/notes/1808266","1808266")</f>
        <v>1808266</v>
      </c>
      <c r="E1893">
        <v>2</v>
      </c>
      <c r="F1893" t="s">
        <v>2208</v>
      </c>
    </row>
    <row r="1894" spans="1:6" x14ac:dyDescent="0.25">
      <c r="A1894" t="s">
        <v>2016</v>
      </c>
      <c r="B1894" t="s">
        <v>263</v>
      </c>
      <c r="C1894" t="s">
        <v>41</v>
      </c>
      <c r="D1894" t="str">
        <f>HYPERLINK("http://service.sap.com/sap/support/notes/1808308","1808308")</f>
        <v>1808308</v>
      </c>
      <c r="E1894">
        <v>2</v>
      </c>
      <c r="F1894" t="s">
        <v>2209</v>
      </c>
    </row>
    <row r="1895" spans="1:6" x14ac:dyDescent="0.25">
      <c r="A1895" t="s">
        <v>2016</v>
      </c>
      <c r="B1895" t="s">
        <v>263</v>
      </c>
      <c r="C1895" t="s">
        <v>41</v>
      </c>
      <c r="D1895" t="str">
        <f>HYPERLINK("http://service.sap.com/sap/support/notes/1808436","1808436")</f>
        <v>1808436</v>
      </c>
      <c r="E1895">
        <v>4</v>
      </c>
      <c r="F1895" t="s">
        <v>2210</v>
      </c>
    </row>
    <row r="1896" spans="1:6" x14ac:dyDescent="0.25">
      <c r="A1896" t="s">
        <v>2016</v>
      </c>
      <c r="B1896" t="s">
        <v>263</v>
      </c>
      <c r="C1896" t="s">
        <v>41</v>
      </c>
      <c r="D1896" t="str">
        <f>HYPERLINK("http://service.sap.com/sap/support/notes/1808571","1808571")</f>
        <v>1808571</v>
      </c>
      <c r="E1896">
        <v>1</v>
      </c>
      <c r="F1896" t="s">
        <v>2211</v>
      </c>
    </row>
    <row r="1897" spans="1:6" x14ac:dyDescent="0.25">
      <c r="A1897" t="s">
        <v>2016</v>
      </c>
      <c r="B1897" t="s">
        <v>263</v>
      </c>
      <c r="C1897" t="s">
        <v>41</v>
      </c>
      <c r="D1897" t="str">
        <f>HYPERLINK("http://service.sap.com/sap/support/notes/1809110","1809110")</f>
        <v>1809110</v>
      </c>
      <c r="E1897">
        <v>3</v>
      </c>
      <c r="F1897" t="s">
        <v>2212</v>
      </c>
    </row>
    <row r="1898" spans="1:6" x14ac:dyDescent="0.25">
      <c r="A1898" t="s">
        <v>2016</v>
      </c>
      <c r="B1898" t="s">
        <v>263</v>
      </c>
      <c r="C1898" t="s">
        <v>41</v>
      </c>
      <c r="D1898" t="str">
        <f>HYPERLINK("http://service.sap.com/sap/support/notes/1809648","1809648")</f>
        <v>1809648</v>
      </c>
      <c r="E1898">
        <v>1</v>
      </c>
      <c r="F1898" t="s">
        <v>2213</v>
      </c>
    </row>
    <row r="1899" spans="1:6" x14ac:dyDescent="0.25">
      <c r="A1899" t="s">
        <v>2016</v>
      </c>
      <c r="B1899" t="s">
        <v>263</v>
      </c>
      <c r="C1899" t="s">
        <v>41</v>
      </c>
      <c r="D1899" t="str">
        <f>HYPERLINK("http://service.sap.com/sap/support/notes/1809970","1809970")</f>
        <v>1809970</v>
      </c>
      <c r="E1899">
        <v>1</v>
      </c>
      <c r="F1899" t="s">
        <v>2214</v>
      </c>
    </row>
    <row r="1900" spans="1:6" x14ac:dyDescent="0.25">
      <c r="A1900" t="s">
        <v>2016</v>
      </c>
      <c r="B1900" t="s">
        <v>263</v>
      </c>
      <c r="C1900" t="s">
        <v>41</v>
      </c>
      <c r="D1900" t="str">
        <f>HYPERLINK("http://service.sap.com/sap/support/notes/1810342","1810342")</f>
        <v>1810342</v>
      </c>
      <c r="E1900">
        <v>5</v>
      </c>
      <c r="F1900" t="s">
        <v>2215</v>
      </c>
    </row>
    <row r="1901" spans="1:6" x14ac:dyDescent="0.25">
      <c r="A1901" t="s">
        <v>2016</v>
      </c>
      <c r="B1901" t="s">
        <v>263</v>
      </c>
      <c r="C1901" t="s">
        <v>41</v>
      </c>
      <c r="D1901" t="str">
        <f>HYPERLINK("http://service.sap.com/sap/support/notes/1810576","1810576")</f>
        <v>1810576</v>
      </c>
      <c r="E1901">
        <v>2</v>
      </c>
      <c r="F1901" t="s">
        <v>2216</v>
      </c>
    </row>
    <row r="1902" spans="1:6" x14ac:dyDescent="0.25">
      <c r="A1902" t="s">
        <v>2016</v>
      </c>
      <c r="B1902" t="s">
        <v>263</v>
      </c>
      <c r="C1902" t="s">
        <v>41</v>
      </c>
      <c r="D1902" t="str">
        <f>HYPERLINK("http://service.sap.com/sap/support/notes/1810599","1810599")</f>
        <v>1810599</v>
      </c>
      <c r="E1902">
        <v>3</v>
      </c>
      <c r="F1902" t="s">
        <v>2217</v>
      </c>
    </row>
    <row r="1903" spans="1:6" x14ac:dyDescent="0.25">
      <c r="A1903" t="s">
        <v>2016</v>
      </c>
      <c r="B1903" t="s">
        <v>263</v>
      </c>
      <c r="C1903" t="s">
        <v>41</v>
      </c>
      <c r="D1903" t="str">
        <f>HYPERLINK("http://service.sap.com/sap/support/notes/1811303","1811303")</f>
        <v>1811303</v>
      </c>
      <c r="E1903">
        <v>3</v>
      </c>
      <c r="F1903" t="s">
        <v>2218</v>
      </c>
    </row>
    <row r="1904" spans="1:6" x14ac:dyDescent="0.25">
      <c r="A1904" t="s">
        <v>2016</v>
      </c>
      <c r="B1904" t="s">
        <v>263</v>
      </c>
      <c r="C1904" t="s">
        <v>41</v>
      </c>
      <c r="D1904" t="str">
        <f>HYPERLINK("http://service.sap.com/sap/support/notes/1811312","1811312")</f>
        <v>1811312</v>
      </c>
      <c r="E1904">
        <v>4</v>
      </c>
      <c r="F1904" t="s">
        <v>2219</v>
      </c>
    </row>
    <row r="1905" spans="1:6" x14ac:dyDescent="0.25">
      <c r="A1905" t="s">
        <v>2016</v>
      </c>
      <c r="B1905" t="s">
        <v>263</v>
      </c>
      <c r="C1905" t="s">
        <v>41</v>
      </c>
      <c r="D1905" t="str">
        <f>HYPERLINK("http://service.sap.com/sap/support/notes/1811479","1811479")</f>
        <v>1811479</v>
      </c>
      <c r="E1905">
        <v>5</v>
      </c>
      <c r="F1905" t="s">
        <v>2220</v>
      </c>
    </row>
    <row r="1906" spans="1:6" x14ac:dyDescent="0.25">
      <c r="A1906" t="s">
        <v>2016</v>
      </c>
      <c r="B1906" t="s">
        <v>263</v>
      </c>
      <c r="C1906" t="s">
        <v>41</v>
      </c>
      <c r="D1906" t="str">
        <f>HYPERLINK("http://service.sap.com/sap/support/notes/1811524","1811524")</f>
        <v>1811524</v>
      </c>
      <c r="E1906">
        <v>1</v>
      </c>
      <c r="F1906" t="s">
        <v>2221</v>
      </c>
    </row>
    <row r="1907" spans="1:6" x14ac:dyDescent="0.25">
      <c r="A1907" t="s">
        <v>2016</v>
      </c>
      <c r="B1907" t="s">
        <v>263</v>
      </c>
      <c r="C1907" t="s">
        <v>41</v>
      </c>
      <c r="D1907" t="str">
        <f>HYPERLINK("http://service.sap.com/sap/support/notes/1811704","1811704")</f>
        <v>1811704</v>
      </c>
      <c r="E1907">
        <v>3</v>
      </c>
      <c r="F1907" t="s">
        <v>2222</v>
      </c>
    </row>
    <row r="1908" spans="1:6" x14ac:dyDescent="0.25">
      <c r="A1908" t="s">
        <v>2016</v>
      </c>
      <c r="B1908" t="s">
        <v>263</v>
      </c>
      <c r="C1908" t="s">
        <v>41</v>
      </c>
      <c r="D1908" t="str">
        <f>HYPERLINK("http://service.sap.com/sap/support/notes/1811794","1811794")</f>
        <v>1811794</v>
      </c>
      <c r="E1908">
        <v>1</v>
      </c>
      <c r="F1908" t="s">
        <v>2223</v>
      </c>
    </row>
    <row r="1909" spans="1:6" x14ac:dyDescent="0.25">
      <c r="A1909" t="s">
        <v>2016</v>
      </c>
      <c r="B1909" t="s">
        <v>263</v>
      </c>
      <c r="C1909" t="s">
        <v>41</v>
      </c>
      <c r="D1909" t="str">
        <f>HYPERLINK("http://service.sap.com/sap/support/notes/1811891","1811891")</f>
        <v>1811891</v>
      </c>
      <c r="E1909">
        <v>2</v>
      </c>
      <c r="F1909" t="s">
        <v>2224</v>
      </c>
    </row>
    <row r="1910" spans="1:6" x14ac:dyDescent="0.25">
      <c r="A1910" t="s">
        <v>2016</v>
      </c>
      <c r="B1910" t="s">
        <v>263</v>
      </c>
      <c r="C1910" t="s">
        <v>41</v>
      </c>
      <c r="D1910" t="str">
        <f>HYPERLINK("http://service.sap.com/sap/support/notes/1811939","1811939")</f>
        <v>1811939</v>
      </c>
      <c r="E1910">
        <v>2</v>
      </c>
      <c r="F1910" t="s">
        <v>2225</v>
      </c>
    </row>
    <row r="1911" spans="1:6" x14ac:dyDescent="0.25">
      <c r="A1911" t="s">
        <v>2016</v>
      </c>
      <c r="B1911" t="s">
        <v>263</v>
      </c>
      <c r="C1911" t="s">
        <v>41</v>
      </c>
      <c r="D1911" t="str">
        <f>HYPERLINK("http://service.sap.com/sap/support/notes/1812088","1812088")</f>
        <v>1812088</v>
      </c>
      <c r="E1911">
        <v>2</v>
      </c>
      <c r="F1911" t="s">
        <v>2226</v>
      </c>
    </row>
    <row r="1912" spans="1:6" x14ac:dyDescent="0.25">
      <c r="A1912" t="s">
        <v>2016</v>
      </c>
      <c r="B1912" t="s">
        <v>263</v>
      </c>
      <c r="C1912" t="s">
        <v>41</v>
      </c>
      <c r="D1912" t="str">
        <f>HYPERLINK("http://service.sap.com/sap/support/notes/1812258","1812258")</f>
        <v>1812258</v>
      </c>
      <c r="E1912">
        <v>3</v>
      </c>
      <c r="F1912" t="s">
        <v>2227</v>
      </c>
    </row>
    <row r="1913" spans="1:6" x14ac:dyDescent="0.25">
      <c r="A1913" t="s">
        <v>2016</v>
      </c>
      <c r="B1913" t="s">
        <v>263</v>
      </c>
      <c r="C1913" t="s">
        <v>41</v>
      </c>
      <c r="D1913" t="str">
        <f>HYPERLINK("http://service.sap.com/sap/support/notes/1812635","1812635")</f>
        <v>1812635</v>
      </c>
      <c r="E1913">
        <v>1</v>
      </c>
      <c r="F1913" t="s">
        <v>2228</v>
      </c>
    </row>
    <row r="1914" spans="1:6" x14ac:dyDescent="0.25">
      <c r="A1914" t="s">
        <v>2016</v>
      </c>
      <c r="B1914" t="s">
        <v>263</v>
      </c>
      <c r="C1914" t="s">
        <v>41</v>
      </c>
      <c r="D1914" t="str">
        <f>HYPERLINK("http://service.sap.com/sap/support/notes/1812905","1812905")</f>
        <v>1812905</v>
      </c>
      <c r="E1914">
        <v>5</v>
      </c>
      <c r="F1914" t="s">
        <v>2229</v>
      </c>
    </row>
    <row r="1915" spans="1:6" x14ac:dyDescent="0.25">
      <c r="A1915" t="s">
        <v>2016</v>
      </c>
      <c r="B1915" t="s">
        <v>263</v>
      </c>
      <c r="C1915" t="s">
        <v>41</v>
      </c>
      <c r="D1915" t="str">
        <f>HYPERLINK("http://service.sap.com/sap/support/notes/1813525","1813525")</f>
        <v>1813525</v>
      </c>
      <c r="E1915">
        <v>1</v>
      </c>
      <c r="F1915" t="s">
        <v>2230</v>
      </c>
    </row>
    <row r="1916" spans="1:6" x14ac:dyDescent="0.25">
      <c r="A1916" t="s">
        <v>2016</v>
      </c>
      <c r="B1916" t="s">
        <v>263</v>
      </c>
      <c r="C1916" t="s">
        <v>41</v>
      </c>
      <c r="D1916" t="str">
        <f>HYPERLINK("http://service.sap.com/sap/support/notes/1814053","1814053")</f>
        <v>1814053</v>
      </c>
      <c r="E1916">
        <v>3</v>
      </c>
      <c r="F1916" t="s">
        <v>2231</v>
      </c>
    </row>
    <row r="1917" spans="1:6" x14ac:dyDescent="0.25">
      <c r="A1917" t="s">
        <v>2016</v>
      </c>
      <c r="B1917" t="s">
        <v>263</v>
      </c>
      <c r="C1917" t="s">
        <v>41</v>
      </c>
      <c r="D1917" t="str">
        <f>HYPERLINK("http://service.sap.com/sap/support/notes/1814161","1814161")</f>
        <v>1814161</v>
      </c>
      <c r="E1917">
        <v>1</v>
      </c>
      <c r="F1917" t="s">
        <v>2232</v>
      </c>
    </row>
    <row r="1918" spans="1:6" x14ac:dyDescent="0.25">
      <c r="A1918" t="s">
        <v>2016</v>
      </c>
      <c r="B1918" t="s">
        <v>704</v>
      </c>
      <c r="C1918" t="s">
        <v>128</v>
      </c>
      <c r="D1918" t="str">
        <f>HYPERLINK("http://service.sap.com/sap/support/notes/1787425","1787425")</f>
        <v>1787425</v>
      </c>
      <c r="E1918">
        <v>3</v>
      </c>
      <c r="F1918" t="s">
        <v>2233</v>
      </c>
    </row>
    <row r="1919" spans="1:6" x14ac:dyDescent="0.25">
      <c r="A1919" t="s">
        <v>2016</v>
      </c>
      <c r="B1919" t="s">
        <v>704</v>
      </c>
      <c r="C1919" t="s">
        <v>128</v>
      </c>
      <c r="D1919" t="str">
        <f>HYPERLINK("http://service.sap.com/sap/support/notes/1792819","1792819")</f>
        <v>1792819</v>
      </c>
      <c r="E1919">
        <v>2</v>
      </c>
      <c r="F1919" t="s">
        <v>2234</v>
      </c>
    </row>
    <row r="1920" spans="1:6" x14ac:dyDescent="0.25">
      <c r="A1920" t="s">
        <v>2016</v>
      </c>
      <c r="B1920" t="s">
        <v>286</v>
      </c>
      <c r="C1920" t="s">
        <v>287</v>
      </c>
      <c r="D1920" t="str">
        <f>HYPERLINK("http://service.sap.com/sap/support/notes/1774958","1774958")</f>
        <v>1774958</v>
      </c>
      <c r="E1920">
        <v>3</v>
      </c>
      <c r="F1920" t="s">
        <v>2235</v>
      </c>
    </row>
    <row r="1921" spans="1:6" x14ac:dyDescent="0.25">
      <c r="A1921" t="s">
        <v>2016</v>
      </c>
      <c r="B1921" t="s">
        <v>286</v>
      </c>
      <c r="C1921" t="s">
        <v>287</v>
      </c>
      <c r="D1921" t="str">
        <f>HYPERLINK("http://service.sap.com/sap/support/notes/1803316","1803316")</f>
        <v>1803316</v>
      </c>
      <c r="E1921">
        <v>2</v>
      </c>
      <c r="F1921" t="s">
        <v>2236</v>
      </c>
    </row>
    <row r="1922" spans="1:6" x14ac:dyDescent="0.25">
      <c r="A1922" t="s">
        <v>2016</v>
      </c>
      <c r="B1922" t="s">
        <v>286</v>
      </c>
      <c r="C1922" t="s">
        <v>287</v>
      </c>
      <c r="D1922" t="str">
        <f>HYPERLINK("http://service.sap.com/sap/support/notes/1807340","1807340")</f>
        <v>1807340</v>
      </c>
      <c r="E1922">
        <v>5</v>
      </c>
      <c r="F1922" t="s">
        <v>2237</v>
      </c>
    </row>
    <row r="1923" spans="1:6" x14ac:dyDescent="0.25">
      <c r="A1923" t="s">
        <v>2016</v>
      </c>
      <c r="B1923" t="s">
        <v>286</v>
      </c>
      <c r="C1923" t="s">
        <v>287</v>
      </c>
      <c r="D1923" t="str">
        <f>HYPERLINK("http://service.sap.com/sap/support/notes/1808892","1808892")</f>
        <v>1808892</v>
      </c>
      <c r="E1923">
        <v>2</v>
      </c>
      <c r="F1923" t="s">
        <v>2238</v>
      </c>
    </row>
    <row r="1924" spans="1:6" x14ac:dyDescent="0.25">
      <c r="A1924" t="s">
        <v>2016</v>
      </c>
      <c r="B1924" t="s">
        <v>286</v>
      </c>
      <c r="C1924" t="s">
        <v>287</v>
      </c>
      <c r="D1924" t="str">
        <f>HYPERLINK("http://service.sap.com/sap/support/notes/1810135","1810135")</f>
        <v>1810135</v>
      </c>
      <c r="E1924">
        <v>5</v>
      </c>
      <c r="F1924" t="s">
        <v>2239</v>
      </c>
    </row>
    <row r="1925" spans="1:6" x14ac:dyDescent="0.25">
      <c r="A1925" t="s">
        <v>2016</v>
      </c>
      <c r="B1925" t="s">
        <v>286</v>
      </c>
      <c r="C1925" t="s">
        <v>287</v>
      </c>
      <c r="D1925" t="str">
        <f>HYPERLINK("http://service.sap.com/sap/support/notes/1810468","1810468")</f>
        <v>1810468</v>
      </c>
      <c r="E1925">
        <v>1</v>
      </c>
      <c r="F1925" t="s">
        <v>2240</v>
      </c>
    </row>
    <row r="1926" spans="1:6" x14ac:dyDescent="0.25">
      <c r="A1926" t="s">
        <v>2016</v>
      </c>
      <c r="B1926" t="s">
        <v>286</v>
      </c>
      <c r="C1926" t="s">
        <v>287</v>
      </c>
      <c r="D1926" t="str">
        <f>HYPERLINK("http://service.sap.com/sap/support/notes/1810949","1810949")</f>
        <v>1810949</v>
      </c>
      <c r="E1926">
        <v>2</v>
      </c>
      <c r="F1926" t="s">
        <v>2241</v>
      </c>
    </row>
    <row r="1927" spans="1:6" x14ac:dyDescent="0.25">
      <c r="A1927" t="s">
        <v>2016</v>
      </c>
      <c r="B1927" t="s">
        <v>286</v>
      </c>
      <c r="C1927" t="s">
        <v>287</v>
      </c>
      <c r="D1927" t="str">
        <f>HYPERLINK("http://service.sap.com/sap/support/notes/1813553","1813553")</f>
        <v>1813553</v>
      </c>
      <c r="E1927">
        <v>3</v>
      </c>
      <c r="F1927" t="s">
        <v>2242</v>
      </c>
    </row>
    <row r="1928" spans="1:6" x14ac:dyDescent="0.25">
      <c r="A1928" t="s">
        <v>2016</v>
      </c>
      <c r="B1928" t="s">
        <v>292</v>
      </c>
      <c r="C1928" t="s">
        <v>196</v>
      </c>
    </row>
    <row r="1929" spans="1:6" x14ac:dyDescent="0.25">
      <c r="A1929" t="s">
        <v>2016</v>
      </c>
      <c r="B1929" t="s">
        <v>293</v>
      </c>
      <c r="C1929" t="s">
        <v>294</v>
      </c>
      <c r="D1929" t="str">
        <f>HYPERLINK("http://service.sap.com/sap/support/notes/1805910","1805910")</f>
        <v>1805910</v>
      </c>
      <c r="E1929">
        <v>1</v>
      </c>
      <c r="F1929" t="s">
        <v>2243</v>
      </c>
    </row>
    <row r="1930" spans="1:6" x14ac:dyDescent="0.25">
      <c r="A1930" t="s">
        <v>2016</v>
      </c>
      <c r="B1930" t="s">
        <v>293</v>
      </c>
      <c r="C1930" t="s">
        <v>294</v>
      </c>
      <c r="D1930" t="str">
        <f>HYPERLINK("http://service.sap.com/sap/support/notes/1808994","1808994")</f>
        <v>1808994</v>
      </c>
      <c r="E1930">
        <v>1</v>
      </c>
      <c r="F1930" t="s">
        <v>2244</v>
      </c>
    </row>
    <row r="1931" spans="1:6" x14ac:dyDescent="0.25">
      <c r="A1931" t="s">
        <v>2016</v>
      </c>
      <c r="B1931" t="s">
        <v>296</v>
      </c>
      <c r="C1931" t="s">
        <v>297</v>
      </c>
      <c r="D1931" t="str">
        <f>HYPERLINK("http://service.sap.com/sap/support/notes/1797335","1797335")</f>
        <v>1797335</v>
      </c>
      <c r="E1931">
        <v>2</v>
      </c>
      <c r="F1931" t="s">
        <v>2245</v>
      </c>
    </row>
    <row r="1932" spans="1:6" x14ac:dyDescent="0.25">
      <c r="A1932" t="s">
        <v>2016</v>
      </c>
      <c r="B1932" t="s">
        <v>301</v>
      </c>
      <c r="C1932" t="s">
        <v>156</v>
      </c>
    </row>
    <row r="1933" spans="1:6" x14ac:dyDescent="0.25">
      <c r="A1933" t="s">
        <v>2016</v>
      </c>
      <c r="B1933" t="s">
        <v>302</v>
      </c>
      <c r="C1933" t="s">
        <v>303</v>
      </c>
      <c r="D1933" t="str">
        <f>HYPERLINK("http://service.sap.com/sap/support/notes/1796347","1796347")</f>
        <v>1796347</v>
      </c>
      <c r="E1933">
        <v>1</v>
      </c>
      <c r="F1933" t="s">
        <v>2246</v>
      </c>
    </row>
    <row r="1934" spans="1:6" x14ac:dyDescent="0.25">
      <c r="A1934" t="s">
        <v>2016</v>
      </c>
      <c r="B1934" t="s">
        <v>302</v>
      </c>
      <c r="C1934" t="s">
        <v>303</v>
      </c>
      <c r="D1934" t="str">
        <f>HYPERLINK("http://service.sap.com/sap/support/notes/1807828","1807828")</f>
        <v>1807828</v>
      </c>
      <c r="E1934">
        <v>1</v>
      </c>
      <c r="F1934" t="s">
        <v>2247</v>
      </c>
    </row>
    <row r="1935" spans="1:6" x14ac:dyDescent="0.25">
      <c r="A1935" t="s">
        <v>2016</v>
      </c>
      <c r="B1935" t="s">
        <v>302</v>
      </c>
      <c r="C1935" t="s">
        <v>303</v>
      </c>
      <c r="D1935" t="str">
        <f>HYPERLINK("http://service.sap.com/sap/support/notes/1809959","1809959")</f>
        <v>1809959</v>
      </c>
      <c r="E1935">
        <v>1</v>
      </c>
      <c r="F1935" t="s">
        <v>2248</v>
      </c>
    </row>
    <row r="1936" spans="1:6" x14ac:dyDescent="0.25">
      <c r="A1936" t="s">
        <v>2016</v>
      </c>
      <c r="B1936" t="s">
        <v>306</v>
      </c>
      <c r="C1936" t="s">
        <v>307</v>
      </c>
      <c r="D1936" t="str">
        <f>HYPERLINK("http://service.sap.com/sap/support/notes/1810333","1810333")</f>
        <v>1810333</v>
      </c>
      <c r="E1936">
        <v>2</v>
      </c>
      <c r="F1936" t="s">
        <v>2249</v>
      </c>
    </row>
    <row r="1937" spans="1:6" x14ac:dyDescent="0.25">
      <c r="A1937" t="s">
        <v>2016</v>
      </c>
      <c r="B1937" t="s">
        <v>313</v>
      </c>
      <c r="C1937" t="s">
        <v>314</v>
      </c>
      <c r="D1937" t="str">
        <f>HYPERLINK("http://service.sap.com/sap/support/notes/1791908","1791908")</f>
        <v>1791908</v>
      </c>
      <c r="E1937">
        <v>2</v>
      </c>
      <c r="F1937" t="s">
        <v>2250</v>
      </c>
    </row>
    <row r="1938" spans="1:6" x14ac:dyDescent="0.25">
      <c r="A1938" t="s">
        <v>2016</v>
      </c>
      <c r="B1938" t="s">
        <v>313</v>
      </c>
      <c r="C1938" t="s">
        <v>314</v>
      </c>
      <c r="D1938" t="str">
        <f>HYPERLINK("http://service.sap.com/sap/support/notes/1806609","1806609")</f>
        <v>1806609</v>
      </c>
      <c r="E1938">
        <v>1</v>
      </c>
      <c r="F1938" t="s">
        <v>2251</v>
      </c>
    </row>
    <row r="1939" spans="1:6" x14ac:dyDescent="0.25">
      <c r="A1939" t="s">
        <v>2016</v>
      </c>
      <c r="B1939" t="s">
        <v>313</v>
      </c>
      <c r="C1939" t="s">
        <v>314</v>
      </c>
      <c r="D1939" t="str">
        <f>HYPERLINK("http://service.sap.com/sap/support/notes/1809843","1809843")</f>
        <v>1809843</v>
      </c>
      <c r="E1939">
        <v>1</v>
      </c>
      <c r="F1939" t="s">
        <v>2252</v>
      </c>
    </row>
    <row r="1940" spans="1:6" x14ac:dyDescent="0.25">
      <c r="A1940" t="s">
        <v>2016</v>
      </c>
      <c r="B1940" t="s">
        <v>668</v>
      </c>
      <c r="C1940" t="s">
        <v>156</v>
      </c>
      <c r="D1940" t="str">
        <f>HYPERLINK("http://service.sap.com/sap/support/notes/1808061","1808061")</f>
        <v>1808061</v>
      </c>
      <c r="E1940">
        <v>1</v>
      </c>
      <c r="F1940" t="s">
        <v>2253</v>
      </c>
    </row>
    <row r="1941" spans="1:6" x14ac:dyDescent="0.25">
      <c r="A1941" t="s">
        <v>2016</v>
      </c>
      <c r="B1941" t="s">
        <v>669</v>
      </c>
      <c r="C1941" t="s">
        <v>303</v>
      </c>
      <c r="D1941" t="str">
        <f>HYPERLINK("http://service.sap.com/sap/support/notes/1807286","1807286")</f>
        <v>1807286</v>
      </c>
      <c r="E1941">
        <v>1</v>
      </c>
      <c r="F1941" t="s">
        <v>2254</v>
      </c>
    </row>
    <row r="1942" spans="1:6" x14ac:dyDescent="0.25">
      <c r="A1942" t="s">
        <v>2016</v>
      </c>
      <c r="B1942" t="s">
        <v>669</v>
      </c>
      <c r="C1942" t="s">
        <v>303</v>
      </c>
      <c r="D1942" t="str">
        <f>HYPERLINK("http://service.sap.com/sap/support/notes/1811868","1811868")</f>
        <v>1811868</v>
      </c>
      <c r="E1942">
        <v>1</v>
      </c>
      <c r="F1942" t="s">
        <v>2255</v>
      </c>
    </row>
    <row r="1943" spans="1:6" x14ac:dyDescent="0.25">
      <c r="A1943" t="s">
        <v>2016</v>
      </c>
      <c r="B1943" t="s">
        <v>319</v>
      </c>
      <c r="C1943" t="s">
        <v>320</v>
      </c>
      <c r="D1943" t="str">
        <f>HYPERLINK("http://service.sap.com/sap/support/notes/1784876","1784876")</f>
        <v>1784876</v>
      </c>
      <c r="E1943">
        <v>2</v>
      </c>
      <c r="F1943" t="s">
        <v>2256</v>
      </c>
    </row>
    <row r="1944" spans="1:6" x14ac:dyDescent="0.25">
      <c r="A1944" t="s">
        <v>2016</v>
      </c>
      <c r="B1944" t="s">
        <v>319</v>
      </c>
      <c r="C1944" t="s">
        <v>320</v>
      </c>
      <c r="D1944" t="str">
        <f>HYPERLINK("http://service.sap.com/sap/support/notes/1796265","1796265")</f>
        <v>1796265</v>
      </c>
      <c r="E1944">
        <v>1</v>
      </c>
      <c r="F1944" t="s">
        <v>2257</v>
      </c>
    </row>
    <row r="1945" spans="1:6" x14ac:dyDescent="0.25">
      <c r="A1945" t="s">
        <v>2016</v>
      </c>
      <c r="B1945" t="s">
        <v>319</v>
      </c>
      <c r="C1945" t="s">
        <v>320</v>
      </c>
      <c r="D1945" t="str">
        <f>HYPERLINK("http://service.sap.com/sap/support/notes/1796692","1796692")</f>
        <v>1796692</v>
      </c>
      <c r="E1945">
        <v>1</v>
      </c>
      <c r="F1945" t="s">
        <v>2258</v>
      </c>
    </row>
    <row r="1946" spans="1:6" x14ac:dyDescent="0.25">
      <c r="A1946" t="s">
        <v>2016</v>
      </c>
      <c r="B1946" t="s">
        <v>319</v>
      </c>
      <c r="C1946" t="s">
        <v>320</v>
      </c>
      <c r="D1946" t="str">
        <f>HYPERLINK("http://service.sap.com/sap/support/notes/1797914","1797914")</f>
        <v>1797914</v>
      </c>
      <c r="E1946">
        <v>2</v>
      </c>
      <c r="F1946" t="s">
        <v>2259</v>
      </c>
    </row>
    <row r="1947" spans="1:6" x14ac:dyDescent="0.25">
      <c r="A1947" t="s">
        <v>2016</v>
      </c>
      <c r="B1947" t="s">
        <v>319</v>
      </c>
      <c r="C1947" t="s">
        <v>320</v>
      </c>
      <c r="D1947" t="str">
        <f>HYPERLINK("http://service.sap.com/sap/support/notes/1797915","1797915")</f>
        <v>1797915</v>
      </c>
      <c r="E1947">
        <v>1</v>
      </c>
      <c r="F1947" t="s">
        <v>2260</v>
      </c>
    </row>
    <row r="1948" spans="1:6" x14ac:dyDescent="0.25">
      <c r="A1948" t="s">
        <v>2016</v>
      </c>
      <c r="B1948" t="s">
        <v>319</v>
      </c>
      <c r="C1948" t="s">
        <v>320</v>
      </c>
      <c r="D1948" t="str">
        <f>HYPERLINK("http://service.sap.com/sap/support/notes/1798064","1798064")</f>
        <v>1798064</v>
      </c>
      <c r="E1948">
        <v>1</v>
      </c>
      <c r="F1948" t="s">
        <v>2261</v>
      </c>
    </row>
    <row r="1949" spans="1:6" x14ac:dyDescent="0.25">
      <c r="A1949" t="s">
        <v>2016</v>
      </c>
      <c r="B1949" t="s">
        <v>319</v>
      </c>
      <c r="C1949" t="s">
        <v>320</v>
      </c>
      <c r="D1949" t="str">
        <f>HYPERLINK("http://service.sap.com/sap/support/notes/1807022","1807022")</f>
        <v>1807022</v>
      </c>
      <c r="E1949">
        <v>4</v>
      </c>
      <c r="F1949" t="s">
        <v>2262</v>
      </c>
    </row>
    <row r="1950" spans="1:6" x14ac:dyDescent="0.25">
      <c r="A1950" t="s">
        <v>2016</v>
      </c>
      <c r="B1950" t="s">
        <v>2263</v>
      </c>
      <c r="C1950" t="s">
        <v>2264</v>
      </c>
      <c r="D1950" t="str">
        <f>HYPERLINK("http://service.sap.com/sap/support/notes/1812201","1812201")</f>
        <v>1812201</v>
      </c>
      <c r="E1950">
        <v>3</v>
      </c>
      <c r="F1950" t="s">
        <v>2265</v>
      </c>
    </row>
    <row r="1951" spans="1:6" x14ac:dyDescent="0.25">
      <c r="A1951" t="s">
        <v>2016</v>
      </c>
      <c r="B1951" t="s">
        <v>327</v>
      </c>
      <c r="C1951" t="s">
        <v>328</v>
      </c>
      <c r="D1951" t="str">
        <f>HYPERLINK("http://service.sap.com/sap/support/notes/1798940","1798940")</f>
        <v>1798940</v>
      </c>
      <c r="E1951">
        <v>1</v>
      </c>
      <c r="F1951" t="s">
        <v>2266</v>
      </c>
    </row>
    <row r="1952" spans="1:6" x14ac:dyDescent="0.25">
      <c r="A1952" t="s">
        <v>2016</v>
      </c>
      <c r="B1952" t="s">
        <v>327</v>
      </c>
      <c r="C1952" t="s">
        <v>328</v>
      </c>
      <c r="D1952" t="str">
        <f>HYPERLINK("http://service.sap.com/sap/support/notes/1806122","1806122")</f>
        <v>1806122</v>
      </c>
      <c r="E1952">
        <v>1</v>
      </c>
      <c r="F1952" t="s">
        <v>2267</v>
      </c>
    </row>
    <row r="1953" spans="1:6" x14ac:dyDescent="0.25">
      <c r="A1953" t="s">
        <v>2016</v>
      </c>
      <c r="B1953" t="s">
        <v>327</v>
      </c>
      <c r="C1953" t="s">
        <v>328</v>
      </c>
      <c r="D1953" t="str">
        <f>HYPERLINK("http://service.sap.com/sap/support/notes/1806804","1806804")</f>
        <v>1806804</v>
      </c>
      <c r="E1953">
        <v>3</v>
      </c>
      <c r="F1953" t="s">
        <v>2268</v>
      </c>
    </row>
    <row r="1954" spans="1:6" x14ac:dyDescent="0.25">
      <c r="A1954" t="s">
        <v>2016</v>
      </c>
      <c r="B1954" t="s">
        <v>327</v>
      </c>
      <c r="C1954" t="s">
        <v>328</v>
      </c>
      <c r="D1954" t="str">
        <f>HYPERLINK("http://service.sap.com/sap/support/notes/1812298","1812298")</f>
        <v>1812298</v>
      </c>
      <c r="E1954">
        <v>1</v>
      </c>
      <c r="F1954" t="s">
        <v>2269</v>
      </c>
    </row>
    <row r="1955" spans="1:6" x14ac:dyDescent="0.25">
      <c r="A1955" t="s">
        <v>2016</v>
      </c>
      <c r="B1955" t="s">
        <v>337</v>
      </c>
      <c r="C1955" t="s">
        <v>48</v>
      </c>
      <c r="D1955" t="str">
        <f>HYPERLINK("http://service.sap.com/sap/support/notes/1786491","1786491")</f>
        <v>1786491</v>
      </c>
      <c r="E1955">
        <v>1</v>
      </c>
      <c r="F1955" t="s">
        <v>2270</v>
      </c>
    </row>
    <row r="1956" spans="1:6" x14ac:dyDescent="0.25">
      <c r="A1956" t="s">
        <v>2016</v>
      </c>
      <c r="B1956" t="s">
        <v>337</v>
      </c>
      <c r="C1956" t="s">
        <v>48</v>
      </c>
      <c r="D1956" t="str">
        <f>HYPERLINK("http://service.sap.com/sap/support/notes/1808667","1808667")</f>
        <v>1808667</v>
      </c>
      <c r="E1956">
        <v>2</v>
      </c>
      <c r="F1956" t="s">
        <v>2271</v>
      </c>
    </row>
    <row r="1957" spans="1:6" x14ac:dyDescent="0.25">
      <c r="A1957" t="s">
        <v>2016</v>
      </c>
      <c r="B1957" t="s">
        <v>337</v>
      </c>
      <c r="C1957" t="s">
        <v>48</v>
      </c>
      <c r="D1957" t="str">
        <f>HYPERLINK("http://service.sap.com/sap/support/notes/1808732","1808732")</f>
        <v>1808732</v>
      </c>
      <c r="E1957">
        <v>2</v>
      </c>
      <c r="F1957" t="s">
        <v>2272</v>
      </c>
    </row>
    <row r="1958" spans="1:6" x14ac:dyDescent="0.25">
      <c r="A1958" t="s">
        <v>2016</v>
      </c>
      <c r="B1958" t="s">
        <v>1885</v>
      </c>
      <c r="C1958" t="s">
        <v>196</v>
      </c>
    </row>
    <row r="1959" spans="1:6" x14ac:dyDescent="0.25">
      <c r="A1959" t="s">
        <v>2016</v>
      </c>
      <c r="B1959" t="s">
        <v>1890</v>
      </c>
      <c r="C1959" t="s">
        <v>1891</v>
      </c>
      <c r="D1959" t="str">
        <f>HYPERLINK("http://service.sap.com/sap/support/notes/1807565","1807565")</f>
        <v>1807565</v>
      </c>
      <c r="E1959">
        <v>2</v>
      </c>
      <c r="F1959" t="s">
        <v>2273</v>
      </c>
    </row>
    <row r="1960" spans="1:6" x14ac:dyDescent="0.25">
      <c r="A1960" t="s">
        <v>2016</v>
      </c>
      <c r="B1960" t="s">
        <v>1890</v>
      </c>
      <c r="C1960" t="s">
        <v>1891</v>
      </c>
      <c r="D1960" t="str">
        <f>HYPERLINK("http://service.sap.com/sap/support/notes/1810048","1810048")</f>
        <v>1810048</v>
      </c>
      <c r="E1960">
        <v>2</v>
      </c>
      <c r="F1960" t="s">
        <v>2274</v>
      </c>
    </row>
    <row r="1961" spans="1:6" x14ac:dyDescent="0.25">
      <c r="A1961" t="s">
        <v>2016</v>
      </c>
      <c r="B1961" t="s">
        <v>340</v>
      </c>
      <c r="C1961" t="s">
        <v>52</v>
      </c>
      <c r="D1961" t="str">
        <f>HYPERLINK("http://service.sap.com/sap/support/notes/1806566","1806566")</f>
        <v>1806566</v>
      </c>
      <c r="E1961">
        <v>3</v>
      </c>
      <c r="F1961" t="s">
        <v>2275</v>
      </c>
    </row>
    <row r="1962" spans="1:6" x14ac:dyDescent="0.25">
      <c r="A1962" t="s">
        <v>2016</v>
      </c>
      <c r="B1962" t="s">
        <v>340</v>
      </c>
      <c r="C1962" t="s">
        <v>52</v>
      </c>
      <c r="D1962" t="str">
        <f>HYPERLINK("http://service.sap.com/sap/support/notes/1808136","1808136")</f>
        <v>1808136</v>
      </c>
      <c r="E1962">
        <v>1</v>
      </c>
      <c r="F1962" t="s">
        <v>2276</v>
      </c>
    </row>
    <row r="1963" spans="1:6" x14ac:dyDescent="0.25">
      <c r="A1963" t="s">
        <v>2016</v>
      </c>
      <c r="B1963" t="s">
        <v>340</v>
      </c>
      <c r="C1963" t="s">
        <v>52</v>
      </c>
      <c r="D1963" t="str">
        <f>HYPERLINK("http://service.sap.com/sap/support/notes/1808708","1808708")</f>
        <v>1808708</v>
      </c>
      <c r="E1963">
        <v>12</v>
      </c>
      <c r="F1963" t="s">
        <v>2277</v>
      </c>
    </row>
    <row r="1964" spans="1:6" x14ac:dyDescent="0.25">
      <c r="A1964" t="s">
        <v>2016</v>
      </c>
      <c r="B1964" t="s">
        <v>340</v>
      </c>
      <c r="C1964" t="s">
        <v>52</v>
      </c>
      <c r="D1964" t="str">
        <f>HYPERLINK("http://service.sap.com/sap/support/notes/1809341","1809341")</f>
        <v>1809341</v>
      </c>
      <c r="E1964">
        <v>3</v>
      </c>
      <c r="F1964" t="s">
        <v>2278</v>
      </c>
    </row>
    <row r="1965" spans="1:6" x14ac:dyDescent="0.25">
      <c r="A1965" t="s">
        <v>2016</v>
      </c>
      <c r="B1965" t="s">
        <v>340</v>
      </c>
      <c r="C1965" t="s">
        <v>52</v>
      </c>
      <c r="D1965" t="str">
        <f>HYPERLINK("http://service.sap.com/sap/support/notes/1811402","1811402")</f>
        <v>1811402</v>
      </c>
      <c r="E1965">
        <v>2</v>
      </c>
      <c r="F1965" t="s">
        <v>2279</v>
      </c>
    </row>
    <row r="1966" spans="1:6" x14ac:dyDescent="0.25">
      <c r="A1966" t="s">
        <v>2016</v>
      </c>
      <c r="B1966" t="s">
        <v>340</v>
      </c>
      <c r="C1966" t="s">
        <v>52</v>
      </c>
      <c r="D1966" t="str">
        <f>HYPERLINK("http://service.sap.com/sap/support/notes/1812402","1812402")</f>
        <v>1812402</v>
      </c>
      <c r="E1966">
        <v>1</v>
      </c>
      <c r="F1966" t="s">
        <v>2280</v>
      </c>
    </row>
    <row r="1967" spans="1:6" x14ac:dyDescent="0.25">
      <c r="A1967" t="s">
        <v>2016</v>
      </c>
      <c r="B1967" t="s">
        <v>344</v>
      </c>
      <c r="C1967" t="s">
        <v>345</v>
      </c>
      <c r="D1967" t="str">
        <f>HYPERLINK("http://service.sap.com/sap/support/notes/1805640","1805640")</f>
        <v>1805640</v>
      </c>
      <c r="E1967">
        <v>3</v>
      </c>
      <c r="F1967" t="s">
        <v>2281</v>
      </c>
    </row>
    <row r="1968" spans="1:6" x14ac:dyDescent="0.25">
      <c r="A1968" t="s">
        <v>2016</v>
      </c>
      <c r="B1968" t="s">
        <v>344</v>
      </c>
      <c r="C1968" t="s">
        <v>345</v>
      </c>
      <c r="D1968" t="str">
        <f>HYPERLINK("http://service.sap.com/sap/support/notes/1807316","1807316")</f>
        <v>1807316</v>
      </c>
      <c r="E1968">
        <v>1</v>
      </c>
      <c r="F1968" t="s">
        <v>2282</v>
      </c>
    </row>
    <row r="1969" spans="1:6" x14ac:dyDescent="0.25">
      <c r="A1969" t="s">
        <v>2016</v>
      </c>
      <c r="B1969" t="s">
        <v>350</v>
      </c>
      <c r="C1969" t="s">
        <v>351</v>
      </c>
      <c r="D1969" t="str">
        <f>HYPERLINK("http://service.sap.com/sap/support/notes/1807278","1807278")</f>
        <v>1807278</v>
      </c>
      <c r="E1969">
        <v>1</v>
      </c>
      <c r="F1969" t="s">
        <v>2283</v>
      </c>
    </row>
    <row r="1970" spans="1:6" x14ac:dyDescent="0.25">
      <c r="A1970" t="s">
        <v>2016</v>
      </c>
      <c r="B1970" t="s">
        <v>350</v>
      </c>
      <c r="C1970" t="s">
        <v>351</v>
      </c>
      <c r="D1970" t="str">
        <f>HYPERLINK("http://service.sap.com/sap/support/notes/1812053","1812053")</f>
        <v>1812053</v>
      </c>
      <c r="E1970">
        <v>3</v>
      </c>
      <c r="F1970" t="s">
        <v>2284</v>
      </c>
    </row>
    <row r="1971" spans="1:6" x14ac:dyDescent="0.25">
      <c r="A1971" t="s">
        <v>2016</v>
      </c>
      <c r="B1971" t="s">
        <v>350</v>
      </c>
      <c r="C1971" t="s">
        <v>351</v>
      </c>
      <c r="D1971" t="str">
        <f>HYPERLINK("http://service.sap.com/sap/support/notes/1812161","1812161")</f>
        <v>1812161</v>
      </c>
      <c r="E1971">
        <v>1</v>
      </c>
      <c r="F1971" t="s">
        <v>2285</v>
      </c>
    </row>
    <row r="1972" spans="1:6" x14ac:dyDescent="0.25">
      <c r="A1972" t="s">
        <v>2016</v>
      </c>
      <c r="B1972" t="s">
        <v>356</v>
      </c>
      <c r="C1972" t="s">
        <v>55</v>
      </c>
      <c r="D1972" t="str">
        <f>HYPERLINK("http://service.sap.com/sap/support/notes/1805872","1805872")</f>
        <v>1805872</v>
      </c>
      <c r="E1972">
        <v>4</v>
      </c>
      <c r="F1972" t="s">
        <v>2286</v>
      </c>
    </row>
    <row r="1973" spans="1:6" x14ac:dyDescent="0.25">
      <c r="A1973" t="s">
        <v>2016</v>
      </c>
      <c r="B1973" t="s">
        <v>356</v>
      </c>
      <c r="C1973" t="s">
        <v>55</v>
      </c>
      <c r="D1973" t="str">
        <f>HYPERLINK("http://service.sap.com/sap/support/notes/1806811","1806811")</f>
        <v>1806811</v>
      </c>
      <c r="E1973">
        <v>1</v>
      </c>
      <c r="F1973" t="s">
        <v>2287</v>
      </c>
    </row>
    <row r="1974" spans="1:6" x14ac:dyDescent="0.25">
      <c r="A1974" t="s">
        <v>2016</v>
      </c>
      <c r="B1974" t="s">
        <v>356</v>
      </c>
      <c r="C1974" t="s">
        <v>55</v>
      </c>
      <c r="D1974" t="str">
        <f>HYPERLINK("http://service.sap.com/sap/support/notes/1807123","1807123")</f>
        <v>1807123</v>
      </c>
      <c r="E1974">
        <v>1</v>
      </c>
      <c r="F1974" t="s">
        <v>2288</v>
      </c>
    </row>
    <row r="1975" spans="1:6" x14ac:dyDescent="0.25">
      <c r="A1975" t="s">
        <v>2016</v>
      </c>
      <c r="B1975" t="s">
        <v>356</v>
      </c>
      <c r="C1975" t="s">
        <v>55</v>
      </c>
      <c r="D1975" t="str">
        <f>HYPERLINK("http://service.sap.com/sap/support/notes/1807284","1807284")</f>
        <v>1807284</v>
      </c>
      <c r="E1975">
        <v>2</v>
      </c>
      <c r="F1975" t="s">
        <v>2289</v>
      </c>
    </row>
    <row r="1976" spans="1:6" x14ac:dyDescent="0.25">
      <c r="A1976" t="s">
        <v>2016</v>
      </c>
      <c r="B1976" t="s">
        <v>356</v>
      </c>
      <c r="C1976" t="s">
        <v>55</v>
      </c>
      <c r="D1976" t="str">
        <f>HYPERLINK("http://service.sap.com/sap/support/notes/1807375","1807375")</f>
        <v>1807375</v>
      </c>
      <c r="E1976">
        <v>2</v>
      </c>
      <c r="F1976" t="s">
        <v>2290</v>
      </c>
    </row>
    <row r="1977" spans="1:6" x14ac:dyDescent="0.25">
      <c r="A1977" t="s">
        <v>2016</v>
      </c>
      <c r="B1977" t="s">
        <v>356</v>
      </c>
      <c r="C1977" t="s">
        <v>55</v>
      </c>
      <c r="D1977" t="str">
        <f>HYPERLINK("http://service.sap.com/sap/support/notes/1807812","1807812")</f>
        <v>1807812</v>
      </c>
      <c r="E1977">
        <v>2</v>
      </c>
      <c r="F1977" t="s">
        <v>2291</v>
      </c>
    </row>
    <row r="1978" spans="1:6" x14ac:dyDescent="0.25">
      <c r="A1978" t="s">
        <v>2016</v>
      </c>
      <c r="B1978" t="s">
        <v>356</v>
      </c>
      <c r="C1978" t="s">
        <v>55</v>
      </c>
      <c r="D1978" t="str">
        <f>HYPERLINK("http://service.sap.com/sap/support/notes/1808888","1808888")</f>
        <v>1808888</v>
      </c>
      <c r="E1978">
        <v>2</v>
      </c>
      <c r="F1978" t="s">
        <v>2292</v>
      </c>
    </row>
    <row r="1979" spans="1:6" x14ac:dyDescent="0.25">
      <c r="A1979" t="s">
        <v>2016</v>
      </c>
      <c r="B1979" t="s">
        <v>356</v>
      </c>
      <c r="C1979" t="s">
        <v>55</v>
      </c>
      <c r="D1979" t="str">
        <f>HYPERLINK("http://service.sap.com/sap/support/notes/1808910","1808910")</f>
        <v>1808910</v>
      </c>
      <c r="E1979">
        <v>1</v>
      </c>
      <c r="F1979" t="s">
        <v>2293</v>
      </c>
    </row>
    <row r="1980" spans="1:6" x14ac:dyDescent="0.25">
      <c r="A1980" t="s">
        <v>2016</v>
      </c>
      <c r="B1980" t="s">
        <v>356</v>
      </c>
      <c r="C1980" t="s">
        <v>55</v>
      </c>
      <c r="D1980" t="str">
        <f>HYPERLINK("http://service.sap.com/sap/support/notes/1809093","1809093")</f>
        <v>1809093</v>
      </c>
      <c r="F1980" t="s">
        <v>2294</v>
      </c>
    </row>
    <row r="1981" spans="1:6" x14ac:dyDescent="0.25">
      <c r="A1981" t="s">
        <v>2016</v>
      </c>
      <c r="B1981" t="s">
        <v>356</v>
      </c>
      <c r="C1981" t="s">
        <v>55</v>
      </c>
      <c r="D1981" t="str">
        <f>HYPERLINK("http://service.sap.com/sap/support/notes/1809324","1809324")</f>
        <v>1809324</v>
      </c>
      <c r="E1981">
        <v>1</v>
      </c>
      <c r="F1981" t="s">
        <v>2295</v>
      </c>
    </row>
    <row r="1982" spans="1:6" x14ac:dyDescent="0.25">
      <c r="A1982" t="s">
        <v>2016</v>
      </c>
      <c r="B1982" t="s">
        <v>356</v>
      </c>
      <c r="C1982" t="s">
        <v>55</v>
      </c>
      <c r="D1982" t="str">
        <f>HYPERLINK("http://service.sap.com/sap/support/notes/1809505","1809505")</f>
        <v>1809505</v>
      </c>
      <c r="E1982">
        <v>3</v>
      </c>
      <c r="F1982" t="s">
        <v>2296</v>
      </c>
    </row>
    <row r="1983" spans="1:6" x14ac:dyDescent="0.25">
      <c r="A1983" t="s">
        <v>2016</v>
      </c>
      <c r="B1983" t="s">
        <v>356</v>
      </c>
      <c r="C1983" t="s">
        <v>55</v>
      </c>
      <c r="D1983" t="str">
        <f>HYPERLINK("http://service.sap.com/sap/support/notes/1811691","1811691")</f>
        <v>1811691</v>
      </c>
      <c r="E1983">
        <v>1</v>
      </c>
      <c r="F1983" t="s">
        <v>2297</v>
      </c>
    </row>
    <row r="1984" spans="1:6" x14ac:dyDescent="0.25">
      <c r="A1984" t="s">
        <v>2016</v>
      </c>
      <c r="B1984" t="s">
        <v>362</v>
      </c>
      <c r="C1984" t="s">
        <v>363</v>
      </c>
      <c r="D1984" t="str">
        <f>HYPERLINK("http://service.sap.com/sap/support/notes/1686901","1686901")</f>
        <v>1686901</v>
      </c>
      <c r="E1984">
        <v>2</v>
      </c>
      <c r="F1984" t="s">
        <v>2298</v>
      </c>
    </row>
    <row r="1985" spans="1:6" x14ac:dyDescent="0.25">
      <c r="A1985" t="s">
        <v>2016</v>
      </c>
      <c r="B1985" t="s">
        <v>362</v>
      </c>
      <c r="C1985" t="s">
        <v>363</v>
      </c>
      <c r="D1985" t="str">
        <f>HYPERLINK("http://service.sap.com/sap/support/notes/1778872","1778872")</f>
        <v>1778872</v>
      </c>
      <c r="E1985">
        <v>5</v>
      </c>
      <c r="F1985" t="s">
        <v>2299</v>
      </c>
    </row>
    <row r="1986" spans="1:6" x14ac:dyDescent="0.25">
      <c r="A1986" t="s">
        <v>2016</v>
      </c>
      <c r="B1986" t="s">
        <v>362</v>
      </c>
      <c r="C1986" t="s">
        <v>363</v>
      </c>
      <c r="D1986" t="str">
        <f>HYPERLINK("http://service.sap.com/sap/support/notes/1795471","1795471")</f>
        <v>1795471</v>
      </c>
      <c r="E1986">
        <v>2</v>
      </c>
      <c r="F1986" t="s">
        <v>2300</v>
      </c>
    </row>
    <row r="1987" spans="1:6" x14ac:dyDescent="0.25">
      <c r="A1987" t="s">
        <v>2016</v>
      </c>
      <c r="B1987" t="s">
        <v>362</v>
      </c>
      <c r="C1987" t="s">
        <v>363</v>
      </c>
      <c r="D1987" t="str">
        <f>HYPERLINK("http://service.sap.com/sap/support/notes/1797571","1797571")</f>
        <v>1797571</v>
      </c>
      <c r="E1987">
        <v>1</v>
      </c>
      <c r="F1987" t="s">
        <v>2301</v>
      </c>
    </row>
    <row r="1988" spans="1:6" x14ac:dyDescent="0.25">
      <c r="A1988" t="s">
        <v>2016</v>
      </c>
      <c r="B1988" t="s">
        <v>362</v>
      </c>
      <c r="C1988" t="s">
        <v>363</v>
      </c>
      <c r="D1988" t="str">
        <f>HYPERLINK("http://service.sap.com/sap/support/notes/1800634","1800634")</f>
        <v>1800634</v>
      </c>
      <c r="E1988">
        <v>1</v>
      </c>
      <c r="F1988" t="s">
        <v>2302</v>
      </c>
    </row>
    <row r="1989" spans="1:6" x14ac:dyDescent="0.25">
      <c r="A1989" t="s">
        <v>2016</v>
      </c>
      <c r="B1989" t="s">
        <v>362</v>
      </c>
      <c r="C1989" t="s">
        <v>363</v>
      </c>
      <c r="D1989" t="str">
        <f>HYPERLINK("http://service.sap.com/sap/support/notes/1806334","1806334")</f>
        <v>1806334</v>
      </c>
      <c r="E1989">
        <v>1</v>
      </c>
      <c r="F1989" t="s">
        <v>2303</v>
      </c>
    </row>
    <row r="1990" spans="1:6" x14ac:dyDescent="0.25">
      <c r="A1990" t="s">
        <v>2016</v>
      </c>
      <c r="B1990" t="s">
        <v>362</v>
      </c>
      <c r="C1990" t="s">
        <v>363</v>
      </c>
      <c r="D1990" t="str">
        <f>HYPERLINK("http://service.sap.com/sap/support/notes/1806874","1806874")</f>
        <v>1806874</v>
      </c>
      <c r="E1990">
        <v>1</v>
      </c>
      <c r="F1990" t="s">
        <v>2304</v>
      </c>
    </row>
    <row r="1991" spans="1:6" x14ac:dyDescent="0.25">
      <c r="A1991" t="s">
        <v>2016</v>
      </c>
      <c r="B1991" t="s">
        <v>362</v>
      </c>
      <c r="C1991" t="s">
        <v>363</v>
      </c>
      <c r="D1991" t="str">
        <f>HYPERLINK("http://service.sap.com/sap/support/notes/1808283","1808283")</f>
        <v>1808283</v>
      </c>
      <c r="E1991">
        <v>1</v>
      </c>
      <c r="F1991" t="s">
        <v>2305</v>
      </c>
    </row>
    <row r="1992" spans="1:6" x14ac:dyDescent="0.25">
      <c r="A1992" t="s">
        <v>2016</v>
      </c>
      <c r="B1992" t="s">
        <v>362</v>
      </c>
      <c r="C1992" t="s">
        <v>363</v>
      </c>
      <c r="D1992" t="str">
        <f>HYPERLINK("http://service.sap.com/sap/support/notes/1809415","1809415")</f>
        <v>1809415</v>
      </c>
      <c r="E1992">
        <v>2</v>
      </c>
      <c r="F1992" t="s">
        <v>2306</v>
      </c>
    </row>
    <row r="1993" spans="1:6" x14ac:dyDescent="0.25">
      <c r="A1993" t="s">
        <v>2016</v>
      </c>
      <c r="B1993" t="s">
        <v>362</v>
      </c>
      <c r="C1993" t="s">
        <v>363</v>
      </c>
      <c r="D1993" t="str">
        <f>HYPERLINK("http://service.sap.com/sap/support/notes/1809428","1809428")</f>
        <v>1809428</v>
      </c>
      <c r="E1993">
        <v>4</v>
      </c>
      <c r="F1993" t="s">
        <v>2307</v>
      </c>
    </row>
    <row r="1994" spans="1:6" x14ac:dyDescent="0.25">
      <c r="A1994" t="s">
        <v>2016</v>
      </c>
      <c r="B1994" t="s">
        <v>362</v>
      </c>
      <c r="C1994" t="s">
        <v>363</v>
      </c>
      <c r="D1994" t="str">
        <f>HYPERLINK("http://service.sap.com/sap/support/notes/1809869","1809869")</f>
        <v>1809869</v>
      </c>
      <c r="E1994">
        <v>2</v>
      </c>
      <c r="F1994" t="s">
        <v>2308</v>
      </c>
    </row>
    <row r="1995" spans="1:6" x14ac:dyDescent="0.25">
      <c r="A1995" t="s">
        <v>2016</v>
      </c>
      <c r="B1995" t="s">
        <v>362</v>
      </c>
      <c r="C1995" t="s">
        <v>363</v>
      </c>
      <c r="D1995" t="str">
        <f>HYPERLINK("http://service.sap.com/sap/support/notes/1810978","1810978")</f>
        <v>1810978</v>
      </c>
      <c r="E1995">
        <v>1</v>
      </c>
      <c r="F1995" t="s">
        <v>2309</v>
      </c>
    </row>
    <row r="1996" spans="1:6" x14ac:dyDescent="0.25">
      <c r="A1996" t="s">
        <v>2016</v>
      </c>
      <c r="B1996" t="s">
        <v>362</v>
      </c>
      <c r="C1996" t="s">
        <v>363</v>
      </c>
      <c r="D1996" t="str">
        <f>HYPERLINK("http://service.sap.com/sap/support/notes/1812038","1812038")</f>
        <v>1812038</v>
      </c>
      <c r="E1996">
        <v>2</v>
      </c>
      <c r="F1996" t="s">
        <v>2310</v>
      </c>
    </row>
    <row r="1997" spans="1:6" x14ac:dyDescent="0.25">
      <c r="A1997" t="s">
        <v>2016</v>
      </c>
      <c r="B1997" t="s">
        <v>379</v>
      </c>
      <c r="C1997" t="s">
        <v>380</v>
      </c>
      <c r="D1997" t="str">
        <f>HYPERLINK("http://service.sap.com/sap/support/notes/1807242","1807242")</f>
        <v>1807242</v>
      </c>
      <c r="E1997">
        <v>4</v>
      </c>
      <c r="F1997" t="s">
        <v>2311</v>
      </c>
    </row>
    <row r="1998" spans="1:6" x14ac:dyDescent="0.25">
      <c r="A1998" t="s">
        <v>2016</v>
      </c>
      <c r="B1998" t="s">
        <v>384</v>
      </c>
      <c r="C1998" t="s">
        <v>385</v>
      </c>
      <c r="D1998" t="str">
        <f>HYPERLINK("http://service.sap.com/sap/support/notes/1724017","1724017")</f>
        <v>1724017</v>
      </c>
      <c r="E1998">
        <v>1</v>
      </c>
      <c r="F1998" t="s">
        <v>387</v>
      </c>
    </row>
    <row r="1999" spans="1:6" x14ac:dyDescent="0.25">
      <c r="A1999" t="s">
        <v>2016</v>
      </c>
      <c r="B1999" t="s">
        <v>384</v>
      </c>
      <c r="C1999" t="s">
        <v>385</v>
      </c>
      <c r="D1999" t="str">
        <f>HYPERLINK("http://service.sap.com/sap/support/notes/1790712","1790712")</f>
        <v>1790712</v>
      </c>
      <c r="E1999">
        <v>1</v>
      </c>
      <c r="F1999" t="s">
        <v>2312</v>
      </c>
    </row>
    <row r="2000" spans="1:6" x14ac:dyDescent="0.25">
      <c r="A2000" t="s">
        <v>2016</v>
      </c>
      <c r="B2000" t="s">
        <v>395</v>
      </c>
      <c r="C2000" t="s">
        <v>396</v>
      </c>
      <c r="D2000" t="str">
        <f>HYPERLINK("http://service.sap.com/sap/support/notes/1798725","1798725")</f>
        <v>1798725</v>
      </c>
      <c r="E2000">
        <v>1</v>
      </c>
      <c r="F2000" t="s">
        <v>2313</v>
      </c>
    </row>
    <row r="2001" spans="1:6" x14ac:dyDescent="0.25">
      <c r="A2001" t="s">
        <v>2016</v>
      </c>
      <c r="B2001" t="s">
        <v>395</v>
      </c>
      <c r="C2001" t="s">
        <v>396</v>
      </c>
      <c r="D2001" t="str">
        <f>HYPERLINK("http://service.sap.com/sap/support/notes/1799199","1799199")</f>
        <v>1799199</v>
      </c>
      <c r="E2001">
        <v>1</v>
      </c>
      <c r="F2001" t="s">
        <v>2314</v>
      </c>
    </row>
    <row r="2002" spans="1:6" x14ac:dyDescent="0.25">
      <c r="A2002" t="s">
        <v>2016</v>
      </c>
      <c r="B2002" t="s">
        <v>395</v>
      </c>
      <c r="C2002" t="s">
        <v>396</v>
      </c>
      <c r="D2002" t="str">
        <f>HYPERLINK("http://service.sap.com/sap/support/notes/1814712","1814712")</f>
        <v>1814712</v>
      </c>
      <c r="E2002">
        <v>1</v>
      </c>
      <c r="F2002" t="s">
        <v>2315</v>
      </c>
    </row>
    <row r="2003" spans="1:6" x14ac:dyDescent="0.25">
      <c r="A2003" t="s">
        <v>2016</v>
      </c>
      <c r="B2003" t="s">
        <v>402</v>
      </c>
      <c r="C2003" t="s">
        <v>403</v>
      </c>
      <c r="D2003" t="str">
        <f>HYPERLINK("http://service.sap.com/sap/support/notes/1798594","1798594")</f>
        <v>1798594</v>
      </c>
      <c r="E2003">
        <v>1</v>
      </c>
      <c r="F2003" t="s">
        <v>2316</v>
      </c>
    </row>
    <row r="2004" spans="1:6" x14ac:dyDescent="0.25">
      <c r="A2004" t="s">
        <v>2016</v>
      </c>
      <c r="B2004" t="s">
        <v>406</v>
      </c>
      <c r="C2004" t="s">
        <v>407</v>
      </c>
      <c r="D2004" t="str">
        <f>HYPERLINK("http://service.sap.com/sap/support/notes/1774323","1774323")</f>
        <v>1774323</v>
      </c>
      <c r="E2004">
        <v>8</v>
      </c>
      <c r="F2004" t="s">
        <v>2317</v>
      </c>
    </row>
    <row r="2005" spans="1:6" x14ac:dyDescent="0.25">
      <c r="A2005" t="s">
        <v>2016</v>
      </c>
      <c r="B2005" t="s">
        <v>406</v>
      </c>
      <c r="C2005" t="s">
        <v>407</v>
      </c>
      <c r="D2005" t="str">
        <f>HYPERLINK("http://service.sap.com/sap/support/notes/1806810","1806810")</f>
        <v>1806810</v>
      </c>
      <c r="E2005">
        <v>5</v>
      </c>
      <c r="F2005" t="s">
        <v>2318</v>
      </c>
    </row>
    <row r="2006" spans="1:6" x14ac:dyDescent="0.25">
      <c r="A2006" t="s">
        <v>2016</v>
      </c>
      <c r="B2006" t="s">
        <v>406</v>
      </c>
      <c r="C2006" t="s">
        <v>407</v>
      </c>
      <c r="D2006" t="str">
        <f>HYPERLINK("http://service.sap.com/sap/support/notes/1807536","1807536")</f>
        <v>1807536</v>
      </c>
      <c r="E2006">
        <v>7</v>
      </c>
      <c r="F2006" t="s">
        <v>2319</v>
      </c>
    </row>
    <row r="2007" spans="1:6" x14ac:dyDescent="0.25">
      <c r="A2007" t="s">
        <v>2016</v>
      </c>
      <c r="B2007" t="s">
        <v>406</v>
      </c>
      <c r="C2007" t="s">
        <v>407</v>
      </c>
      <c r="D2007" t="str">
        <f>HYPERLINK("http://service.sap.com/sap/support/notes/1810611","1810611")</f>
        <v>1810611</v>
      </c>
      <c r="E2007">
        <v>10</v>
      </c>
      <c r="F2007" t="s">
        <v>2320</v>
      </c>
    </row>
    <row r="2008" spans="1:6" x14ac:dyDescent="0.25">
      <c r="A2008" t="s">
        <v>2016</v>
      </c>
      <c r="B2008" t="s">
        <v>406</v>
      </c>
      <c r="C2008" t="s">
        <v>407</v>
      </c>
      <c r="D2008" t="str">
        <f>HYPERLINK("http://service.sap.com/sap/support/notes/1810797","1810797")</f>
        <v>1810797</v>
      </c>
      <c r="E2008">
        <v>2</v>
      </c>
      <c r="F2008" t="s">
        <v>2321</v>
      </c>
    </row>
    <row r="2009" spans="1:6" x14ac:dyDescent="0.25">
      <c r="A2009" t="s">
        <v>2016</v>
      </c>
      <c r="B2009" t="s">
        <v>406</v>
      </c>
      <c r="C2009" t="s">
        <v>407</v>
      </c>
      <c r="D2009" t="str">
        <f>HYPERLINK("http://service.sap.com/sap/support/notes/1811272","1811272")</f>
        <v>1811272</v>
      </c>
      <c r="E2009">
        <v>4</v>
      </c>
      <c r="F2009" t="s">
        <v>2322</v>
      </c>
    </row>
    <row r="2010" spans="1:6" x14ac:dyDescent="0.25">
      <c r="A2010" t="s">
        <v>2016</v>
      </c>
      <c r="B2010" t="s">
        <v>406</v>
      </c>
      <c r="C2010" t="s">
        <v>407</v>
      </c>
      <c r="D2010" t="str">
        <f>HYPERLINK("http://service.sap.com/sap/support/notes/1813001","1813001")</f>
        <v>1813001</v>
      </c>
      <c r="E2010">
        <v>2</v>
      </c>
      <c r="F2010" t="s">
        <v>2323</v>
      </c>
    </row>
    <row r="2011" spans="1:6" x14ac:dyDescent="0.25">
      <c r="A2011" t="s">
        <v>2016</v>
      </c>
      <c r="B2011" t="s">
        <v>406</v>
      </c>
      <c r="C2011" t="s">
        <v>407</v>
      </c>
      <c r="D2011" t="str">
        <f>HYPERLINK("http://service.sap.com/sap/support/notes/1813329","1813329")</f>
        <v>1813329</v>
      </c>
      <c r="E2011">
        <v>1</v>
      </c>
      <c r="F2011" t="s">
        <v>2324</v>
      </c>
    </row>
    <row r="2012" spans="1:6" x14ac:dyDescent="0.25">
      <c r="A2012" t="s">
        <v>2016</v>
      </c>
      <c r="B2012" t="s">
        <v>409</v>
      </c>
      <c r="C2012" t="s">
        <v>410</v>
      </c>
      <c r="D2012" t="str">
        <f>HYPERLINK("http://service.sap.com/sap/support/notes/1784693","1784693")</f>
        <v>1784693</v>
      </c>
      <c r="E2012">
        <v>9</v>
      </c>
      <c r="F2012" t="s">
        <v>2325</v>
      </c>
    </row>
    <row r="2013" spans="1:6" x14ac:dyDescent="0.25">
      <c r="A2013" t="s">
        <v>2016</v>
      </c>
      <c r="B2013" t="s">
        <v>409</v>
      </c>
      <c r="C2013" t="s">
        <v>410</v>
      </c>
      <c r="D2013" t="str">
        <f>HYPERLINK("http://service.sap.com/sap/support/notes/1805809","1805809")</f>
        <v>1805809</v>
      </c>
      <c r="E2013">
        <v>1</v>
      </c>
      <c r="F2013" t="s">
        <v>2326</v>
      </c>
    </row>
    <row r="2014" spans="1:6" x14ac:dyDescent="0.25">
      <c r="A2014" t="s">
        <v>2016</v>
      </c>
      <c r="B2014" t="s">
        <v>423</v>
      </c>
      <c r="C2014" t="s">
        <v>424</v>
      </c>
      <c r="D2014" t="str">
        <f>HYPERLINK("http://service.sap.com/sap/support/notes/1803425","1803425")</f>
        <v>1803425</v>
      </c>
      <c r="E2014">
        <v>3</v>
      </c>
      <c r="F2014" t="s">
        <v>2327</v>
      </c>
    </row>
    <row r="2015" spans="1:6" x14ac:dyDescent="0.25">
      <c r="A2015" t="s">
        <v>2016</v>
      </c>
      <c r="B2015" t="s">
        <v>423</v>
      </c>
      <c r="C2015" t="s">
        <v>424</v>
      </c>
      <c r="D2015" t="str">
        <f>HYPERLINK("http://service.sap.com/sap/support/notes/1804415","1804415")</f>
        <v>1804415</v>
      </c>
      <c r="E2015">
        <v>2</v>
      </c>
      <c r="F2015" t="s">
        <v>2328</v>
      </c>
    </row>
    <row r="2016" spans="1:6" x14ac:dyDescent="0.25">
      <c r="A2016" t="s">
        <v>2016</v>
      </c>
      <c r="B2016" t="s">
        <v>423</v>
      </c>
      <c r="C2016" t="s">
        <v>424</v>
      </c>
      <c r="D2016" t="str">
        <f>HYPERLINK("http://service.sap.com/sap/support/notes/1804813","1804813")</f>
        <v>1804813</v>
      </c>
      <c r="E2016">
        <v>3</v>
      </c>
      <c r="F2016" t="s">
        <v>1980</v>
      </c>
    </row>
    <row r="2017" spans="1:6" x14ac:dyDescent="0.25">
      <c r="A2017" t="s">
        <v>2016</v>
      </c>
      <c r="B2017" t="s">
        <v>423</v>
      </c>
      <c r="C2017" t="s">
        <v>424</v>
      </c>
      <c r="D2017" t="str">
        <f>HYPERLINK("http://service.sap.com/sap/support/notes/1805190","1805190")</f>
        <v>1805190</v>
      </c>
      <c r="E2017">
        <v>5</v>
      </c>
      <c r="F2017" t="s">
        <v>2329</v>
      </c>
    </row>
    <row r="2018" spans="1:6" x14ac:dyDescent="0.25">
      <c r="A2018" t="s">
        <v>2016</v>
      </c>
      <c r="B2018" t="s">
        <v>423</v>
      </c>
      <c r="C2018" t="s">
        <v>424</v>
      </c>
      <c r="D2018" t="str">
        <f>HYPERLINK("http://service.sap.com/sap/support/notes/1808082","1808082")</f>
        <v>1808082</v>
      </c>
      <c r="E2018">
        <v>1</v>
      </c>
      <c r="F2018" t="s">
        <v>2330</v>
      </c>
    </row>
    <row r="2019" spans="1:6" x14ac:dyDescent="0.25">
      <c r="A2019" t="s">
        <v>2016</v>
      </c>
      <c r="B2019" t="s">
        <v>423</v>
      </c>
      <c r="C2019" t="s">
        <v>424</v>
      </c>
      <c r="D2019" t="str">
        <f>HYPERLINK("http://service.sap.com/sap/support/notes/1810608","1810608")</f>
        <v>1810608</v>
      </c>
      <c r="E2019">
        <v>2</v>
      </c>
      <c r="F2019" t="s">
        <v>2331</v>
      </c>
    </row>
    <row r="2020" spans="1:6" x14ac:dyDescent="0.25">
      <c r="A2020" t="s">
        <v>2016</v>
      </c>
      <c r="B2020" t="s">
        <v>423</v>
      </c>
      <c r="C2020" t="s">
        <v>424</v>
      </c>
      <c r="D2020" t="str">
        <f>HYPERLINK("http://service.sap.com/sap/support/notes/1812334","1812334")</f>
        <v>1812334</v>
      </c>
      <c r="E2020">
        <v>3</v>
      </c>
      <c r="F2020" t="s">
        <v>2332</v>
      </c>
    </row>
    <row r="2021" spans="1:6" x14ac:dyDescent="0.25">
      <c r="A2021" t="s">
        <v>2016</v>
      </c>
      <c r="B2021" t="s">
        <v>423</v>
      </c>
      <c r="C2021" t="s">
        <v>424</v>
      </c>
      <c r="D2021" t="str">
        <f>HYPERLINK("http://service.sap.com/sap/support/notes/1812586","1812586")</f>
        <v>1812586</v>
      </c>
      <c r="E2021">
        <v>3</v>
      </c>
      <c r="F2021" t="s">
        <v>2333</v>
      </c>
    </row>
    <row r="2022" spans="1:6" x14ac:dyDescent="0.25">
      <c r="A2022" t="s">
        <v>2016</v>
      </c>
      <c r="B2022" t="s">
        <v>423</v>
      </c>
      <c r="C2022" t="s">
        <v>424</v>
      </c>
      <c r="D2022" t="str">
        <f>HYPERLINK("http://service.sap.com/sap/support/notes/1813375","1813375")</f>
        <v>1813375</v>
      </c>
      <c r="E2022">
        <v>2</v>
      </c>
      <c r="F2022" t="s">
        <v>2334</v>
      </c>
    </row>
    <row r="2023" spans="1:6" x14ac:dyDescent="0.25">
      <c r="A2023" t="s">
        <v>2016</v>
      </c>
      <c r="B2023" t="s">
        <v>430</v>
      </c>
      <c r="C2023" t="s">
        <v>431</v>
      </c>
      <c r="D2023" t="str">
        <f>HYPERLINK("http://service.sap.com/sap/support/notes/1740269","1740269")</f>
        <v>1740269</v>
      </c>
      <c r="E2023">
        <v>2</v>
      </c>
      <c r="F2023" t="s">
        <v>2335</v>
      </c>
    </row>
    <row r="2024" spans="1:6" x14ac:dyDescent="0.25">
      <c r="A2024" t="s">
        <v>2016</v>
      </c>
      <c r="B2024" t="s">
        <v>430</v>
      </c>
      <c r="C2024" t="s">
        <v>431</v>
      </c>
      <c r="D2024" t="str">
        <f>HYPERLINK("http://service.sap.com/sap/support/notes/1773207","1773207")</f>
        <v>1773207</v>
      </c>
      <c r="E2024">
        <v>5</v>
      </c>
      <c r="F2024" t="s">
        <v>2336</v>
      </c>
    </row>
    <row r="2025" spans="1:6" x14ac:dyDescent="0.25">
      <c r="A2025" t="s">
        <v>2016</v>
      </c>
      <c r="B2025" t="s">
        <v>430</v>
      </c>
      <c r="C2025" t="s">
        <v>431</v>
      </c>
      <c r="D2025" t="str">
        <f>HYPERLINK("http://service.sap.com/sap/support/notes/1773592","1773592")</f>
        <v>1773592</v>
      </c>
      <c r="E2025">
        <v>3</v>
      </c>
      <c r="F2025" t="s">
        <v>2337</v>
      </c>
    </row>
    <row r="2026" spans="1:6" x14ac:dyDescent="0.25">
      <c r="A2026" t="s">
        <v>2016</v>
      </c>
      <c r="B2026" t="s">
        <v>430</v>
      </c>
      <c r="C2026" t="s">
        <v>431</v>
      </c>
      <c r="D2026" t="str">
        <f>HYPERLINK("http://service.sap.com/sap/support/notes/1790126","1790126")</f>
        <v>1790126</v>
      </c>
      <c r="E2026">
        <v>2</v>
      </c>
      <c r="F2026" t="s">
        <v>2338</v>
      </c>
    </row>
    <row r="2027" spans="1:6" x14ac:dyDescent="0.25">
      <c r="A2027" t="s">
        <v>2016</v>
      </c>
      <c r="B2027" t="s">
        <v>430</v>
      </c>
      <c r="C2027" t="s">
        <v>431</v>
      </c>
      <c r="D2027" t="str">
        <f>HYPERLINK("http://service.sap.com/sap/support/notes/1793949","1793949")</f>
        <v>1793949</v>
      </c>
      <c r="E2027">
        <v>3</v>
      </c>
      <c r="F2027" t="s">
        <v>2339</v>
      </c>
    </row>
    <row r="2028" spans="1:6" x14ac:dyDescent="0.25">
      <c r="A2028" t="s">
        <v>2016</v>
      </c>
      <c r="B2028" t="s">
        <v>430</v>
      </c>
      <c r="C2028" t="s">
        <v>431</v>
      </c>
      <c r="D2028" t="str">
        <f>HYPERLINK("http://service.sap.com/sap/support/notes/1799639","1799639")</f>
        <v>1799639</v>
      </c>
      <c r="E2028">
        <v>2</v>
      </c>
      <c r="F2028" t="s">
        <v>2340</v>
      </c>
    </row>
    <row r="2029" spans="1:6" x14ac:dyDescent="0.25">
      <c r="A2029" t="s">
        <v>2016</v>
      </c>
      <c r="B2029" t="s">
        <v>430</v>
      </c>
      <c r="C2029" t="s">
        <v>431</v>
      </c>
      <c r="D2029" t="str">
        <f>HYPERLINK("http://service.sap.com/sap/support/notes/1808457","1808457")</f>
        <v>1808457</v>
      </c>
      <c r="E2029">
        <v>1</v>
      </c>
      <c r="F2029" t="s">
        <v>2341</v>
      </c>
    </row>
    <row r="2030" spans="1:6" x14ac:dyDescent="0.25">
      <c r="A2030" t="s">
        <v>2016</v>
      </c>
      <c r="B2030" t="s">
        <v>430</v>
      </c>
      <c r="C2030" t="s">
        <v>431</v>
      </c>
      <c r="D2030" t="str">
        <f>HYPERLINK("http://service.sap.com/sap/support/notes/1813107","1813107")</f>
        <v>1813107</v>
      </c>
      <c r="E2030">
        <v>1</v>
      </c>
      <c r="F2030" t="s">
        <v>2342</v>
      </c>
    </row>
    <row r="2031" spans="1:6" x14ac:dyDescent="0.25">
      <c r="A2031" t="s">
        <v>2016</v>
      </c>
      <c r="B2031" t="s">
        <v>437</v>
      </c>
      <c r="C2031" t="s">
        <v>438</v>
      </c>
      <c r="D2031" t="str">
        <f>HYPERLINK("http://service.sap.com/sap/support/notes/1805544","1805544")</f>
        <v>1805544</v>
      </c>
      <c r="E2031">
        <v>1</v>
      </c>
      <c r="F2031" t="s">
        <v>2343</v>
      </c>
    </row>
    <row r="2032" spans="1:6" x14ac:dyDescent="0.25">
      <c r="A2032" t="s">
        <v>2016</v>
      </c>
      <c r="B2032" t="s">
        <v>437</v>
      </c>
      <c r="C2032" t="s">
        <v>438</v>
      </c>
      <c r="D2032" t="str">
        <f>HYPERLINK("http://service.sap.com/sap/support/notes/1808125","1808125")</f>
        <v>1808125</v>
      </c>
      <c r="E2032">
        <v>2</v>
      </c>
      <c r="F2032" t="s">
        <v>2344</v>
      </c>
    </row>
    <row r="2033" spans="1:6" x14ac:dyDescent="0.25">
      <c r="A2033" t="s">
        <v>2016</v>
      </c>
      <c r="B2033" t="s">
        <v>437</v>
      </c>
      <c r="C2033" t="s">
        <v>438</v>
      </c>
      <c r="D2033" t="str">
        <f>HYPERLINK("http://service.sap.com/sap/support/notes/1811025","1811025")</f>
        <v>1811025</v>
      </c>
      <c r="E2033">
        <v>1</v>
      </c>
      <c r="F2033" t="s">
        <v>2345</v>
      </c>
    </row>
    <row r="2034" spans="1:6" x14ac:dyDescent="0.25">
      <c r="A2034" t="s">
        <v>2016</v>
      </c>
      <c r="B2034" t="s">
        <v>440</v>
      </c>
      <c r="C2034" t="s">
        <v>128</v>
      </c>
      <c r="D2034" t="str">
        <f>HYPERLINK("http://service.sap.com/sap/support/notes/1804898","1804898")</f>
        <v>1804898</v>
      </c>
      <c r="E2034">
        <v>2</v>
      </c>
      <c r="F2034" t="s">
        <v>2346</v>
      </c>
    </row>
    <row r="2035" spans="1:6" x14ac:dyDescent="0.25">
      <c r="A2035" t="s">
        <v>2016</v>
      </c>
      <c r="B2035" t="s">
        <v>440</v>
      </c>
      <c r="C2035" t="s">
        <v>128</v>
      </c>
      <c r="D2035" t="str">
        <f>HYPERLINK("http://service.sap.com/sap/support/notes/1807180","1807180")</f>
        <v>1807180</v>
      </c>
      <c r="E2035">
        <v>1</v>
      </c>
      <c r="F2035" t="s">
        <v>2347</v>
      </c>
    </row>
    <row r="2036" spans="1:6" x14ac:dyDescent="0.25">
      <c r="A2036" t="s">
        <v>2016</v>
      </c>
      <c r="B2036" t="s">
        <v>440</v>
      </c>
      <c r="C2036" t="s">
        <v>128</v>
      </c>
      <c r="D2036" t="str">
        <f>HYPERLINK("http://service.sap.com/sap/support/notes/1813202","1813202")</f>
        <v>1813202</v>
      </c>
      <c r="E2036">
        <v>1</v>
      </c>
      <c r="F2036" t="s">
        <v>2348</v>
      </c>
    </row>
    <row r="2037" spans="1:6" x14ac:dyDescent="0.25">
      <c r="A2037" t="s">
        <v>2016</v>
      </c>
      <c r="B2037" t="s">
        <v>443</v>
      </c>
      <c r="C2037" t="s">
        <v>444</v>
      </c>
      <c r="D2037" t="str">
        <f>HYPERLINK("http://service.sap.com/sap/support/notes/1804630","1804630")</f>
        <v>1804630</v>
      </c>
      <c r="E2037">
        <v>1</v>
      </c>
      <c r="F2037" t="s">
        <v>2349</v>
      </c>
    </row>
    <row r="2038" spans="1:6" x14ac:dyDescent="0.25">
      <c r="A2038" t="s">
        <v>2016</v>
      </c>
      <c r="B2038" t="s">
        <v>443</v>
      </c>
      <c r="C2038" t="s">
        <v>444</v>
      </c>
      <c r="D2038" t="str">
        <f>HYPERLINK("http://service.sap.com/sap/support/notes/1805884","1805884")</f>
        <v>1805884</v>
      </c>
      <c r="E2038">
        <v>2</v>
      </c>
      <c r="F2038" t="s">
        <v>2350</v>
      </c>
    </row>
    <row r="2039" spans="1:6" x14ac:dyDescent="0.25">
      <c r="A2039" t="s">
        <v>2016</v>
      </c>
      <c r="B2039" t="s">
        <v>443</v>
      </c>
      <c r="C2039" t="s">
        <v>444</v>
      </c>
      <c r="D2039" t="str">
        <f>HYPERLINK("http://service.sap.com/sap/support/notes/1808934","1808934")</f>
        <v>1808934</v>
      </c>
      <c r="E2039">
        <v>1</v>
      </c>
      <c r="F2039" t="s">
        <v>2351</v>
      </c>
    </row>
    <row r="2040" spans="1:6" x14ac:dyDescent="0.25">
      <c r="A2040" t="s">
        <v>2016</v>
      </c>
      <c r="B2040" t="s">
        <v>443</v>
      </c>
      <c r="C2040" t="s">
        <v>444</v>
      </c>
      <c r="D2040" t="str">
        <f>HYPERLINK("http://service.sap.com/sap/support/notes/1809313","1809313")</f>
        <v>1809313</v>
      </c>
      <c r="E2040">
        <v>2</v>
      </c>
      <c r="F2040" t="s">
        <v>2352</v>
      </c>
    </row>
    <row r="2041" spans="1:6" x14ac:dyDescent="0.25">
      <c r="A2041" t="s">
        <v>2016</v>
      </c>
      <c r="B2041" t="s">
        <v>443</v>
      </c>
      <c r="C2041" t="s">
        <v>444</v>
      </c>
      <c r="D2041" t="str">
        <f>HYPERLINK("http://service.sap.com/sap/support/notes/1811936","1811936")</f>
        <v>1811936</v>
      </c>
      <c r="E2041">
        <v>2</v>
      </c>
      <c r="F2041" t="s">
        <v>2353</v>
      </c>
    </row>
    <row r="2042" spans="1:6" x14ac:dyDescent="0.25">
      <c r="A2042" t="s">
        <v>2016</v>
      </c>
      <c r="B2042" t="s">
        <v>450</v>
      </c>
      <c r="C2042" t="s">
        <v>451</v>
      </c>
      <c r="D2042" t="str">
        <f>HYPERLINK("http://service.sap.com/sap/support/notes/1804189","1804189")</f>
        <v>1804189</v>
      </c>
      <c r="E2042">
        <v>7</v>
      </c>
      <c r="F2042" t="s">
        <v>2000</v>
      </c>
    </row>
    <row r="2043" spans="1:6" x14ac:dyDescent="0.25">
      <c r="A2043" t="s">
        <v>2016</v>
      </c>
      <c r="B2043" t="s">
        <v>450</v>
      </c>
      <c r="C2043" t="s">
        <v>451</v>
      </c>
      <c r="D2043" t="str">
        <f>HYPERLINK("http://service.sap.com/sap/support/notes/1808117","1808117")</f>
        <v>1808117</v>
      </c>
      <c r="E2043">
        <v>6</v>
      </c>
      <c r="F2043" t="s">
        <v>2354</v>
      </c>
    </row>
    <row r="2044" spans="1:6" x14ac:dyDescent="0.25">
      <c r="A2044" t="s">
        <v>2016</v>
      </c>
      <c r="B2044" t="s">
        <v>450</v>
      </c>
      <c r="C2044" t="s">
        <v>451</v>
      </c>
      <c r="D2044" t="str">
        <f>HYPERLINK("http://service.sap.com/sap/support/notes/1809276","1809276")</f>
        <v>1809276</v>
      </c>
      <c r="E2044">
        <v>3</v>
      </c>
      <c r="F2044" t="s">
        <v>2355</v>
      </c>
    </row>
    <row r="2045" spans="1:6" x14ac:dyDescent="0.25">
      <c r="A2045" t="s">
        <v>2016</v>
      </c>
      <c r="B2045" t="s">
        <v>450</v>
      </c>
      <c r="C2045" t="s">
        <v>451</v>
      </c>
      <c r="D2045" t="str">
        <f>HYPERLINK("http://service.sap.com/sap/support/notes/1812456","1812456")</f>
        <v>1812456</v>
      </c>
      <c r="E2045">
        <v>1</v>
      </c>
      <c r="F2045" t="s">
        <v>2356</v>
      </c>
    </row>
    <row r="2046" spans="1:6" x14ac:dyDescent="0.25">
      <c r="A2046" t="s">
        <v>2016</v>
      </c>
      <c r="B2046" t="s">
        <v>450</v>
      </c>
      <c r="C2046" t="s">
        <v>451</v>
      </c>
      <c r="D2046" t="str">
        <f>HYPERLINK("http://service.sap.com/sap/support/notes/1814245","1814245")</f>
        <v>1814245</v>
      </c>
      <c r="E2046">
        <v>1</v>
      </c>
      <c r="F2046" t="s">
        <v>2357</v>
      </c>
    </row>
    <row r="2047" spans="1:6" x14ac:dyDescent="0.25">
      <c r="A2047" t="s">
        <v>2016</v>
      </c>
      <c r="B2047" t="s">
        <v>453</v>
      </c>
      <c r="C2047" t="s">
        <v>74</v>
      </c>
      <c r="D2047" t="str">
        <f>HYPERLINK("http://service.sap.com/sap/support/notes/1638819","1638819")</f>
        <v>1638819</v>
      </c>
      <c r="E2047">
        <v>2</v>
      </c>
      <c r="F2047" t="s">
        <v>2358</v>
      </c>
    </row>
    <row r="2048" spans="1:6" x14ac:dyDescent="0.25">
      <c r="A2048" t="s">
        <v>2016</v>
      </c>
      <c r="B2048" t="s">
        <v>607</v>
      </c>
      <c r="C2048" t="s">
        <v>156</v>
      </c>
      <c r="D2048" t="str">
        <f>HYPERLINK("http://service.sap.com/sap/support/notes/1801142","1801142")</f>
        <v>1801142</v>
      </c>
      <c r="E2048">
        <v>5</v>
      </c>
      <c r="F2048" t="s">
        <v>2359</v>
      </c>
    </row>
    <row r="2049" spans="1:6" x14ac:dyDescent="0.25">
      <c r="A2049" t="s">
        <v>2016</v>
      </c>
      <c r="B2049" t="s">
        <v>457</v>
      </c>
      <c r="C2049" t="s">
        <v>458</v>
      </c>
      <c r="D2049" t="str">
        <f>HYPERLINK("http://service.sap.com/sap/support/notes/1803358","1803358")</f>
        <v>1803358</v>
      </c>
      <c r="E2049">
        <v>1</v>
      </c>
      <c r="F2049" t="s">
        <v>2360</v>
      </c>
    </row>
    <row r="2050" spans="1:6" x14ac:dyDescent="0.25">
      <c r="A2050" t="s">
        <v>2016</v>
      </c>
      <c r="B2050" t="s">
        <v>457</v>
      </c>
      <c r="C2050" t="s">
        <v>458</v>
      </c>
      <c r="D2050" t="str">
        <f>HYPERLINK("http://service.sap.com/sap/support/notes/1804308","1804308")</f>
        <v>1804308</v>
      </c>
      <c r="E2050">
        <v>1</v>
      </c>
      <c r="F2050" t="s">
        <v>2361</v>
      </c>
    </row>
    <row r="2051" spans="1:6" x14ac:dyDescent="0.25">
      <c r="A2051" t="s">
        <v>2016</v>
      </c>
      <c r="B2051" t="s">
        <v>457</v>
      </c>
      <c r="C2051" t="s">
        <v>458</v>
      </c>
      <c r="D2051" t="str">
        <f>HYPERLINK("http://service.sap.com/sap/support/notes/1806156","1806156")</f>
        <v>1806156</v>
      </c>
      <c r="E2051">
        <v>3</v>
      </c>
      <c r="F2051" t="s">
        <v>2362</v>
      </c>
    </row>
    <row r="2052" spans="1:6" x14ac:dyDescent="0.25">
      <c r="A2052" t="s">
        <v>2016</v>
      </c>
      <c r="B2052" t="s">
        <v>457</v>
      </c>
      <c r="C2052" t="s">
        <v>458</v>
      </c>
      <c r="D2052" t="str">
        <f>HYPERLINK("http://service.sap.com/sap/support/notes/1810518","1810518")</f>
        <v>1810518</v>
      </c>
      <c r="E2052">
        <v>1</v>
      </c>
      <c r="F2052" t="s">
        <v>2363</v>
      </c>
    </row>
    <row r="2053" spans="1:6" x14ac:dyDescent="0.25">
      <c r="A2053" t="s">
        <v>2016</v>
      </c>
      <c r="B2053" t="s">
        <v>608</v>
      </c>
      <c r="C2053" t="s">
        <v>609</v>
      </c>
      <c r="D2053" t="str">
        <f>HYPERLINK("http://service.sap.com/sap/support/notes/1741011","1741011")</f>
        <v>1741011</v>
      </c>
      <c r="E2053">
        <v>3</v>
      </c>
      <c r="F2053" t="s">
        <v>2364</v>
      </c>
    </row>
    <row r="2054" spans="1:6" x14ac:dyDescent="0.25">
      <c r="A2054" t="s">
        <v>2016</v>
      </c>
      <c r="B2054" t="s">
        <v>608</v>
      </c>
      <c r="C2054" t="s">
        <v>609</v>
      </c>
      <c r="D2054" t="str">
        <f>HYPERLINK("http://service.sap.com/sap/support/notes/1806450","1806450")</f>
        <v>1806450</v>
      </c>
      <c r="E2054">
        <v>4</v>
      </c>
      <c r="F2054" t="s">
        <v>2365</v>
      </c>
    </row>
    <row r="2055" spans="1:6" x14ac:dyDescent="0.25">
      <c r="A2055" t="s">
        <v>2016</v>
      </c>
      <c r="B2055" t="s">
        <v>608</v>
      </c>
      <c r="C2055" t="s">
        <v>609</v>
      </c>
      <c r="D2055" t="str">
        <f>HYPERLINK("http://service.sap.com/sap/support/notes/1807998","1807998")</f>
        <v>1807998</v>
      </c>
      <c r="E2055">
        <v>1</v>
      </c>
      <c r="F2055" t="s">
        <v>2366</v>
      </c>
    </row>
    <row r="2056" spans="1:6" x14ac:dyDescent="0.25">
      <c r="A2056" t="s">
        <v>2016</v>
      </c>
      <c r="B2056" t="s">
        <v>610</v>
      </c>
      <c r="C2056" t="s">
        <v>635</v>
      </c>
      <c r="D2056" t="str">
        <f>HYPERLINK("http://service.sap.com/sap/support/notes/1810157","1810157")</f>
        <v>1810157</v>
      </c>
      <c r="E2056">
        <v>1</v>
      </c>
      <c r="F2056" t="s">
        <v>2367</v>
      </c>
    </row>
    <row r="2057" spans="1:6" x14ac:dyDescent="0.25">
      <c r="A2057" t="s">
        <v>2016</v>
      </c>
      <c r="B2057" t="s">
        <v>464</v>
      </c>
      <c r="C2057" t="s">
        <v>465</v>
      </c>
      <c r="D2057" t="str">
        <f>HYPERLINK("http://service.sap.com/sap/support/notes/1806215","1806215")</f>
        <v>1806215</v>
      </c>
      <c r="E2057">
        <v>2</v>
      </c>
      <c r="F2057" t="s">
        <v>2368</v>
      </c>
    </row>
    <row r="2058" spans="1:6" x14ac:dyDescent="0.25">
      <c r="A2058" t="s">
        <v>2369</v>
      </c>
      <c r="B2058" t="s">
        <v>15</v>
      </c>
      <c r="C2058" t="s">
        <v>16</v>
      </c>
    </row>
    <row r="2059" spans="1:6" x14ac:dyDescent="0.25">
      <c r="A2059" t="s">
        <v>2369</v>
      </c>
      <c r="B2059" t="s">
        <v>17</v>
      </c>
      <c r="C2059" t="s">
        <v>18</v>
      </c>
    </row>
    <row r="2060" spans="1:6" x14ac:dyDescent="0.25">
      <c r="A2060" t="s">
        <v>2369</v>
      </c>
      <c r="B2060" t="s">
        <v>19</v>
      </c>
      <c r="C2060" t="s">
        <v>20</v>
      </c>
    </row>
    <row r="2061" spans="1:6" x14ac:dyDescent="0.25">
      <c r="A2061" t="s">
        <v>2369</v>
      </c>
      <c r="B2061" t="s">
        <v>21</v>
      </c>
      <c r="C2061" t="s">
        <v>22</v>
      </c>
      <c r="D2061" t="str">
        <f>HYPERLINK("http://service.sap.com/sap/support/notes/1808639","1808639")</f>
        <v>1808639</v>
      </c>
      <c r="E2061">
        <v>2</v>
      </c>
      <c r="F2061" t="s">
        <v>2370</v>
      </c>
    </row>
    <row r="2062" spans="1:6" x14ac:dyDescent="0.25">
      <c r="A2062" t="s">
        <v>2369</v>
      </c>
      <c r="B2062" t="s">
        <v>493</v>
      </c>
      <c r="C2062" t="s">
        <v>494</v>
      </c>
    </row>
    <row r="2063" spans="1:6" x14ac:dyDescent="0.25">
      <c r="A2063" t="s">
        <v>2369</v>
      </c>
      <c r="B2063" t="s">
        <v>495</v>
      </c>
      <c r="C2063" t="s">
        <v>655</v>
      </c>
    </row>
    <row r="2064" spans="1:6" x14ac:dyDescent="0.25">
      <c r="A2064" t="s">
        <v>2369</v>
      </c>
      <c r="B2064" t="s">
        <v>497</v>
      </c>
      <c r="C2064" t="s">
        <v>498</v>
      </c>
      <c r="D2064" t="str">
        <f>HYPERLINK("http://service.sap.com/sap/support/notes/1819047","1819047")</f>
        <v>1819047</v>
      </c>
      <c r="E2064">
        <v>2</v>
      </c>
      <c r="F2064" t="s">
        <v>2371</v>
      </c>
    </row>
    <row r="2065" spans="1:6" x14ac:dyDescent="0.25">
      <c r="A2065" t="s">
        <v>2369</v>
      </c>
      <c r="B2065" t="s">
        <v>24</v>
      </c>
      <c r="C2065" t="s">
        <v>10</v>
      </c>
    </row>
    <row r="2066" spans="1:6" x14ac:dyDescent="0.25">
      <c r="A2066" t="s">
        <v>2369</v>
      </c>
      <c r="B2066" t="s">
        <v>25</v>
      </c>
      <c r="C2066" t="s">
        <v>26</v>
      </c>
    </row>
    <row r="2067" spans="1:6" x14ac:dyDescent="0.25">
      <c r="A2067" t="s">
        <v>2369</v>
      </c>
      <c r="B2067" t="s">
        <v>33</v>
      </c>
      <c r="C2067" t="s">
        <v>34</v>
      </c>
      <c r="D2067" t="str">
        <f>HYPERLINK("http://service.sap.com/sap/support/notes/1816669","1816669")</f>
        <v>1816669</v>
      </c>
      <c r="E2067">
        <v>2</v>
      </c>
      <c r="F2067" t="s">
        <v>2372</v>
      </c>
    </row>
    <row r="2068" spans="1:6" x14ac:dyDescent="0.25">
      <c r="A2068" t="s">
        <v>2369</v>
      </c>
      <c r="B2068" t="s">
        <v>33</v>
      </c>
      <c r="C2068" t="s">
        <v>34</v>
      </c>
      <c r="D2068" t="str">
        <f>HYPERLINK("http://service.sap.com/sap/support/notes/1818298","1818298")</f>
        <v>1818298</v>
      </c>
      <c r="E2068">
        <v>1</v>
      </c>
      <c r="F2068" t="s">
        <v>2373</v>
      </c>
    </row>
    <row r="2069" spans="1:6" x14ac:dyDescent="0.25">
      <c r="A2069" t="s">
        <v>2369</v>
      </c>
      <c r="B2069" t="s">
        <v>520</v>
      </c>
      <c r="C2069" t="s">
        <v>176</v>
      </c>
      <c r="D2069" t="str">
        <f>HYPERLINK("http://service.sap.com/sap/support/notes/1820736","1820736")</f>
        <v>1820736</v>
      </c>
      <c r="E2069">
        <v>1</v>
      </c>
      <c r="F2069" t="s">
        <v>2374</v>
      </c>
    </row>
    <row r="2070" spans="1:6" x14ac:dyDescent="0.25">
      <c r="A2070" t="s">
        <v>2369</v>
      </c>
      <c r="B2070" t="s">
        <v>40</v>
      </c>
      <c r="C2070" t="s">
        <v>41</v>
      </c>
      <c r="D2070" t="str">
        <f>HYPERLINK("http://service.sap.com/sap/support/notes/1821271","1821271")</f>
        <v>1821271</v>
      </c>
      <c r="E2070">
        <v>2</v>
      </c>
      <c r="F2070" t="s">
        <v>2375</v>
      </c>
    </row>
    <row r="2071" spans="1:6" x14ac:dyDescent="0.25">
      <c r="A2071" t="s">
        <v>2369</v>
      </c>
      <c r="B2071" t="s">
        <v>40</v>
      </c>
      <c r="C2071" t="s">
        <v>41</v>
      </c>
      <c r="D2071" t="str">
        <f>HYPERLINK("http://service.sap.com/sap/support/notes/1825252","1825252")</f>
        <v>1825252</v>
      </c>
      <c r="E2071">
        <v>1</v>
      </c>
      <c r="F2071" t="s">
        <v>2376</v>
      </c>
    </row>
    <row r="2072" spans="1:6" x14ac:dyDescent="0.25">
      <c r="A2072" t="s">
        <v>2369</v>
      </c>
      <c r="B2072" t="s">
        <v>43</v>
      </c>
      <c r="C2072" t="s">
        <v>44</v>
      </c>
      <c r="D2072" t="str">
        <f>HYPERLINK("http://service.sap.com/sap/support/notes/1805724","1805724")</f>
        <v>1805724</v>
      </c>
      <c r="E2072">
        <v>12</v>
      </c>
      <c r="F2072" t="s">
        <v>2377</v>
      </c>
    </row>
    <row r="2073" spans="1:6" x14ac:dyDescent="0.25">
      <c r="A2073" t="s">
        <v>2369</v>
      </c>
      <c r="B2073" t="s">
        <v>43</v>
      </c>
      <c r="C2073" t="s">
        <v>44</v>
      </c>
      <c r="D2073" t="str">
        <f>HYPERLINK("http://service.sap.com/sap/support/notes/1816086","1816086")</f>
        <v>1816086</v>
      </c>
      <c r="E2073">
        <v>1</v>
      </c>
      <c r="F2073" t="s">
        <v>2378</v>
      </c>
    </row>
    <row r="2074" spans="1:6" x14ac:dyDescent="0.25">
      <c r="A2074" t="s">
        <v>2369</v>
      </c>
      <c r="B2074" t="s">
        <v>43</v>
      </c>
      <c r="C2074" t="s">
        <v>44</v>
      </c>
      <c r="D2074" t="str">
        <f>HYPERLINK("http://service.sap.com/sap/support/notes/1819218","1819218")</f>
        <v>1819218</v>
      </c>
      <c r="E2074">
        <v>1</v>
      </c>
      <c r="F2074" t="s">
        <v>2379</v>
      </c>
    </row>
    <row r="2075" spans="1:6" x14ac:dyDescent="0.25">
      <c r="A2075" t="s">
        <v>2369</v>
      </c>
      <c r="B2075" t="s">
        <v>43</v>
      </c>
      <c r="C2075" t="s">
        <v>44</v>
      </c>
      <c r="D2075" t="str">
        <f>HYPERLINK("http://service.sap.com/sap/support/notes/1821205","1821205")</f>
        <v>1821205</v>
      </c>
      <c r="E2075">
        <v>2</v>
      </c>
      <c r="F2075" t="s">
        <v>2380</v>
      </c>
    </row>
    <row r="2076" spans="1:6" x14ac:dyDescent="0.25">
      <c r="A2076" t="s">
        <v>2369</v>
      </c>
      <c r="B2076" t="s">
        <v>43</v>
      </c>
      <c r="C2076" t="s">
        <v>44</v>
      </c>
      <c r="D2076" t="str">
        <f>HYPERLINK("http://service.sap.com/sap/support/notes/1822498","1822498")</f>
        <v>1822498</v>
      </c>
      <c r="E2076">
        <v>1</v>
      </c>
      <c r="F2076" t="s">
        <v>2381</v>
      </c>
    </row>
    <row r="2077" spans="1:6" x14ac:dyDescent="0.25">
      <c r="A2077" t="s">
        <v>2369</v>
      </c>
      <c r="B2077" t="s">
        <v>43</v>
      </c>
      <c r="C2077" t="s">
        <v>44</v>
      </c>
      <c r="D2077" t="str">
        <f>HYPERLINK("http://service.sap.com/sap/support/notes/1823076","1823076")</f>
        <v>1823076</v>
      </c>
      <c r="E2077">
        <v>2</v>
      </c>
      <c r="F2077" t="s">
        <v>2382</v>
      </c>
    </row>
    <row r="2078" spans="1:6" x14ac:dyDescent="0.25">
      <c r="A2078" t="s">
        <v>2369</v>
      </c>
      <c r="B2078" t="s">
        <v>522</v>
      </c>
      <c r="C2078" t="s">
        <v>523</v>
      </c>
      <c r="D2078" t="str">
        <f>HYPERLINK("http://service.sap.com/sap/support/notes/1807895","1807895")</f>
        <v>1807895</v>
      </c>
      <c r="E2078">
        <v>4</v>
      </c>
      <c r="F2078" t="s">
        <v>2026</v>
      </c>
    </row>
    <row r="2079" spans="1:6" x14ac:dyDescent="0.25">
      <c r="A2079" t="s">
        <v>2369</v>
      </c>
      <c r="B2079" t="s">
        <v>1582</v>
      </c>
      <c r="C2079" t="s">
        <v>314</v>
      </c>
      <c r="D2079" t="str">
        <f>HYPERLINK("http://service.sap.com/sap/support/notes/1816678","1816678")</f>
        <v>1816678</v>
      </c>
      <c r="E2079">
        <v>1</v>
      </c>
      <c r="F2079" t="s">
        <v>2028</v>
      </c>
    </row>
    <row r="2080" spans="1:6" x14ac:dyDescent="0.25">
      <c r="A2080" t="s">
        <v>2369</v>
      </c>
      <c r="B2080" t="s">
        <v>801</v>
      </c>
      <c r="C2080" t="s">
        <v>328</v>
      </c>
      <c r="D2080" t="str">
        <f>HYPERLINK("http://service.sap.com/sap/support/notes/1771057","1771057")</f>
        <v>1771057</v>
      </c>
      <c r="E2080">
        <v>3</v>
      </c>
      <c r="F2080" t="s">
        <v>2383</v>
      </c>
    </row>
    <row r="2081" spans="1:6" x14ac:dyDescent="0.25">
      <c r="A2081" t="s">
        <v>2369</v>
      </c>
      <c r="B2081" t="s">
        <v>47</v>
      </c>
      <c r="C2081" t="s">
        <v>48</v>
      </c>
      <c r="D2081" t="str">
        <f>HYPERLINK("http://service.sap.com/sap/support/notes/1752960","1752960")</f>
        <v>1752960</v>
      </c>
      <c r="E2081">
        <v>2</v>
      </c>
      <c r="F2081" t="s">
        <v>2384</v>
      </c>
    </row>
    <row r="2082" spans="1:6" x14ac:dyDescent="0.25">
      <c r="A2082" t="s">
        <v>2369</v>
      </c>
      <c r="B2082" t="s">
        <v>47</v>
      </c>
      <c r="C2082" t="s">
        <v>48</v>
      </c>
      <c r="D2082" t="str">
        <f>HYPERLINK("http://service.sap.com/sap/support/notes/1797870","1797870")</f>
        <v>1797870</v>
      </c>
      <c r="E2082">
        <v>3</v>
      </c>
      <c r="F2082" t="s">
        <v>2385</v>
      </c>
    </row>
    <row r="2083" spans="1:6" x14ac:dyDescent="0.25">
      <c r="A2083" t="s">
        <v>2369</v>
      </c>
      <c r="B2083" t="s">
        <v>525</v>
      </c>
      <c r="C2083" t="s">
        <v>351</v>
      </c>
      <c r="D2083" t="str">
        <f>HYPERLINK("http://service.sap.com/sap/support/notes/1821124","1821124")</f>
        <v>1821124</v>
      </c>
      <c r="E2083">
        <v>1</v>
      </c>
      <c r="F2083" t="s">
        <v>2386</v>
      </c>
    </row>
    <row r="2084" spans="1:6" x14ac:dyDescent="0.25">
      <c r="A2084" t="s">
        <v>2369</v>
      </c>
      <c r="B2084" t="s">
        <v>54</v>
      </c>
      <c r="C2084" t="s">
        <v>55</v>
      </c>
      <c r="D2084" t="str">
        <f>HYPERLINK("http://service.sap.com/sap/support/notes/1812073","1812073")</f>
        <v>1812073</v>
      </c>
      <c r="F2084" t="s">
        <v>2387</v>
      </c>
    </row>
    <row r="2085" spans="1:6" x14ac:dyDescent="0.25">
      <c r="A2085" t="s">
        <v>2369</v>
      </c>
      <c r="B2085" t="s">
        <v>54</v>
      </c>
      <c r="C2085" t="s">
        <v>55</v>
      </c>
      <c r="D2085" t="str">
        <f>HYPERLINK("http://service.sap.com/sap/support/notes/1818973","1818973")</f>
        <v>1818973</v>
      </c>
      <c r="E2085">
        <v>2</v>
      </c>
      <c r="F2085" t="s">
        <v>2388</v>
      </c>
    </row>
    <row r="2086" spans="1:6" x14ac:dyDescent="0.25">
      <c r="A2086" t="s">
        <v>2369</v>
      </c>
      <c r="B2086" t="s">
        <v>54</v>
      </c>
      <c r="C2086" t="s">
        <v>55</v>
      </c>
      <c r="D2086" t="str">
        <f>HYPERLINK("http://service.sap.com/sap/support/notes/1821229","1821229")</f>
        <v>1821229</v>
      </c>
      <c r="E2086">
        <v>1</v>
      </c>
      <c r="F2086" t="s">
        <v>2389</v>
      </c>
    </row>
    <row r="2087" spans="1:6" x14ac:dyDescent="0.25">
      <c r="A2087" t="s">
        <v>2369</v>
      </c>
      <c r="B2087" t="s">
        <v>63</v>
      </c>
      <c r="C2087" t="s">
        <v>64</v>
      </c>
      <c r="D2087" t="str">
        <f>HYPERLINK("http://service.sap.com/sap/support/notes/1742926","1742926")</f>
        <v>1742926</v>
      </c>
      <c r="E2087">
        <v>2</v>
      </c>
      <c r="F2087" t="s">
        <v>2390</v>
      </c>
    </row>
    <row r="2088" spans="1:6" x14ac:dyDescent="0.25">
      <c r="A2088" t="s">
        <v>2369</v>
      </c>
      <c r="B2088" t="s">
        <v>63</v>
      </c>
      <c r="C2088" t="s">
        <v>64</v>
      </c>
      <c r="D2088" t="str">
        <f>HYPERLINK("http://service.sap.com/sap/support/notes/1814202","1814202")</f>
        <v>1814202</v>
      </c>
      <c r="E2088">
        <v>2</v>
      </c>
      <c r="F2088" t="s">
        <v>2391</v>
      </c>
    </row>
    <row r="2089" spans="1:6" x14ac:dyDescent="0.25">
      <c r="A2089" t="s">
        <v>2369</v>
      </c>
      <c r="B2089" t="s">
        <v>63</v>
      </c>
      <c r="C2089" t="s">
        <v>64</v>
      </c>
      <c r="D2089" t="str">
        <f>HYPERLINK("http://service.sap.com/sap/support/notes/1815649","1815649")</f>
        <v>1815649</v>
      </c>
      <c r="E2089">
        <v>4</v>
      </c>
      <c r="F2089" t="s">
        <v>2392</v>
      </c>
    </row>
    <row r="2090" spans="1:6" x14ac:dyDescent="0.25">
      <c r="A2090" t="s">
        <v>2369</v>
      </c>
      <c r="B2090" t="s">
        <v>63</v>
      </c>
      <c r="C2090" t="s">
        <v>64</v>
      </c>
      <c r="D2090" t="str">
        <f>HYPERLINK("http://service.sap.com/sap/support/notes/1816441","1816441")</f>
        <v>1816441</v>
      </c>
      <c r="E2090">
        <v>2</v>
      </c>
      <c r="F2090" t="s">
        <v>2393</v>
      </c>
    </row>
    <row r="2091" spans="1:6" x14ac:dyDescent="0.25">
      <c r="A2091" t="s">
        <v>2369</v>
      </c>
      <c r="B2091" t="s">
        <v>63</v>
      </c>
      <c r="C2091" t="s">
        <v>64</v>
      </c>
      <c r="D2091" t="str">
        <f>HYPERLINK("http://service.sap.com/sap/support/notes/1817326","1817326")</f>
        <v>1817326</v>
      </c>
      <c r="E2091">
        <v>2</v>
      </c>
      <c r="F2091" t="s">
        <v>2394</v>
      </c>
    </row>
    <row r="2092" spans="1:6" x14ac:dyDescent="0.25">
      <c r="A2092" t="s">
        <v>2369</v>
      </c>
      <c r="B2092" t="s">
        <v>63</v>
      </c>
      <c r="C2092" t="s">
        <v>64</v>
      </c>
      <c r="D2092" t="str">
        <f>HYPERLINK("http://service.sap.com/sap/support/notes/1818276","1818276")</f>
        <v>1818276</v>
      </c>
      <c r="E2092">
        <v>2</v>
      </c>
      <c r="F2092" t="s">
        <v>2395</v>
      </c>
    </row>
    <row r="2093" spans="1:6" x14ac:dyDescent="0.25">
      <c r="A2093" t="s">
        <v>2369</v>
      </c>
      <c r="B2093" t="s">
        <v>63</v>
      </c>
      <c r="C2093" t="s">
        <v>64</v>
      </c>
      <c r="D2093" t="str">
        <f>HYPERLINK("http://service.sap.com/sap/support/notes/1821139","1821139")</f>
        <v>1821139</v>
      </c>
      <c r="E2093">
        <v>3</v>
      </c>
      <c r="F2093" t="s">
        <v>2396</v>
      </c>
    </row>
    <row r="2094" spans="1:6" x14ac:dyDescent="0.25">
      <c r="A2094" t="s">
        <v>2369</v>
      </c>
      <c r="B2094" t="s">
        <v>63</v>
      </c>
      <c r="C2094" t="s">
        <v>64</v>
      </c>
      <c r="D2094" t="str">
        <f>HYPERLINK("http://service.sap.com/sap/support/notes/1821834","1821834")</f>
        <v>1821834</v>
      </c>
      <c r="E2094">
        <v>2</v>
      </c>
      <c r="F2094" t="s">
        <v>2397</v>
      </c>
    </row>
    <row r="2095" spans="1:6" x14ac:dyDescent="0.25">
      <c r="A2095" t="s">
        <v>2369</v>
      </c>
      <c r="B2095" t="s">
        <v>63</v>
      </c>
      <c r="C2095" t="s">
        <v>64</v>
      </c>
      <c r="D2095" t="str">
        <f>HYPERLINK("http://service.sap.com/sap/support/notes/1821915","1821915")</f>
        <v>1821915</v>
      </c>
      <c r="E2095">
        <v>3</v>
      </c>
      <c r="F2095" t="s">
        <v>2398</v>
      </c>
    </row>
    <row r="2096" spans="1:6" x14ac:dyDescent="0.25">
      <c r="A2096" t="s">
        <v>2369</v>
      </c>
      <c r="B2096" t="s">
        <v>63</v>
      </c>
      <c r="C2096" t="s">
        <v>64</v>
      </c>
      <c r="D2096" t="str">
        <f>HYPERLINK("http://service.sap.com/sap/support/notes/1822297","1822297")</f>
        <v>1822297</v>
      </c>
      <c r="E2096">
        <v>2</v>
      </c>
      <c r="F2096" t="s">
        <v>2399</v>
      </c>
    </row>
    <row r="2097" spans="1:6" x14ac:dyDescent="0.25">
      <c r="A2097" t="s">
        <v>2369</v>
      </c>
      <c r="B2097" t="s">
        <v>63</v>
      </c>
      <c r="C2097" t="s">
        <v>64</v>
      </c>
      <c r="D2097" t="str">
        <f>HYPERLINK("http://service.sap.com/sap/support/notes/1823379","1823379")</f>
        <v>1823379</v>
      </c>
      <c r="E2097">
        <v>1</v>
      </c>
      <c r="F2097" t="s">
        <v>2400</v>
      </c>
    </row>
    <row r="2098" spans="1:6" x14ac:dyDescent="0.25">
      <c r="A2098" t="s">
        <v>2369</v>
      </c>
      <c r="B2098" t="s">
        <v>63</v>
      </c>
      <c r="C2098" t="s">
        <v>64</v>
      </c>
      <c r="D2098" t="str">
        <f>HYPERLINK("http://service.sap.com/sap/support/notes/1825038","1825038")</f>
        <v>1825038</v>
      </c>
      <c r="E2098">
        <v>2</v>
      </c>
      <c r="F2098" t="s">
        <v>2401</v>
      </c>
    </row>
    <row r="2099" spans="1:6" x14ac:dyDescent="0.25">
      <c r="A2099" t="s">
        <v>2369</v>
      </c>
      <c r="B2099" t="s">
        <v>63</v>
      </c>
      <c r="C2099" t="s">
        <v>64</v>
      </c>
      <c r="D2099" t="str">
        <f>HYPERLINK("http://service.sap.com/sap/support/notes/1825112","1825112")</f>
        <v>1825112</v>
      </c>
      <c r="E2099">
        <v>2</v>
      </c>
      <c r="F2099" t="s">
        <v>2402</v>
      </c>
    </row>
    <row r="2100" spans="1:6" x14ac:dyDescent="0.25">
      <c r="A2100" t="s">
        <v>2369</v>
      </c>
      <c r="B2100" t="s">
        <v>63</v>
      </c>
      <c r="C2100" t="s">
        <v>64</v>
      </c>
      <c r="D2100" t="str">
        <f>HYPERLINK("http://service.sap.com/sap/support/notes/1825163","1825163")</f>
        <v>1825163</v>
      </c>
      <c r="E2100">
        <v>1</v>
      </c>
      <c r="F2100" t="s">
        <v>2403</v>
      </c>
    </row>
    <row r="2101" spans="1:6" x14ac:dyDescent="0.25">
      <c r="A2101" t="s">
        <v>2369</v>
      </c>
      <c r="B2101" t="s">
        <v>63</v>
      </c>
      <c r="C2101" t="s">
        <v>64</v>
      </c>
      <c r="D2101" t="str">
        <f>HYPERLINK("http://service.sap.com/sap/support/notes/1825654","1825654")</f>
        <v>1825654</v>
      </c>
      <c r="E2101">
        <v>1</v>
      </c>
      <c r="F2101" t="s">
        <v>2404</v>
      </c>
    </row>
    <row r="2102" spans="1:6" x14ac:dyDescent="0.25">
      <c r="A2102" t="s">
        <v>2369</v>
      </c>
      <c r="B2102" t="s">
        <v>661</v>
      </c>
      <c r="C2102" t="s">
        <v>438</v>
      </c>
      <c r="D2102" t="str">
        <f>HYPERLINK("http://service.sap.com/sap/support/notes/1805839","1805839")</f>
        <v>1805839</v>
      </c>
      <c r="E2102">
        <v>1</v>
      </c>
      <c r="F2102" t="s">
        <v>2405</v>
      </c>
    </row>
    <row r="2103" spans="1:6" x14ac:dyDescent="0.25">
      <c r="A2103" t="s">
        <v>2369</v>
      </c>
      <c r="B2103" t="s">
        <v>661</v>
      </c>
      <c r="C2103" t="s">
        <v>438</v>
      </c>
      <c r="D2103" t="str">
        <f>HYPERLINK("http://service.sap.com/sap/support/notes/1815992","1815992")</f>
        <v>1815992</v>
      </c>
      <c r="E2103">
        <v>1</v>
      </c>
      <c r="F2103" t="s">
        <v>2406</v>
      </c>
    </row>
    <row r="2104" spans="1:6" x14ac:dyDescent="0.25">
      <c r="A2104" t="s">
        <v>2369</v>
      </c>
      <c r="B2104" t="s">
        <v>661</v>
      </c>
      <c r="C2104" t="s">
        <v>438</v>
      </c>
      <c r="D2104" t="str">
        <f>HYPERLINK("http://service.sap.com/sap/support/notes/1820209","1820209")</f>
        <v>1820209</v>
      </c>
      <c r="E2104">
        <v>1</v>
      </c>
      <c r="F2104" t="s">
        <v>2407</v>
      </c>
    </row>
    <row r="2105" spans="1:6" x14ac:dyDescent="0.25">
      <c r="A2105" t="s">
        <v>2369</v>
      </c>
      <c r="B2105" t="s">
        <v>684</v>
      </c>
      <c r="C2105" t="s">
        <v>451</v>
      </c>
      <c r="D2105" t="str">
        <f>HYPERLINK("http://service.sap.com/sap/support/notes/1811425","1811425")</f>
        <v>1811425</v>
      </c>
      <c r="E2105">
        <v>1</v>
      </c>
      <c r="F2105" t="s">
        <v>2041</v>
      </c>
    </row>
    <row r="2106" spans="1:6" x14ac:dyDescent="0.25">
      <c r="A2106" t="s">
        <v>2369</v>
      </c>
      <c r="B2106" t="s">
        <v>79</v>
      </c>
      <c r="C2106" t="s">
        <v>80</v>
      </c>
    </row>
    <row r="2107" spans="1:6" x14ac:dyDescent="0.25">
      <c r="A2107" t="s">
        <v>2369</v>
      </c>
      <c r="B2107" t="s">
        <v>81</v>
      </c>
      <c r="C2107" t="s">
        <v>82</v>
      </c>
      <c r="D2107" t="str">
        <f>HYPERLINK("http://service.sap.com/sap/support/notes/1747983","1747983")</f>
        <v>1747983</v>
      </c>
      <c r="E2107">
        <v>8</v>
      </c>
      <c r="F2107" t="s">
        <v>2408</v>
      </c>
    </row>
    <row r="2108" spans="1:6" x14ac:dyDescent="0.25">
      <c r="A2108" t="s">
        <v>2369</v>
      </c>
      <c r="B2108" t="s">
        <v>81</v>
      </c>
      <c r="C2108" t="s">
        <v>82</v>
      </c>
      <c r="D2108" t="str">
        <f>HYPERLINK("http://service.sap.com/sap/support/notes/1807778","1807778")</f>
        <v>1807778</v>
      </c>
      <c r="E2108">
        <v>3</v>
      </c>
      <c r="F2108" t="s">
        <v>2409</v>
      </c>
    </row>
    <row r="2109" spans="1:6" x14ac:dyDescent="0.25">
      <c r="A2109" t="s">
        <v>2369</v>
      </c>
      <c r="B2109" t="s">
        <v>81</v>
      </c>
      <c r="C2109" t="s">
        <v>82</v>
      </c>
      <c r="D2109" t="str">
        <f>HYPERLINK("http://service.sap.com/sap/support/notes/1812267","1812267")</f>
        <v>1812267</v>
      </c>
      <c r="E2109">
        <v>1</v>
      </c>
      <c r="F2109" t="s">
        <v>2410</v>
      </c>
    </row>
    <row r="2110" spans="1:6" x14ac:dyDescent="0.25">
      <c r="A2110" t="s">
        <v>2369</v>
      </c>
      <c r="B2110" t="s">
        <v>81</v>
      </c>
      <c r="C2110" t="s">
        <v>82</v>
      </c>
      <c r="D2110" t="str">
        <f>HYPERLINK("http://service.sap.com/sap/support/notes/1818683","1818683")</f>
        <v>1818683</v>
      </c>
      <c r="E2110">
        <v>3</v>
      </c>
      <c r="F2110" t="s">
        <v>2411</v>
      </c>
    </row>
    <row r="2111" spans="1:6" x14ac:dyDescent="0.25">
      <c r="A2111" t="s">
        <v>2369</v>
      </c>
      <c r="B2111" t="s">
        <v>85</v>
      </c>
      <c r="C2111" t="s">
        <v>86</v>
      </c>
    </row>
    <row r="2112" spans="1:6" x14ac:dyDescent="0.25">
      <c r="A2112" t="s">
        <v>2369</v>
      </c>
      <c r="B2112" t="s">
        <v>696</v>
      </c>
      <c r="C2112" t="s">
        <v>697</v>
      </c>
    </row>
    <row r="2113" spans="1:6" x14ac:dyDescent="0.25">
      <c r="A2113" t="s">
        <v>2369</v>
      </c>
      <c r="B2113" t="s">
        <v>698</v>
      </c>
      <c r="C2113" t="s">
        <v>699</v>
      </c>
      <c r="D2113" t="str">
        <f>HYPERLINK("http://service.sap.com/sap/support/notes/1781871","1781871")</f>
        <v>1781871</v>
      </c>
      <c r="E2113">
        <v>1</v>
      </c>
      <c r="F2113" t="s">
        <v>2412</v>
      </c>
    </row>
    <row r="2114" spans="1:6" x14ac:dyDescent="0.25">
      <c r="A2114" t="s">
        <v>2369</v>
      </c>
      <c r="B2114" t="s">
        <v>698</v>
      </c>
      <c r="C2114" t="s">
        <v>699</v>
      </c>
      <c r="D2114" t="str">
        <f>HYPERLINK("http://service.sap.com/sap/support/notes/1794861","1794861")</f>
        <v>1794861</v>
      </c>
      <c r="E2114">
        <v>1</v>
      </c>
      <c r="F2114" t="s">
        <v>2413</v>
      </c>
    </row>
    <row r="2115" spans="1:6" x14ac:dyDescent="0.25">
      <c r="A2115" t="s">
        <v>2369</v>
      </c>
      <c r="B2115" t="s">
        <v>95</v>
      </c>
      <c r="C2115" t="s">
        <v>96</v>
      </c>
    </row>
    <row r="2116" spans="1:6" x14ac:dyDescent="0.25">
      <c r="A2116" t="s">
        <v>2369</v>
      </c>
      <c r="B2116" t="s">
        <v>569</v>
      </c>
      <c r="C2116" t="s">
        <v>28</v>
      </c>
      <c r="D2116" t="str">
        <f>HYPERLINK("http://service.sap.com/sap/support/notes/1803422","1803422")</f>
        <v>1803422</v>
      </c>
      <c r="E2116">
        <v>1</v>
      </c>
      <c r="F2116" t="s">
        <v>2414</v>
      </c>
    </row>
    <row r="2117" spans="1:6" x14ac:dyDescent="0.25">
      <c r="A2117" t="s">
        <v>2369</v>
      </c>
      <c r="B2117" t="s">
        <v>569</v>
      </c>
      <c r="C2117" t="s">
        <v>28</v>
      </c>
      <c r="D2117" t="str">
        <f>HYPERLINK("http://service.sap.com/sap/support/notes/1808580","1808580")</f>
        <v>1808580</v>
      </c>
      <c r="E2117">
        <v>2</v>
      </c>
      <c r="F2117" t="s">
        <v>2415</v>
      </c>
    </row>
    <row r="2118" spans="1:6" x14ac:dyDescent="0.25">
      <c r="A2118" t="s">
        <v>2369</v>
      </c>
      <c r="B2118" t="s">
        <v>569</v>
      </c>
      <c r="C2118" t="s">
        <v>28</v>
      </c>
      <c r="D2118" t="str">
        <f>HYPERLINK("http://service.sap.com/sap/support/notes/1814107","1814107")</f>
        <v>1814107</v>
      </c>
      <c r="E2118">
        <v>3</v>
      </c>
      <c r="F2118" t="s">
        <v>2416</v>
      </c>
    </row>
    <row r="2119" spans="1:6" x14ac:dyDescent="0.25">
      <c r="A2119" t="s">
        <v>2369</v>
      </c>
      <c r="B2119" t="s">
        <v>97</v>
      </c>
      <c r="C2119" t="s">
        <v>98</v>
      </c>
      <c r="D2119" t="str">
        <f>HYPERLINK("http://service.sap.com/sap/support/notes/1285131","1285131")</f>
        <v>1285131</v>
      </c>
      <c r="E2119">
        <v>4</v>
      </c>
      <c r="F2119" t="s">
        <v>2417</v>
      </c>
    </row>
    <row r="2120" spans="1:6" x14ac:dyDescent="0.25">
      <c r="A2120" t="s">
        <v>2369</v>
      </c>
      <c r="B2120" t="s">
        <v>97</v>
      </c>
      <c r="C2120" t="s">
        <v>98</v>
      </c>
      <c r="D2120" t="str">
        <f>HYPERLINK("http://service.sap.com/sap/support/notes/1746788","1746788")</f>
        <v>1746788</v>
      </c>
      <c r="E2120">
        <v>1</v>
      </c>
      <c r="F2120" t="s">
        <v>2418</v>
      </c>
    </row>
    <row r="2121" spans="1:6" x14ac:dyDescent="0.25">
      <c r="A2121" t="s">
        <v>2369</v>
      </c>
      <c r="B2121" t="s">
        <v>97</v>
      </c>
      <c r="C2121" t="s">
        <v>98</v>
      </c>
      <c r="D2121" t="str">
        <f>HYPERLINK("http://service.sap.com/sap/support/notes/1783406","1783406")</f>
        <v>1783406</v>
      </c>
      <c r="E2121">
        <v>1</v>
      </c>
      <c r="F2121" t="s">
        <v>987</v>
      </c>
    </row>
    <row r="2122" spans="1:6" x14ac:dyDescent="0.25">
      <c r="A2122" t="s">
        <v>2369</v>
      </c>
      <c r="B2122" t="s">
        <v>97</v>
      </c>
      <c r="C2122" t="s">
        <v>98</v>
      </c>
      <c r="D2122" t="str">
        <f>HYPERLINK("http://service.sap.com/sap/support/notes/1784728","1784728")</f>
        <v>1784728</v>
      </c>
      <c r="E2122">
        <v>3</v>
      </c>
      <c r="F2122" t="s">
        <v>2419</v>
      </c>
    </row>
    <row r="2123" spans="1:6" x14ac:dyDescent="0.25">
      <c r="A2123" t="s">
        <v>2369</v>
      </c>
      <c r="B2123" t="s">
        <v>97</v>
      </c>
      <c r="C2123" t="s">
        <v>98</v>
      </c>
      <c r="D2123" t="str">
        <f>HYPERLINK("http://service.sap.com/sap/support/notes/1796597","1796597")</f>
        <v>1796597</v>
      </c>
      <c r="E2123">
        <v>2</v>
      </c>
      <c r="F2123" t="s">
        <v>2420</v>
      </c>
    </row>
    <row r="2124" spans="1:6" x14ac:dyDescent="0.25">
      <c r="A2124" t="s">
        <v>2369</v>
      </c>
      <c r="B2124" t="s">
        <v>97</v>
      </c>
      <c r="C2124" t="s">
        <v>98</v>
      </c>
      <c r="D2124" t="str">
        <f>HYPERLINK("http://service.sap.com/sap/support/notes/1805694","1805694")</f>
        <v>1805694</v>
      </c>
      <c r="E2124">
        <v>3</v>
      </c>
      <c r="F2124" t="s">
        <v>2421</v>
      </c>
    </row>
    <row r="2125" spans="1:6" x14ac:dyDescent="0.25">
      <c r="A2125" t="s">
        <v>2369</v>
      </c>
      <c r="B2125" t="s">
        <v>97</v>
      </c>
      <c r="C2125" t="s">
        <v>98</v>
      </c>
      <c r="D2125" t="str">
        <f>HYPERLINK("http://service.sap.com/sap/support/notes/1810181","1810181")</f>
        <v>1810181</v>
      </c>
      <c r="E2125">
        <v>5</v>
      </c>
      <c r="F2125" t="s">
        <v>2422</v>
      </c>
    </row>
    <row r="2126" spans="1:6" x14ac:dyDescent="0.25">
      <c r="A2126" t="s">
        <v>2369</v>
      </c>
      <c r="B2126" t="s">
        <v>97</v>
      </c>
      <c r="C2126" t="s">
        <v>98</v>
      </c>
      <c r="D2126" t="str">
        <f>HYPERLINK("http://service.sap.com/sap/support/notes/1811675","1811675")</f>
        <v>1811675</v>
      </c>
      <c r="E2126">
        <v>3</v>
      </c>
      <c r="F2126" t="s">
        <v>2423</v>
      </c>
    </row>
    <row r="2127" spans="1:6" x14ac:dyDescent="0.25">
      <c r="A2127" t="s">
        <v>2369</v>
      </c>
      <c r="B2127" t="s">
        <v>97</v>
      </c>
      <c r="C2127" t="s">
        <v>98</v>
      </c>
      <c r="D2127" t="str">
        <f>HYPERLINK("http://service.sap.com/sap/support/notes/1814133","1814133")</f>
        <v>1814133</v>
      </c>
      <c r="E2127">
        <v>2</v>
      </c>
      <c r="F2127" t="s">
        <v>2424</v>
      </c>
    </row>
    <row r="2128" spans="1:6" x14ac:dyDescent="0.25">
      <c r="A2128" t="s">
        <v>2369</v>
      </c>
      <c r="B2128" t="s">
        <v>97</v>
      </c>
      <c r="C2128" t="s">
        <v>98</v>
      </c>
      <c r="D2128" t="str">
        <f>HYPERLINK("http://service.sap.com/sap/support/notes/1815283","1815283")</f>
        <v>1815283</v>
      </c>
      <c r="E2128">
        <v>3</v>
      </c>
      <c r="F2128" t="s">
        <v>2425</v>
      </c>
    </row>
    <row r="2129" spans="1:6" x14ac:dyDescent="0.25">
      <c r="A2129" t="s">
        <v>2369</v>
      </c>
      <c r="B2129" t="s">
        <v>97</v>
      </c>
      <c r="C2129" t="s">
        <v>98</v>
      </c>
      <c r="D2129" t="str">
        <f>HYPERLINK("http://service.sap.com/sap/support/notes/1815929","1815929")</f>
        <v>1815929</v>
      </c>
      <c r="E2129">
        <v>3</v>
      </c>
      <c r="F2129" t="s">
        <v>2426</v>
      </c>
    </row>
    <row r="2130" spans="1:6" x14ac:dyDescent="0.25">
      <c r="A2130" t="s">
        <v>2369</v>
      </c>
      <c r="B2130" t="s">
        <v>97</v>
      </c>
      <c r="C2130" t="s">
        <v>98</v>
      </c>
      <c r="D2130" t="str">
        <f>HYPERLINK("http://service.sap.com/sap/support/notes/1817713","1817713")</f>
        <v>1817713</v>
      </c>
      <c r="E2130">
        <v>2</v>
      </c>
      <c r="F2130" t="s">
        <v>2427</v>
      </c>
    </row>
    <row r="2131" spans="1:6" x14ac:dyDescent="0.25">
      <c r="A2131" t="s">
        <v>2369</v>
      </c>
      <c r="B2131" t="s">
        <v>97</v>
      </c>
      <c r="C2131" t="s">
        <v>98</v>
      </c>
      <c r="D2131" t="str">
        <f>HYPERLINK("http://service.sap.com/sap/support/notes/1817897","1817897")</f>
        <v>1817897</v>
      </c>
      <c r="E2131">
        <v>5</v>
      </c>
      <c r="F2131" t="s">
        <v>2428</v>
      </c>
    </row>
    <row r="2132" spans="1:6" x14ac:dyDescent="0.25">
      <c r="A2132" t="s">
        <v>2369</v>
      </c>
      <c r="B2132" t="s">
        <v>97</v>
      </c>
      <c r="C2132" t="s">
        <v>98</v>
      </c>
      <c r="D2132" t="str">
        <f>HYPERLINK("http://service.sap.com/sap/support/notes/1817971","1817971")</f>
        <v>1817971</v>
      </c>
      <c r="E2132">
        <v>1</v>
      </c>
      <c r="F2132" t="s">
        <v>2429</v>
      </c>
    </row>
    <row r="2133" spans="1:6" x14ac:dyDescent="0.25">
      <c r="A2133" t="s">
        <v>2369</v>
      </c>
      <c r="B2133" t="s">
        <v>97</v>
      </c>
      <c r="C2133" t="s">
        <v>98</v>
      </c>
      <c r="D2133" t="str">
        <f>HYPERLINK("http://service.sap.com/sap/support/notes/1818754","1818754")</f>
        <v>1818754</v>
      </c>
      <c r="E2133">
        <v>1</v>
      </c>
      <c r="F2133" t="s">
        <v>2430</v>
      </c>
    </row>
    <row r="2134" spans="1:6" x14ac:dyDescent="0.25">
      <c r="A2134" t="s">
        <v>2369</v>
      </c>
      <c r="B2134" t="s">
        <v>97</v>
      </c>
      <c r="C2134" t="s">
        <v>98</v>
      </c>
      <c r="D2134" t="str">
        <f>HYPERLINK("http://service.sap.com/sap/support/notes/1819204","1819204")</f>
        <v>1819204</v>
      </c>
      <c r="E2134">
        <v>1</v>
      </c>
      <c r="F2134" t="s">
        <v>2431</v>
      </c>
    </row>
    <row r="2135" spans="1:6" x14ac:dyDescent="0.25">
      <c r="A2135" t="s">
        <v>2369</v>
      </c>
      <c r="B2135" t="s">
        <v>97</v>
      </c>
      <c r="C2135" t="s">
        <v>98</v>
      </c>
      <c r="D2135" t="str">
        <f>HYPERLINK("http://service.sap.com/sap/support/notes/1819276","1819276")</f>
        <v>1819276</v>
      </c>
      <c r="E2135">
        <v>2</v>
      </c>
      <c r="F2135" t="s">
        <v>2432</v>
      </c>
    </row>
    <row r="2136" spans="1:6" x14ac:dyDescent="0.25">
      <c r="A2136" t="s">
        <v>2369</v>
      </c>
      <c r="B2136" t="s">
        <v>97</v>
      </c>
      <c r="C2136" t="s">
        <v>98</v>
      </c>
      <c r="D2136" t="str">
        <f>HYPERLINK("http://service.sap.com/sap/support/notes/1819887","1819887")</f>
        <v>1819887</v>
      </c>
      <c r="E2136">
        <v>1</v>
      </c>
      <c r="F2136" t="s">
        <v>2433</v>
      </c>
    </row>
    <row r="2137" spans="1:6" x14ac:dyDescent="0.25">
      <c r="A2137" t="s">
        <v>2369</v>
      </c>
      <c r="B2137" t="s">
        <v>97</v>
      </c>
      <c r="C2137" t="s">
        <v>98</v>
      </c>
      <c r="D2137" t="str">
        <f>HYPERLINK("http://service.sap.com/sap/support/notes/1821044","1821044")</f>
        <v>1821044</v>
      </c>
      <c r="E2137">
        <v>2</v>
      </c>
      <c r="F2137" t="s">
        <v>2434</v>
      </c>
    </row>
    <row r="2138" spans="1:6" x14ac:dyDescent="0.25">
      <c r="A2138" t="s">
        <v>2369</v>
      </c>
      <c r="B2138" t="s">
        <v>97</v>
      </c>
      <c r="C2138" t="s">
        <v>98</v>
      </c>
      <c r="D2138" t="str">
        <f>HYPERLINK("http://service.sap.com/sap/support/notes/1823736","1823736")</f>
        <v>1823736</v>
      </c>
      <c r="E2138">
        <v>1</v>
      </c>
      <c r="F2138" t="s">
        <v>2435</v>
      </c>
    </row>
    <row r="2139" spans="1:6" x14ac:dyDescent="0.25">
      <c r="A2139" t="s">
        <v>2369</v>
      </c>
      <c r="B2139" t="s">
        <v>97</v>
      </c>
      <c r="C2139" t="s">
        <v>98</v>
      </c>
      <c r="D2139" t="str">
        <f>HYPERLINK("http://service.sap.com/sap/support/notes/1823991","1823991")</f>
        <v>1823991</v>
      </c>
      <c r="E2139">
        <v>1</v>
      </c>
      <c r="F2139" t="s">
        <v>2436</v>
      </c>
    </row>
    <row r="2140" spans="1:6" x14ac:dyDescent="0.25">
      <c r="A2140" t="s">
        <v>2369</v>
      </c>
      <c r="B2140" t="s">
        <v>97</v>
      </c>
      <c r="C2140" t="s">
        <v>98</v>
      </c>
      <c r="D2140" t="str">
        <f>HYPERLINK("http://service.sap.com/sap/support/notes/1824343","1824343")</f>
        <v>1824343</v>
      </c>
      <c r="E2140">
        <v>2</v>
      </c>
      <c r="F2140" t="s">
        <v>2437</v>
      </c>
    </row>
    <row r="2141" spans="1:6" x14ac:dyDescent="0.25">
      <c r="A2141" t="s">
        <v>2369</v>
      </c>
      <c r="B2141" t="s">
        <v>97</v>
      </c>
      <c r="C2141" t="s">
        <v>98</v>
      </c>
      <c r="D2141" t="str">
        <f>HYPERLINK("http://service.sap.com/sap/support/notes/1825669","1825669")</f>
        <v>1825669</v>
      </c>
      <c r="E2141">
        <v>1</v>
      </c>
      <c r="F2141" t="s">
        <v>2438</v>
      </c>
    </row>
    <row r="2142" spans="1:6" x14ac:dyDescent="0.25">
      <c r="A2142" t="s">
        <v>2369</v>
      </c>
      <c r="B2142" t="s">
        <v>570</v>
      </c>
      <c r="C2142" t="s">
        <v>128</v>
      </c>
      <c r="D2142" t="str">
        <f>HYPERLINK("http://service.sap.com/sap/support/notes/1795096","1795096")</f>
        <v>1795096</v>
      </c>
      <c r="E2142">
        <v>1</v>
      </c>
      <c r="F2142" t="s">
        <v>2439</v>
      </c>
    </row>
    <row r="2143" spans="1:6" x14ac:dyDescent="0.25">
      <c r="A2143" t="s">
        <v>2369</v>
      </c>
      <c r="B2143" t="s">
        <v>570</v>
      </c>
      <c r="C2143" t="s">
        <v>128</v>
      </c>
      <c r="D2143" t="str">
        <f>HYPERLINK("http://service.sap.com/sap/support/notes/1814967","1814967")</f>
        <v>1814967</v>
      </c>
      <c r="E2143">
        <v>3</v>
      </c>
      <c r="F2143" t="s">
        <v>2440</v>
      </c>
    </row>
    <row r="2144" spans="1:6" x14ac:dyDescent="0.25">
      <c r="A2144" t="s">
        <v>2369</v>
      </c>
      <c r="B2144" t="s">
        <v>114</v>
      </c>
      <c r="C2144" t="s">
        <v>115</v>
      </c>
      <c r="D2144" t="str">
        <f>HYPERLINK("http://service.sap.com/sap/support/notes/1802311","1802311")</f>
        <v>1802311</v>
      </c>
      <c r="E2144">
        <v>2</v>
      </c>
      <c r="F2144" t="s">
        <v>1647</v>
      </c>
    </row>
    <row r="2145" spans="1:6" x14ac:dyDescent="0.25">
      <c r="A2145" t="s">
        <v>2369</v>
      </c>
      <c r="B2145" t="s">
        <v>114</v>
      </c>
      <c r="C2145" t="s">
        <v>115</v>
      </c>
      <c r="D2145" t="str">
        <f>HYPERLINK("http://service.sap.com/sap/support/notes/1807133","1807133")</f>
        <v>1807133</v>
      </c>
      <c r="E2145">
        <v>1</v>
      </c>
      <c r="F2145" t="s">
        <v>2441</v>
      </c>
    </row>
    <row r="2146" spans="1:6" x14ac:dyDescent="0.25">
      <c r="A2146" t="s">
        <v>2369</v>
      </c>
      <c r="B2146" t="s">
        <v>114</v>
      </c>
      <c r="C2146" t="s">
        <v>115</v>
      </c>
      <c r="D2146" t="str">
        <f>HYPERLINK("http://service.sap.com/sap/support/notes/1808081","1808081")</f>
        <v>1808081</v>
      </c>
      <c r="E2146">
        <v>2</v>
      </c>
      <c r="F2146" t="s">
        <v>2442</v>
      </c>
    </row>
    <row r="2147" spans="1:6" x14ac:dyDescent="0.25">
      <c r="A2147" t="s">
        <v>2369</v>
      </c>
      <c r="B2147" t="s">
        <v>114</v>
      </c>
      <c r="C2147" t="s">
        <v>115</v>
      </c>
      <c r="D2147" t="str">
        <f>HYPERLINK("http://service.sap.com/sap/support/notes/1816096","1816096")</f>
        <v>1816096</v>
      </c>
      <c r="E2147">
        <v>1</v>
      </c>
      <c r="F2147" t="s">
        <v>2443</v>
      </c>
    </row>
    <row r="2148" spans="1:6" x14ac:dyDescent="0.25">
      <c r="A2148" t="s">
        <v>2369</v>
      </c>
      <c r="B2148" t="s">
        <v>114</v>
      </c>
      <c r="C2148" t="s">
        <v>115</v>
      </c>
      <c r="D2148" t="str">
        <f>HYPERLINK("http://service.sap.com/sap/support/notes/1817276","1817276")</f>
        <v>1817276</v>
      </c>
      <c r="E2148">
        <v>1</v>
      </c>
      <c r="F2148" t="s">
        <v>2444</v>
      </c>
    </row>
    <row r="2149" spans="1:6" x14ac:dyDescent="0.25">
      <c r="A2149" t="s">
        <v>2369</v>
      </c>
      <c r="B2149" t="s">
        <v>114</v>
      </c>
      <c r="C2149" t="s">
        <v>115</v>
      </c>
      <c r="D2149" t="str">
        <f>HYPERLINK("http://service.sap.com/sap/support/notes/1820159","1820159")</f>
        <v>1820159</v>
      </c>
      <c r="E2149">
        <v>2</v>
      </c>
      <c r="F2149" t="s">
        <v>2445</v>
      </c>
    </row>
    <row r="2150" spans="1:6" x14ac:dyDescent="0.25">
      <c r="A2150" t="s">
        <v>2369</v>
      </c>
      <c r="B2150" t="s">
        <v>114</v>
      </c>
      <c r="C2150" t="s">
        <v>115</v>
      </c>
      <c r="D2150" t="str">
        <f>HYPERLINK("http://service.sap.com/sap/support/notes/1821121","1821121")</f>
        <v>1821121</v>
      </c>
      <c r="E2150">
        <v>1</v>
      </c>
      <c r="F2150" t="s">
        <v>2446</v>
      </c>
    </row>
    <row r="2151" spans="1:6" x14ac:dyDescent="0.25">
      <c r="A2151" t="s">
        <v>2369</v>
      </c>
      <c r="B2151" t="s">
        <v>114</v>
      </c>
      <c r="C2151" t="s">
        <v>115</v>
      </c>
      <c r="D2151" t="str">
        <f>HYPERLINK("http://service.sap.com/sap/support/notes/1823884","1823884")</f>
        <v>1823884</v>
      </c>
      <c r="E2151">
        <v>2</v>
      </c>
      <c r="F2151" t="s">
        <v>2447</v>
      </c>
    </row>
    <row r="2152" spans="1:6" x14ac:dyDescent="0.25">
      <c r="A2152" t="s">
        <v>2369</v>
      </c>
      <c r="B2152" t="s">
        <v>685</v>
      </c>
      <c r="C2152" t="s">
        <v>686</v>
      </c>
      <c r="D2152" t="str">
        <f>HYPERLINK("http://service.sap.com/sap/support/notes/1584852","1584852")</f>
        <v>1584852</v>
      </c>
      <c r="E2152">
        <v>2</v>
      </c>
      <c r="F2152" t="s">
        <v>2448</v>
      </c>
    </row>
    <row r="2153" spans="1:6" x14ac:dyDescent="0.25">
      <c r="A2153" t="s">
        <v>2369</v>
      </c>
      <c r="B2153" t="s">
        <v>685</v>
      </c>
      <c r="C2153" t="s">
        <v>686</v>
      </c>
      <c r="D2153" t="str">
        <f>HYPERLINK("http://service.sap.com/sap/support/notes/1768985","1768985")</f>
        <v>1768985</v>
      </c>
      <c r="E2153">
        <v>2</v>
      </c>
      <c r="F2153" t="s">
        <v>2449</v>
      </c>
    </row>
    <row r="2154" spans="1:6" x14ac:dyDescent="0.25">
      <c r="A2154" t="s">
        <v>2369</v>
      </c>
      <c r="B2154" t="s">
        <v>127</v>
      </c>
      <c r="C2154" t="s">
        <v>128</v>
      </c>
      <c r="D2154" t="str">
        <f>HYPERLINK("http://service.sap.com/sap/support/notes/1795575","1795575")</f>
        <v>1795575</v>
      </c>
      <c r="E2154">
        <v>1</v>
      </c>
      <c r="F2154" t="s">
        <v>2450</v>
      </c>
    </row>
    <row r="2155" spans="1:6" x14ac:dyDescent="0.25">
      <c r="A2155" t="s">
        <v>2369</v>
      </c>
      <c r="B2155" t="s">
        <v>127</v>
      </c>
      <c r="C2155" t="s">
        <v>128</v>
      </c>
      <c r="D2155" t="str">
        <f>HYPERLINK("http://service.sap.com/sap/support/notes/1807018","1807018")</f>
        <v>1807018</v>
      </c>
      <c r="E2155">
        <v>3</v>
      </c>
      <c r="F2155" t="s">
        <v>2451</v>
      </c>
    </row>
    <row r="2156" spans="1:6" x14ac:dyDescent="0.25">
      <c r="A2156" t="s">
        <v>2369</v>
      </c>
      <c r="B2156" t="s">
        <v>127</v>
      </c>
      <c r="C2156" t="s">
        <v>128</v>
      </c>
      <c r="D2156" t="str">
        <f>HYPERLINK("http://service.sap.com/sap/support/notes/1815511","1815511")</f>
        <v>1815511</v>
      </c>
      <c r="E2156">
        <v>4</v>
      </c>
      <c r="F2156" t="s">
        <v>2452</v>
      </c>
    </row>
    <row r="2157" spans="1:6" x14ac:dyDescent="0.25">
      <c r="A2157" t="s">
        <v>2369</v>
      </c>
      <c r="B2157" t="s">
        <v>127</v>
      </c>
      <c r="C2157" t="s">
        <v>128</v>
      </c>
      <c r="D2157" t="str">
        <f>HYPERLINK("http://service.sap.com/sap/support/notes/1816085","1816085")</f>
        <v>1816085</v>
      </c>
      <c r="E2157">
        <v>1</v>
      </c>
      <c r="F2157" t="s">
        <v>2453</v>
      </c>
    </row>
    <row r="2158" spans="1:6" x14ac:dyDescent="0.25">
      <c r="A2158" t="s">
        <v>2369</v>
      </c>
      <c r="B2158" t="s">
        <v>127</v>
      </c>
      <c r="C2158" t="s">
        <v>128</v>
      </c>
      <c r="D2158" t="str">
        <f>HYPERLINK("http://service.sap.com/sap/support/notes/1821066","1821066")</f>
        <v>1821066</v>
      </c>
      <c r="E2158">
        <v>2</v>
      </c>
      <c r="F2158" t="s">
        <v>2454</v>
      </c>
    </row>
    <row r="2159" spans="1:6" x14ac:dyDescent="0.25">
      <c r="A2159" t="s">
        <v>2369</v>
      </c>
      <c r="B2159" t="s">
        <v>131</v>
      </c>
      <c r="C2159" t="s">
        <v>132</v>
      </c>
      <c r="D2159" t="str">
        <f>HYPERLINK("http://service.sap.com/sap/support/notes/1809635","1809635")</f>
        <v>1809635</v>
      </c>
      <c r="E2159">
        <v>2</v>
      </c>
      <c r="F2159" t="s">
        <v>2455</v>
      </c>
    </row>
    <row r="2160" spans="1:6" x14ac:dyDescent="0.25">
      <c r="A2160" t="s">
        <v>2369</v>
      </c>
      <c r="B2160" t="s">
        <v>131</v>
      </c>
      <c r="C2160" t="s">
        <v>132</v>
      </c>
      <c r="D2160" t="str">
        <f>HYPERLINK("http://service.sap.com/sap/support/notes/1814349","1814349")</f>
        <v>1814349</v>
      </c>
      <c r="E2160">
        <v>2</v>
      </c>
      <c r="F2160" t="s">
        <v>2456</v>
      </c>
    </row>
    <row r="2161" spans="1:6" x14ac:dyDescent="0.25">
      <c r="A2161" t="s">
        <v>2369</v>
      </c>
      <c r="B2161" t="s">
        <v>131</v>
      </c>
      <c r="C2161" t="s">
        <v>132</v>
      </c>
      <c r="D2161" t="str">
        <f>HYPERLINK("http://service.sap.com/sap/support/notes/1814949","1814949")</f>
        <v>1814949</v>
      </c>
      <c r="E2161">
        <v>4</v>
      </c>
      <c r="F2161" t="s">
        <v>2457</v>
      </c>
    </row>
    <row r="2162" spans="1:6" x14ac:dyDescent="0.25">
      <c r="A2162" t="s">
        <v>2369</v>
      </c>
      <c r="B2162" t="s">
        <v>131</v>
      </c>
      <c r="C2162" t="s">
        <v>132</v>
      </c>
      <c r="D2162" t="str">
        <f>HYPERLINK("http://service.sap.com/sap/support/notes/1815123","1815123")</f>
        <v>1815123</v>
      </c>
      <c r="E2162">
        <v>3</v>
      </c>
      <c r="F2162" t="s">
        <v>2458</v>
      </c>
    </row>
    <row r="2163" spans="1:6" x14ac:dyDescent="0.25">
      <c r="A2163" t="s">
        <v>2369</v>
      </c>
      <c r="B2163" t="s">
        <v>131</v>
      </c>
      <c r="C2163" t="s">
        <v>132</v>
      </c>
      <c r="D2163" t="str">
        <f>HYPERLINK("http://service.sap.com/sap/support/notes/1815256","1815256")</f>
        <v>1815256</v>
      </c>
      <c r="E2163">
        <v>1</v>
      </c>
      <c r="F2163" t="s">
        <v>2459</v>
      </c>
    </row>
    <row r="2164" spans="1:6" x14ac:dyDescent="0.25">
      <c r="A2164" t="s">
        <v>2369</v>
      </c>
      <c r="B2164" t="s">
        <v>131</v>
      </c>
      <c r="C2164" t="s">
        <v>132</v>
      </c>
      <c r="D2164" t="str">
        <f>HYPERLINK("http://service.sap.com/sap/support/notes/1815492","1815492")</f>
        <v>1815492</v>
      </c>
      <c r="E2164">
        <v>3</v>
      </c>
      <c r="F2164" t="s">
        <v>2460</v>
      </c>
    </row>
    <row r="2165" spans="1:6" x14ac:dyDescent="0.25">
      <c r="A2165" t="s">
        <v>2369</v>
      </c>
      <c r="B2165" t="s">
        <v>131</v>
      </c>
      <c r="C2165" t="s">
        <v>132</v>
      </c>
      <c r="D2165" t="str">
        <f>HYPERLINK("http://service.sap.com/sap/support/notes/1816419","1816419")</f>
        <v>1816419</v>
      </c>
      <c r="E2165">
        <v>2</v>
      </c>
      <c r="F2165" t="s">
        <v>2461</v>
      </c>
    </row>
    <row r="2166" spans="1:6" x14ac:dyDescent="0.25">
      <c r="A2166" t="s">
        <v>2369</v>
      </c>
      <c r="B2166" t="s">
        <v>131</v>
      </c>
      <c r="C2166" t="s">
        <v>132</v>
      </c>
      <c r="D2166" t="str">
        <f>HYPERLINK("http://service.sap.com/sap/support/notes/1816588","1816588")</f>
        <v>1816588</v>
      </c>
      <c r="E2166">
        <v>3</v>
      </c>
      <c r="F2166" t="s">
        <v>2462</v>
      </c>
    </row>
    <row r="2167" spans="1:6" x14ac:dyDescent="0.25">
      <c r="A2167" t="s">
        <v>2369</v>
      </c>
      <c r="B2167" t="s">
        <v>131</v>
      </c>
      <c r="C2167" t="s">
        <v>132</v>
      </c>
      <c r="D2167" t="str">
        <f>HYPERLINK("http://service.sap.com/sap/support/notes/1817097","1817097")</f>
        <v>1817097</v>
      </c>
      <c r="E2167">
        <v>7</v>
      </c>
      <c r="F2167" t="s">
        <v>2463</v>
      </c>
    </row>
    <row r="2168" spans="1:6" x14ac:dyDescent="0.25">
      <c r="A2168" t="s">
        <v>2369</v>
      </c>
      <c r="B2168" t="s">
        <v>131</v>
      </c>
      <c r="C2168" t="s">
        <v>132</v>
      </c>
      <c r="D2168" t="str">
        <f>HYPERLINK("http://service.sap.com/sap/support/notes/1818022","1818022")</f>
        <v>1818022</v>
      </c>
      <c r="E2168">
        <v>2</v>
      </c>
      <c r="F2168" t="s">
        <v>2464</v>
      </c>
    </row>
    <row r="2169" spans="1:6" x14ac:dyDescent="0.25">
      <c r="A2169" t="s">
        <v>2369</v>
      </c>
      <c r="B2169" t="s">
        <v>131</v>
      </c>
      <c r="C2169" t="s">
        <v>132</v>
      </c>
      <c r="D2169" t="str">
        <f>HYPERLINK("http://service.sap.com/sap/support/notes/1818795","1818795")</f>
        <v>1818795</v>
      </c>
      <c r="E2169">
        <v>2</v>
      </c>
      <c r="F2169" t="s">
        <v>2465</v>
      </c>
    </row>
    <row r="2170" spans="1:6" x14ac:dyDescent="0.25">
      <c r="A2170" t="s">
        <v>2369</v>
      </c>
      <c r="B2170" t="s">
        <v>131</v>
      </c>
      <c r="C2170" t="s">
        <v>132</v>
      </c>
      <c r="D2170" t="str">
        <f>HYPERLINK("http://service.sap.com/sap/support/notes/1819500","1819500")</f>
        <v>1819500</v>
      </c>
      <c r="E2170">
        <v>1</v>
      </c>
      <c r="F2170" t="s">
        <v>687</v>
      </c>
    </row>
    <row r="2171" spans="1:6" x14ac:dyDescent="0.25">
      <c r="A2171" t="s">
        <v>2369</v>
      </c>
      <c r="B2171" t="s">
        <v>131</v>
      </c>
      <c r="C2171" t="s">
        <v>132</v>
      </c>
      <c r="D2171" t="str">
        <f>HYPERLINK("http://service.sap.com/sap/support/notes/1819567","1819567")</f>
        <v>1819567</v>
      </c>
      <c r="E2171">
        <v>2</v>
      </c>
      <c r="F2171" t="s">
        <v>2466</v>
      </c>
    </row>
    <row r="2172" spans="1:6" x14ac:dyDescent="0.25">
      <c r="A2172" t="s">
        <v>2369</v>
      </c>
      <c r="B2172" t="s">
        <v>131</v>
      </c>
      <c r="C2172" t="s">
        <v>132</v>
      </c>
      <c r="D2172" t="str">
        <f>HYPERLINK("http://service.sap.com/sap/support/notes/1819573","1819573")</f>
        <v>1819573</v>
      </c>
      <c r="E2172">
        <v>2</v>
      </c>
      <c r="F2172" t="s">
        <v>2467</v>
      </c>
    </row>
    <row r="2173" spans="1:6" x14ac:dyDescent="0.25">
      <c r="A2173" t="s">
        <v>2369</v>
      </c>
      <c r="B2173" t="s">
        <v>131</v>
      </c>
      <c r="C2173" t="s">
        <v>132</v>
      </c>
      <c r="D2173" t="str">
        <f>HYPERLINK("http://service.sap.com/sap/support/notes/1819657","1819657")</f>
        <v>1819657</v>
      </c>
      <c r="E2173">
        <v>1</v>
      </c>
      <c r="F2173" t="s">
        <v>2468</v>
      </c>
    </row>
    <row r="2174" spans="1:6" x14ac:dyDescent="0.25">
      <c r="A2174" t="s">
        <v>2369</v>
      </c>
      <c r="B2174" t="s">
        <v>131</v>
      </c>
      <c r="C2174" t="s">
        <v>132</v>
      </c>
      <c r="D2174" t="str">
        <f>HYPERLINK("http://service.sap.com/sap/support/notes/1819854","1819854")</f>
        <v>1819854</v>
      </c>
      <c r="E2174">
        <v>1</v>
      </c>
      <c r="F2174" t="s">
        <v>2469</v>
      </c>
    </row>
    <row r="2175" spans="1:6" x14ac:dyDescent="0.25">
      <c r="A2175" t="s">
        <v>2369</v>
      </c>
      <c r="B2175" t="s">
        <v>131</v>
      </c>
      <c r="C2175" t="s">
        <v>132</v>
      </c>
      <c r="D2175" t="str">
        <f>HYPERLINK("http://service.sap.com/sap/support/notes/1820196","1820196")</f>
        <v>1820196</v>
      </c>
      <c r="E2175">
        <v>1</v>
      </c>
      <c r="F2175" t="s">
        <v>2470</v>
      </c>
    </row>
    <row r="2176" spans="1:6" x14ac:dyDescent="0.25">
      <c r="A2176" t="s">
        <v>2369</v>
      </c>
      <c r="B2176" t="s">
        <v>131</v>
      </c>
      <c r="C2176" t="s">
        <v>132</v>
      </c>
      <c r="D2176" t="str">
        <f>HYPERLINK("http://service.sap.com/sap/support/notes/1820859","1820859")</f>
        <v>1820859</v>
      </c>
      <c r="E2176">
        <v>2</v>
      </c>
      <c r="F2176" t="s">
        <v>2471</v>
      </c>
    </row>
    <row r="2177" spans="1:6" x14ac:dyDescent="0.25">
      <c r="A2177" t="s">
        <v>2369</v>
      </c>
      <c r="B2177" t="s">
        <v>131</v>
      </c>
      <c r="C2177" t="s">
        <v>132</v>
      </c>
      <c r="D2177" t="str">
        <f>HYPERLINK("http://service.sap.com/sap/support/notes/1821898","1821898")</f>
        <v>1821898</v>
      </c>
      <c r="E2177">
        <v>3</v>
      </c>
      <c r="F2177" t="s">
        <v>2472</v>
      </c>
    </row>
    <row r="2178" spans="1:6" x14ac:dyDescent="0.25">
      <c r="A2178" t="s">
        <v>2369</v>
      </c>
      <c r="B2178" t="s">
        <v>131</v>
      </c>
      <c r="C2178" t="s">
        <v>132</v>
      </c>
      <c r="D2178" t="str">
        <f>HYPERLINK("http://service.sap.com/sap/support/notes/1822559","1822559")</f>
        <v>1822559</v>
      </c>
      <c r="E2178">
        <v>2</v>
      </c>
      <c r="F2178" t="s">
        <v>2473</v>
      </c>
    </row>
    <row r="2179" spans="1:6" x14ac:dyDescent="0.25">
      <c r="A2179" t="s">
        <v>2369</v>
      </c>
      <c r="B2179" t="s">
        <v>131</v>
      </c>
      <c r="C2179" t="s">
        <v>132</v>
      </c>
      <c r="D2179" t="str">
        <f>HYPERLINK("http://service.sap.com/sap/support/notes/1822961","1822961")</f>
        <v>1822961</v>
      </c>
      <c r="E2179">
        <v>1</v>
      </c>
      <c r="F2179" t="s">
        <v>2474</v>
      </c>
    </row>
    <row r="2180" spans="1:6" x14ac:dyDescent="0.25">
      <c r="A2180" t="s">
        <v>2369</v>
      </c>
      <c r="B2180" t="s">
        <v>131</v>
      </c>
      <c r="C2180" t="s">
        <v>132</v>
      </c>
      <c r="D2180" t="str">
        <f>HYPERLINK("http://service.sap.com/sap/support/notes/1824207","1824207")</f>
        <v>1824207</v>
      </c>
      <c r="E2180">
        <v>3</v>
      </c>
      <c r="F2180" t="s">
        <v>2475</v>
      </c>
    </row>
    <row r="2181" spans="1:6" x14ac:dyDescent="0.25">
      <c r="A2181" t="s">
        <v>2369</v>
      </c>
      <c r="B2181" t="s">
        <v>131</v>
      </c>
      <c r="C2181" t="s">
        <v>132</v>
      </c>
      <c r="D2181" t="str">
        <f>HYPERLINK("http://service.sap.com/sap/support/notes/1824336","1824336")</f>
        <v>1824336</v>
      </c>
      <c r="E2181">
        <v>2</v>
      </c>
      <c r="F2181" t="s">
        <v>2476</v>
      </c>
    </row>
    <row r="2182" spans="1:6" x14ac:dyDescent="0.25">
      <c r="A2182" t="s">
        <v>2369</v>
      </c>
      <c r="B2182" t="s">
        <v>131</v>
      </c>
      <c r="C2182" t="s">
        <v>132</v>
      </c>
      <c r="D2182" t="str">
        <f>HYPERLINK("http://service.sap.com/sap/support/notes/1824699","1824699")</f>
        <v>1824699</v>
      </c>
      <c r="E2182">
        <v>3</v>
      </c>
      <c r="F2182" t="s">
        <v>2477</v>
      </c>
    </row>
    <row r="2183" spans="1:6" x14ac:dyDescent="0.25">
      <c r="A2183" t="s">
        <v>2369</v>
      </c>
      <c r="B2183" t="s">
        <v>131</v>
      </c>
      <c r="C2183" t="s">
        <v>132</v>
      </c>
      <c r="D2183" t="str">
        <f>HYPERLINK("http://service.sap.com/sap/support/notes/1825846","1825846")</f>
        <v>1825846</v>
      </c>
      <c r="E2183">
        <v>2</v>
      </c>
      <c r="F2183" t="s">
        <v>2478</v>
      </c>
    </row>
    <row r="2184" spans="1:6" x14ac:dyDescent="0.25">
      <c r="A2184" t="s">
        <v>2369</v>
      </c>
      <c r="B2184" t="s">
        <v>144</v>
      </c>
      <c r="C2184" t="s">
        <v>145</v>
      </c>
      <c r="D2184" t="str">
        <f>HYPERLINK("http://service.sap.com/sap/support/notes/1653872","1653872")</f>
        <v>1653872</v>
      </c>
      <c r="E2184">
        <v>4</v>
      </c>
      <c r="F2184" t="s">
        <v>2479</v>
      </c>
    </row>
    <row r="2185" spans="1:6" x14ac:dyDescent="0.25">
      <c r="A2185" t="s">
        <v>2369</v>
      </c>
      <c r="B2185" t="s">
        <v>144</v>
      </c>
      <c r="C2185" t="s">
        <v>145</v>
      </c>
      <c r="D2185" t="str">
        <f>HYPERLINK("http://service.sap.com/sap/support/notes/1655293","1655293")</f>
        <v>1655293</v>
      </c>
      <c r="E2185">
        <v>3</v>
      </c>
      <c r="F2185" t="s">
        <v>2480</v>
      </c>
    </row>
    <row r="2186" spans="1:6" x14ac:dyDescent="0.25">
      <c r="A2186" t="s">
        <v>2369</v>
      </c>
      <c r="B2186" t="s">
        <v>144</v>
      </c>
      <c r="C2186" t="s">
        <v>145</v>
      </c>
      <c r="D2186" t="str">
        <f>HYPERLINK("http://service.sap.com/sap/support/notes/1774322","1774322")</f>
        <v>1774322</v>
      </c>
      <c r="E2186">
        <v>3</v>
      </c>
      <c r="F2186" t="s">
        <v>2481</v>
      </c>
    </row>
    <row r="2187" spans="1:6" x14ac:dyDescent="0.25">
      <c r="A2187" t="s">
        <v>2369</v>
      </c>
      <c r="B2187" t="s">
        <v>144</v>
      </c>
      <c r="C2187" t="s">
        <v>145</v>
      </c>
      <c r="D2187" t="str">
        <f>HYPERLINK("http://service.sap.com/sap/support/notes/1816321","1816321")</f>
        <v>1816321</v>
      </c>
      <c r="E2187">
        <v>4</v>
      </c>
      <c r="F2187" t="s">
        <v>2482</v>
      </c>
    </row>
    <row r="2188" spans="1:6" x14ac:dyDescent="0.25">
      <c r="A2188" t="s">
        <v>2369</v>
      </c>
      <c r="B2188" t="s">
        <v>144</v>
      </c>
      <c r="C2188" t="s">
        <v>145</v>
      </c>
      <c r="D2188" t="str">
        <f>HYPERLINK("http://service.sap.com/sap/support/notes/1819388","1819388")</f>
        <v>1819388</v>
      </c>
      <c r="E2188">
        <v>3</v>
      </c>
      <c r="F2188" t="s">
        <v>2483</v>
      </c>
    </row>
    <row r="2189" spans="1:6" x14ac:dyDescent="0.25">
      <c r="A2189" t="s">
        <v>2369</v>
      </c>
      <c r="B2189" t="s">
        <v>150</v>
      </c>
      <c r="C2189" t="s">
        <v>151</v>
      </c>
    </row>
    <row r="2190" spans="1:6" x14ac:dyDescent="0.25">
      <c r="A2190" t="s">
        <v>2369</v>
      </c>
      <c r="B2190" t="s">
        <v>155</v>
      </c>
      <c r="C2190" t="s">
        <v>156</v>
      </c>
      <c r="D2190" t="str">
        <f>HYPERLINK("http://service.sap.com/sap/support/notes/1768322","1768322")</f>
        <v>1768322</v>
      </c>
      <c r="E2190">
        <v>2</v>
      </c>
      <c r="F2190" t="s">
        <v>2484</v>
      </c>
    </row>
    <row r="2191" spans="1:6" x14ac:dyDescent="0.25">
      <c r="A2191" t="s">
        <v>2369</v>
      </c>
      <c r="B2191" t="s">
        <v>155</v>
      </c>
      <c r="C2191" t="s">
        <v>156</v>
      </c>
      <c r="D2191" t="str">
        <f>HYPERLINK("http://service.sap.com/sap/support/notes/1807084","1807084")</f>
        <v>1807084</v>
      </c>
      <c r="E2191">
        <v>2</v>
      </c>
      <c r="F2191" t="s">
        <v>2485</v>
      </c>
    </row>
    <row r="2192" spans="1:6" x14ac:dyDescent="0.25">
      <c r="A2192" t="s">
        <v>2369</v>
      </c>
      <c r="B2192" t="s">
        <v>155</v>
      </c>
      <c r="C2192" t="s">
        <v>156</v>
      </c>
      <c r="D2192" t="str">
        <f>HYPERLINK("http://service.sap.com/sap/support/notes/1814229","1814229")</f>
        <v>1814229</v>
      </c>
      <c r="E2192">
        <v>1</v>
      </c>
      <c r="F2192" t="s">
        <v>2486</v>
      </c>
    </row>
    <row r="2193" spans="1:6" x14ac:dyDescent="0.25">
      <c r="A2193" t="s">
        <v>2369</v>
      </c>
      <c r="B2193" t="s">
        <v>155</v>
      </c>
      <c r="C2193" t="s">
        <v>156</v>
      </c>
      <c r="D2193" t="str">
        <f>HYPERLINK("http://service.sap.com/sap/support/notes/1814356","1814356")</f>
        <v>1814356</v>
      </c>
      <c r="E2193">
        <v>4</v>
      </c>
      <c r="F2193" t="s">
        <v>2487</v>
      </c>
    </row>
    <row r="2194" spans="1:6" x14ac:dyDescent="0.25">
      <c r="A2194" t="s">
        <v>2369</v>
      </c>
      <c r="B2194" t="s">
        <v>155</v>
      </c>
      <c r="C2194" t="s">
        <v>156</v>
      </c>
      <c r="D2194" t="str">
        <f>HYPERLINK("http://service.sap.com/sap/support/notes/1815967","1815967")</f>
        <v>1815967</v>
      </c>
      <c r="E2194">
        <v>1</v>
      </c>
      <c r="F2194" t="s">
        <v>2488</v>
      </c>
    </row>
    <row r="2195" spans="1:6" x14ac:dyDescent="0.25">
      <c r="A2195" t="s">
        <v>2369</v>
      </c>
      <c r="B2195" t="s">
        <v>155</v>
      </c>
      <c r="C2195" t="s">
        <v>156</v>
      </c>
      <c r="D2195" t="str">
        <f>HYPERLINK("http://service.sap.com/sap/support/notes/1817683","1817683")</f>
        <v>1817683</v>
      </c>
      <c r="E2195">
        <v>1</v>
      </c>
      <c r="F2195" t="s">
        <v>2489</v>
      </c>
    </row>
    <row r="2196" spans="1:6" x14ac:dyDescent="0.25">
      <c r="A2196" t="s">
        <v>2369</v>
      </c>
      <c r="B2196" t="s">
        <v>155</v>
      </c>
      <c r="C2196" t="s">
        <v>156</v>
      </c>
      <c r="D2196" t="str">
        <f>HYPERLINK("http://service.sap.com/sap/support/notes/1818752","1818752")</f>
        <v>1818752</v>
      </c>
      <c r="E2196">
        <v>3</v>
      </c>
      <c r="F2196" t="s">
        <v>2490</v>
      </c>
    </row>
    <row r="2197" spans="1:6" x14ac:dyDescent="0.25">
      <c r="A2197" t="s">
        <v>2369</v>
      </c>
      <c r="B2197" t="s">
        <v>688</v>
      </c>
      <c r="C2197" t="s">
        <v>689</v>
      </c>
      <c r="D2197" t="str">
        <f>HYPERLINK("http://service.sap.com/sap/support/notes/1805543","1805543")</f>
        <v>1805543</v>
      </c>
      <c r="E2197">
        <v>2</v>
      </c>
      <c r="F2197" t="s">
        <v>2491</v>
      </c>
    </row>
    <row r="2198" spans="1:6" x14ac:dyDescent="0.25">
      <c r="A2198" t="s">
        <v>2369</v>
      </c>
      <c r="B2198" t="s">
        <v>688</v>
      </c>
      <c r="C2198" t="s">
        <v>689</v>
      </c>
      <c r="D2198" t="str">
        <f>HYPERLINK("http://service.sap.com/sap/support/notes/1815821","1815821")</f>
        <v>1815821</v>
      </c>
      <c r="E2198">
        <v>1</v>
      </c>
      <c r="F2198" t="s">
        <v>2492</v>
      </c>
    </row>
    <row r="2199" spans="1:6" x14ac:dyDescent="0.25">
      <c r="A2199" t="s">
        <v>2369</v>
      </c>
      <c r="B2199" t="s">
        <v>688</v>
      </c>
      <c r="C2199" t="s">
        <v>689</v>
      </c>
      <c r="D2199" t="str">
        <f>HYPERLINK("http://service.sap.com/sap/support/notes/1823202","1823202")</f>
        <v>1823202</v>
      </c>
      <c r="E2199">
        <v>2</v>
      </c>
      <c r="F2199" t="s">
        <v>2493</v>
      </c>
    </row>
    <row r="2200" spans="1:6" x14ac:dyDescent="0.25">
      <c r="A2200" t="s">
        <v>2369</v>
      </c>
      <c r="B2200" t="s">
        <v>159</v>
      </c>
      <c r="C2200" t="s">
        <v>160</v>
      </c>
      <c r="D2200" t="str">
        <f>HYPERLINK("http://service.sap.com/sap/support/notes/1360439","1360439")</f>
        <v>1360439</v>
      </c>
      <c r="E2200">
        <v>5</v>
      </c>
      <c r="F2200" t="s">
        <v>2494</v>
      </c>
    </row>
    <row r="2201" spans="1:6" x14ac:dyDescent="0.25">
      <c r="A2201" t="s">
        <v>2369</v>
      </c>
      <c r="B2201" t="s">
        <v>159</v>
      </c>
      <c r="C2201" t="s">
        <v>160</v>
      </c>
      <c r="D2201" t="str">
        <f>HYPERLINK("http://service.sap.com/sap/support/notes/1696443","1696443")</f>
        <v>1696443</v>
      </c>
      <c r="E2201">
        <v>1</v>
      </c>
      <c r="F2201" t="s">
        <v>2495</v>
      </c>
    </row>
    <row r="2202" spans="1:6" x14ac:dyDescent="0.25">
      <c r="A2202" t="s">
        <v>2369</v>
      </c>
      <c r="B2202" t="s">
        <v>159</v>
      </c>
      <c r="C2202" t="s">
        <v>160</v>
      </c>
      <c r="D2202" t="str">
        <f>HYPERLINK("http://service.sap.com/sap/support/notes/1706933","1706933")</f>
        <v>1706933</v>
      </c>
      <c r="E2202">
        <v>1</v>
      </c>
      <c r="F2202" t="s">
        <v>2496</v>
      </c>
    </row>
    <row r="2203" spans="1:6" x14ac:dyDescent="0.25">
      <c r="A2203" t="s">
        <v>2369</v>
      </c>
      <c r="B2203" t="s">
        <v>159</v>
      </c>
      <c r="C2203" t="s">
        <v>160</v>
      </c>
      <c r="D2203" t="str">
        <f>HYPERLINK("http://service.sap.com/sap/support/notes/1815307","1815307")</f>
        <v>1815307</v>
      </c>
      <c r="E2203">
        <v>1</v>
      </c>
      <c r="F2203" t="s">
        <v>2497</v>
      </c>
    </row>
    <row r="2204" spans="1:6" x14ac:dyDescent="0.25">
      <c r="A2204" t="s">
        <v>2369</v>
      </c>
      <c r="B2204" t="s">
        <v>159</v>
      </c>
      <c r="C2204" t="s">
        <v>160</v>
      </c>
      <c r="D2204" t="str">
        <f>HYPERLINK("http://service.sap.com/sap/support/notes/1821498","1821498")</f>
        <v>1821498</v>
      </c>
      <c r="E2204">
        <v>1</v>
      </c>
      <c r="F2204" t="s">
        <v>2498</v>
      </c>
    </row>
    <row r="2205" spans="1:6" x14ac:dyDescent="0.25">
      <c r="A2205" t="s">
        <v>2369</v>
      </c>
      <c r="B2205" t="s">
        <v>165</v>
      </c>
      <c r="C2205" t="s">
        <v>31</v>
      </c>
      <c r="D2205" t="str">
        <f>HYPERLINK("http://service.sap.com/sap/support/notes/1825788","1825788")</f>
        <v>1825788</v>
      </c>
      <c r="E2205">
        <v>1</v>
      </c>
      <c r="F2205" t="s">
        <v>2499</v>
      </c>
    </row>
    <row r="2206" spans="1:6" x14ac:dyDescent="0.25">
      <c r="A2206" t="s">
        <v>2369</v>
      </c>
      <c r="B2206" t="s">
        <v>169</v>
      </c>
      <c r="C2206" t="s">
        <v>34</v>
      </c>
      <c r="D2206" t="str">
        <f>HYPERLINK("http://service.sap.com/sap/support/notes/1809286","1809286")</f>
        <v>1809286</v>
      </c>
      <c r="E2206">
        <v>2</v>
      </c>
      <c r="F2206" t="s">
        <v>2500</v>
      </c>
    </row>
    <row r="2207" spans="1:6" x14ac:dyDescent="0.25">
      <c r="A2207" t="s">
        <v>2369</v>
      </c>
      <c r="B2207" t="s">
        <v>169</v>
      </c>
      <c r="C2207" t="s">
        <v>34</v>
      </c>
      <c r="D2207" t="str">
        <f>HYPERLINK("http://service.sap.com/sap/support/notes/1813120","1813120")</f>
        <v>1813120</v>
      </c>
      <c r="E2207">
        <v>3</v>
      </c>
      <c r="F2207" t="s">
        <v>2501</v>
      </c>
    </row>
    <row r="2208" spans="1:6" x14ac:dyDescent="0.25">
      <c r="A2208" t="s">
        <v>2369</v>
      </c>
      <c r="B2208" t="s">
        <v>169</v>
      </c>
      <c r="C2208" t="s">
        <v>34</v>
      </c>
      <c r="D2208" t="str">
        <f>HYPERLINK("http://service.sap.com/sap/support/notes/1815507","1815507")</f>
        <v>1815507</v>
      </c>
      <c r="E2208">
        <v>2</v>
      </c>
      <c r="F2208" t="s">
        <v>2502</v>
      </c>
    </row>
    <row r="2209" spans="1:6" x14ac:dyDescent="0.25">
      <c r="A2209" t="s">
        <v>2369</v>
      </c>
      <c r="B2209" t="s">
        <v>169</v>
      </c>
      <c r="C2209" t="s">
        <v>34</v>
      </c>
      <c r="D2209" t="str">
        <f>HYPERLINK("http://service.sap.com/sap/support/notes/1816612","1816612")</f>
        <v>1816612</v>
      </c>
      <c r="E2209">
        <v>1</v>
      </c>
      <c r="F2209" t="s">
        <v>2503</v>
      </c>
    </row>
    <row r="2210" spans="1:6" x14ac:dyDescent="0.25">
      <c r="A2210" t="s">
        <v>2369</v>
      </c>
      <c r="B2210" t="s">
        <v>169</v>
      </c>
      <c r="C2210" t="s">
        <v>34</v>
      </c>
      <c r="D2210" t="str">
        <f>HYPERLINK("http://service.sap.com/sap/support/notes/1817765","1817765")</f>
        <v>1817765</v>
      </c>
      <c r="E2210">
        <v>1</v>
      </c>
      <c r="F2210" t="s">
        <v>2504</v>
      </c>
    </row>
    <row r="2211" spans="1:6" x14ac:dyDescent="0.25">
      <c r="A2211" t="s">
        <v>2369</v>
      </c>
      <c r="B2211" t="s">
        <v>175</v>
      </c>
      <c r="C2211" t="s">
        <v>176</v>
      </c>
      <c r="D2211" t="str">
        <f>HYPERLINK("http://service.sap.com/sap/support/notes/1818757","1818757")</f>
        <v>1818757</v>
      </c>
      <c r="E2211">
        <v>3</v>
      </c>
      <c r="F2211" t="s">
        <v>2505</v>
      </c>
    </row>
    <row r="2212" spans="1:6" x14ac:dyDescent="0.25">
      <c r="A2212" t="s">
        <v>2369</v>
      </c>
      <c r="B2212" t="s">
        <v>177</v>
      </c>
      <c r="C2212" t="s">
        <v>178</v>
      </c>
      <c r="D2212" t="str">
        <f>HYPERLINK("http://service.sap.com/sap/support/notes/1815316","1815316")</f>
        <v>1815316</v>
      </c>
      <c r="E2212">
        <v>13</v>
      </c>
      <c r="F2212" t="s">
        <v>2506</v>
      </c>
    </row>
    <row r="2213" spans="1:6" x14ac:dyDescent="0.25">
      <c r="A2213" t="s">
        <v>2369</v>
      </c>
      <c r="B2213" t="s">
        <v>177</v>
      </c>
      <c r="C2213" t="s">
        <v>178</v>
      </c>
      <c r="D2213" t="str">
        <f>HYPERLINK("http://service.sap.com/sap/support/notes/1820665","1820665")</f>
        <v>1820665</v>
      </c>
      <c r="E2213">
        <v>1</v>
      </c>
      <c r="F2213" t="s">
        <v>2507</v>
      </c>
    </row>
    <row r="2214" spans="1:6" x14ac:dyDescent="0.25">
      <c r="A2214" t="s">
        <v>2369</v>
      </c>
      <c r="B2214" t="s">
        <v>180</v>
      </c>
      <c r="C2214" t="s">
        <v>181</v>
      </c>
      <c r="D2214" t="str">
        <f>HYPERLINK("http://service.sap.com/sap/support/notes/1818110","1818110")</f>
        <v>1818110</v>
      </c>
      <c r="E2214">
        <v>1</v>
      </c>
      <c r="F2214" t="s">
        <v>2508</v>
      </c>
    </row>
    <row r="2215" spans="1:6" x14ac:dyDescent="0.25">
      <c r="A2215" t="s">
        <v>2369</v>
      </c>
      <c r="B2215" t="s">
        <v>180</v>
      </c>
      <c r="C2215" t="s">
        <v>181</v>
      </c>
      <c r="D2215" t="str">
        <f>HYPERLINK("http://service.sap.com/sap/support/notes/1818542","1818542")</f>
        <v>1818542</v>
      </c>
      <c r="E2215">
        <v>3</v>
      </c>
      <c r="F2215" t="s">
        <v>2509</v>
      </c>
    </row>
    <row r="2216" spans="1:6" x14ac:dyDescent="0.25">
      <c r="A2216" t="s">
        <v>2369</v>
      </c>
      <c r="B2216" t="s">
        <v>183</v>
      </c>
      <c r="C2216" t="s">
        <v>184</v>
      </c>
    </row>
    <row r="2217" spans="1:6" x14ac:dyDescent="0.25">
      <c r="A2217" t="s">
        <v>2369</v>
      </c>
      <c r="B2217" t="s">
        <v>576</v>
      </c>
      <c r="C2217" t="s">
        <v>577</v>
      </c>
      <c r="D2217" t="str">
        <f>HYPERLINK("http://service.sap.com/sap/support/notes/1798889","1798889")</f>
        <v>1798889</v>
      </c>
      <c r="E2217">
        <v>2</v>
      </c>
      <c r="F2217" t="s">
        <v>2510</v>
      </c>
    </row>
    <row r="2218" spans="1:6" x14ac:dyDescent="0.25">
      <c r="A2218" t="s">
        <v>2369</v>
      </c>
      <c r="B2218" t="s">
        <v>576</v>
      </c>
      <c r="C2218" t="s">
        <v>577</v>
      </c>
      <c r="D2218" t="str">
        <f>HYPERLINK("http://service.sap.com/sap/support/notes/1814685","1814685")</f>
        <v>1814685</v>
      </c>
      <c r="E2218">
        <v>2</v>
      </c>
      <c r="F2218" t="s">
        <v>2511</v>
      </c>
    </row>
    <row r="2219" spans="1:6" x14ac:dyDescent="0.25">
      <c r="A2219" t="s">
        <v>2369</v>
      </c>
      <c r="B2219" t="s">
        <v>576</v>
      </c>
      <c r="C2219" t="s">
        <v>577</v>
      </c>
      <c r="D2219" t="str">
        <f>HYPERLINK("http://service.sap.com/sap/support/notes/1815336","1815336")</f>
        <v>1815336</v>
      </c>
      <c r="E2219">
        <v>1</v>
      </c>
      <c r="F2219" t="s">
        <v>2512</v>
      </c>
    </row>
    <row r="2220" spans="1:6" x14ac:dyDescent="0.25">
      <c r="A2220" t="s">
        <v>2369</v>
      </c>
      <c r="B2220" t="s">
        <v>576</v>
      </c>
      <c r="C2220" t="s">
        <v>577</v>
      </c>
      <c r="D2220" t="str">
        <f>HYPERLINK("http://service.sap.com/sap/support/notes/1820272","1820272")</f>
        <v>1820272</v>
      </c>
      <c r="E2220">
        <v>1</v>
      </c>
      <c r="F2220" t="s">
        <v>2513</v>
      </c>
    </row>
    <row r="2221" spans="1:6" x14ac:dyDescent="0.25">
      <c r="A2221" t="s">
        <v>2369</v>
      </c>
      <c r="B2221" t="s">
        <v>1522</v>
      </c>
      <c r="C2221" t="s">
        <v>1523</v>
      </c>
      <c r="D2221" t="str">
        <f>HYPERLINK("http://service.sap.com/sap/support/notes/1806331","1806331")</f>
        <v>1806331</v>
      </c>
      <c r="E2221">
        <v>1</v>
      </c>
      <c r="F2221" t="s">
        <v>2514</v>
      </c>
    </row>
    <row r="2222" spans="1:6" x14ac:dyDescent="0.25">
      <c r="A2222" t="s">
        <v>2369</v>
      </c>
      <c r="B2222" t="s">
        <v>1522</v>
      </c>
      <c r="C2222" t="s">
        <v>1523</v>
      </c>
      <c r="D2222" t="str">
        <f>HYPERLINK("http://service.sap.com/sap/support/notes/1811568","1811568")</f>
        <v>1811568</v>
      </c>
      <c r="E2222">
        <v>2</v>
      </c>
      <c r="F2222" t="s">
        <v>2515</v>
      </c>
    </row>
    <row r="2223" spans="1:6" x14ac:dyDescent="0.25">
      <c r="A2223" t="s">
        <v>2369</v>
      </c>
      <c r="B2223" t="s">
        <v>1522</v>
      </c>
      <c r="C2223" t="s">
        <v>1523</v>
      </c>
      <c r="D2223" t="str">
        <f>HYPERLINK("http://service.sap.com/sap/support/notes/1812722","1812722")</f>
        <v>1812722</v>
      </c>
      <c r="E2223">
        <v>2</v>
      </c>
      <c r="F2223" t="s">
        <v>2516</v>
      </c>
    </row>
    <row r="2224" spans="1:6" x14ac:dyDescent="0.25">
      <c r="A2224" t="s">
        <v>2369</v>
      </c>
      <c r="B2224" t="s">
        <v>1522</v>
      </c>
      <c r="C2224" t="s">
        <v>1523</v>
      </c>
      <c r="D2224" t="str">
        <f>HYPERLINK("http://service.sap.com/sap/support/notes/1813372","1813372")</f>
        <v>1813372</v>
      </c>
      <c r="E2224">
        <v>1</v>
      </c>
      <c r="F2224" t="s">
        <v>2517</v>
      </c>
    </row>
    <row r="2225" spans="1:6" x14ac:dyDescent="0.25">
      <c r="A2225" t="s">
        <v>2369</v>
      </c>
      <c r="B2225" t="s">
        <v>1522</v>
      </c>
      <c r="C2225" t="s">
        <v>1523</v>
      </c>
      <c r="D2225" t="str">
        <f>HYPERLINK("http://service.sap.com/sap/support/notes/1819826","1819826")</f>
        <v>1819826</v>
      </c>
      <c r="E2225">
        <v>2</v>
      </c>
      <c r="F2225" t="s">
        <v>2518</v>
      </c>
    </row>
    <row r="2226" spans="1:6" x14ac:dyDescent="0.25">
      <c r="A2226" t="s">
        <v>2369</v>
      </c>
      <c r="B2226" t="s">
        <v>1522</v>
      </c>
      <c r="C2226" t="s">
        <v>1523</v>
      </c>
      <c r="D2226" t="str">
        <f>HYPERLINK("http://service.sap.com/sap/support/notes/1820926","1820926")</f>
        <v>1820926</v>
      </c>
      <c r="E2226">
        <v>1</v>
      </c>
      <c r="F2226" t="s">
        <v>2519</v>
      </c>
    </row>
    <row r="2227" spans="1:6" x14ac:dyDescent="0.25">
      <c r="A2227" t="s">
        <v>2369</v>
      </c>
      <c r="B2227" t="s">
        <v>1522</v>
      </c>
      <c r="C2227" t="s">
        <v>1523</v>
      </c>
      <c r="D2227" t="str">
        <f>HYPERLINK("http://service.sap.com/sap/support/notes/1822021","1822021")</f>
        <v>1822021</v>
      </c>
      <c r="E2227">
        <v>2</v>
      </c>
      <c r="F2227" t="s">
        <v>2520</v>
      </c>
    </row>
    <row r="2228" spans="1:6" x14ac:dyDescent="0.25">
      <c r="A2228" t="s">
        <v>2369</v>
      </c>
      <c r="B2228" t="s">
        <v>185</v>
      </c>
      <c r="C2228" t="s">
        <v>186</v>
      </c>
      <c r="D2228" t="str">
        <f>HYPERLINK("http://service.sap.com/sap/support/notes/1815227","1815227")</f>
        <v>1815227</v>
      </c>
      <c r="E2228">
        <v>1</v>
      </c>
      <c r="F2228" t="s">
        <v>2521</v>
      </c>
    </row>
    <row r="2229" spans="1:6" x14ac:dyDescent="0.25">
      <c r="A2229" t="s">
        <v>2369</v>
      </c>
      <c r="B2229" t="s">
        <v>185</v>
      </c>
      <c r="C2229" t="s">
        <v>186</v>
      </c>
      <c r="D2229" t="str">
        <f>HYPERLINK("http://service.sap.com/sap/support/notes/1818088","1818088")</f>
        <v>1818088</v>
      </c>
      <c r="E2229">
        <v>3</v>
      </c>
      <c r="F2229" t="s">
        <v>2522</v>
      </c>
    </row>
    <row r="2230" spans="1:6" x14ac:dyDescent="0.25">
      <c r="A2230" t="s">
        <v>2369</v>
      </c>
      <c r="B2230" t="s">
        <v>185</v>
      </c>
      <c r="C2230" t="s">
        <v>186</v>
      </c>
      <c r="D2230" t="str">
        <f>HYPERLINK("http://service.sap.com/sap/support/notes/1825676","1825676")</f>
        <v>1825676</v>
      </c>
      <c r="E2230">
        <v>1</v>
      </c>
      <c r="F2230" t="s">
        <v>2523</v>
      </c>
    </row>
    <row r="2231" spans="1:6" x14ac:dyDescent="0.25">
      <c r="A2231" t="s">
        <v>2369</v>
      </c>
      <c r="B2231" t="s">
        <v>191</v>
      </c>
      <c r="C2231" t="s">
        <v>192</v>
      </c>
      <c r="D2231" t="str">
        <f>HYPERLINK("http://service.sap.com/sap/support/notes/1810207","1810207")</f>
        <v>1810207</v>
      </c>
      <c r="E2231">
        <v>3</v>
      </c>
      <c r="F2231" t="s">
        <v>2524</v>
      </c>
    </row>
    <row r="2232" spans="1:6" x14ac:dyDescent="0.25">
      <c r="A2232" t="s">
        <v>2369</v>
      </c>
      <c r="B2232" t="s">
        <v>191</v>
      </c>
      <c r="C2232" t="s">
        <v>192</v>
      </c>
      <c r="D2232" t="str">
        <f>HYPERLINK("http://service.sap.com/sap/support/notes/1813387","1813387")</f>
        <v>1813387</v>
      </c>
      <c r="E2232">
        <v>3</v>
      </c>
      <c r="F2232" t="s">
        <v>2525</v>
      </c>
    </row>
    <row r="2233" spans="1:6" x14ac:dyDescent="0.25">
      <c r="A2233" t="s">
        <v>2369</v>
      </c>
      <c r="B2233" t="s">
        <v>191</v>
      </c>
      <c r="C2233" t="s">
        <v>192</v>
      </c>
      <c r="D2233" t="str">
        <f>HYPERLINK("http://service.sap.com/sap/support/notes/1821217","1821217")</f>
        <v>1821217</v>
      </c>
      <c r="E2233">
        <v>4</v>
      </c>
      <c r="F2233" t="s">
        <v>2526</v>
      </c>
    </row>
    <row r="2234" spans="1:6" x14ac:dyDescent="0.25">
      <c r="A2234" t="s">
        <v>2369</v>
      </c>
      <c r="B2234" t="s">
        <v>195</v>
      </c>
      <c r="C2234" t="s">
        <v>196</v>
      </c>
    </row>
    <row r="2235" spans="1:6" x14ac:dyDescent="0.25">
      <c r="A2235" t="s">
        <v>2369</v>
      </c>
      <c r="B2235" t="s">
        <v>197</v>
      </c>
      <c r="C2235" t="s">
        <v>198</v>
      </c>
      <c r="D2235" t="str">
        <f>HYPERLINK("http://service.sap.com/sap/support/notes/1820119","1820119")</f>
        <v>1820119</v>
      </c>
      <c r="E2235">
        <v>1</v>
      </c>
      <c r="F2235" t="s">
        <v>2527</v>
      </c>
    </row>
    <row r="2236" spans="1:6" x14ac:dyDescent="0.25">
      <c r="A2236" t="s">
        <v>2369</v>
      </c>
      <c r="B2236" t="s">
        <v>197</v>
      </c>
      <c r="C2236" t="s">
        <v>198</v>
      </c>
      <c r="D2236" t="str">
        <f>HYPERLINK("http://service.sap.com/sap/support/notes/1822991","1822991")</f>
        <v>1822991</v>
      </c>
      <c r="E2236">
        <v>2</v>
      </c>
      <c r="F2236" t="s">
        <v>2528</v>
      </c>
    </row>
    <row r="2237" spans="1:6" x14ac:dyDescent="0.25">
      <c r="A2237" t="s">
        <v>2369</v>
      </c>
      <c r="B2237" t="s">
        <v>201</v>
      </c>
      <c r="C2237" t="s">
        <v>202</v>
      </c>
      <c r="D2237" t="str">
        <f>HYPERLINK("http://service.sap.com/sap/support/notes/1808431","1808431")</f>
        <v>1808431</v>
      </c>
      <c r="E2237">
        <v>1</v>
      </c>
      <c r="F2237" t="s">
        <v>2529</v>
      </c>
    </row>
    <row r="2238" spans="1:6" x14ac:dyDescent="0.25">
      <c r="A2238" t="s">
        <v>2369</v>
      </c>
      <c r="B2238" t="s">
        <v>201</v>
      </c>
      <c r="C2238" t="s">
        <v>202</v>
      </c>
      <c r="D2238" t="str">
        <f>HYPERLINK("http://service.sap.com/sap/support/notes/1814609","1814609")</f>
        <v>1814609</v>
      </c>
      <c r="E2238">
        <v>3</v>
      </c>
      <c r="F2238" t="s">
        <v>2530</v>
      </c>
    </row>
    <row r="2239" spans="1:6" x14ac:dyDescent="0.25">
      <c r="A2239" t="s">
        <v>2369</v>
      </c>
      <c r="B2239" t="s">
        <v>201</v>
      </c>
      <c r="C2239" t="s">
        <v>202</v>
      </c>
      <c r="D2239" t="str">
        <f>HYPERLINK("http://service.sap.com/sap/support/notes/1816555","1816555")</f>
        <v>1816555</v>
      </c>
      <c r="E2239">
        <v>1</v>
      </c>
      <c r="F2239" t="s">
        <v>2531</v>
      </c>
    </row>
    <row r="2240" spans="1:6" x14ac:dyDescent="0.25">
      <c r="A2240" t="s">
        <v>2369</v>
      </c>
      <c r="B2240" t="s">
        <v>201</v>
      </c>
      <c r="C2240" t="s">
        <v>202</v>
      </c>
      <c r="D2240" t="str">
        <f>HYPERLINK("http://service.sap.com/sap/support/notes/1820391","1820391")</f>
        <v>1820391</v>
      </c>
      <c r="E2240">
        <v>1</v>
      </c>
      <c r="F2240" t="s">
        <v>2532</v>
      </c>
    </row>
    <row r="2241" spans="1:6" x14ac:dyDescent="0.25">
      <c r="A2241" t="s">
        <v>2369</v>
      </c>
      <c r="B2241" t="s">
        <v>201</v>
      </c>
      <c r="C2241" t="s">
        <v>202</v>
      </c>
      <c r="D2241" t="str">
        <f>HYPERLINK("http://service.sap.com/sap/support/notes/1824467","1824467")</f>
        <v>1824467</v>
      </c>
      <c r="E2241">
        <v>1</v>
      </c>
      <c r="F2241" t="s">
        <v>2533</v>
      </c>
    </row>
    <row r="2242" spans="1:6" x14ac:dyDescent="0.25">
      <c r="A2242" t="s">
        <v>2369</v>
      </c>
      <c r="B2242" t="s">
        <v>204</v>
      </c>
      <c r="C2242" t="s">
        <v>205</v>
      </c>
      <c r="D2242" t="str">
        <f>HYPERLINK("http://service.sap.com/sap/support/notes/1812234","1812234")</f>
        <v>1812234</v>
      </c>
      <c r="E2242">
        <v>2</v>
      </c>
      <c r="F2242" t="s">
        <v>2534</v>
      </c>
    </row>
    <row r="2243" spans="1:6" x14ac:dyDescent="0.25">
      <c r="A2243" t="s">
        <v>2369</v>
      </c>
      <c r="B2243" t="s">
        <v>204</v>
      </c>
      <c r="C2243" t="s">
        <v>205</v>
      </c>
      <c r="D2243" t="str">
        <f>HYPERLINK("http://service.sap.com/sap/support/notes/1817754","1817754")</f>
        <v>1817754</v>
      </c>
      <c r="E2243">
        <v>3</v>
      </c>
      <c r="F2243" t="s">
        <v>2535</v>
      </c>
    </row>
    <row r="2244" spans="1:6" x14ac:dyDescent="0.25">
      <c r="A2244" t="s">
        <v>2369</v>
      </c>
      <c r="B2244" t="s">
        <v>204</v>
      </c>
      <c r="C2244" t="s">
        <v>205</v>
      </c>
      <c r="D2244" t="str">
        <f>HYPERLINK("http://service.sap.com/sap/support/notes/1820109","1820109")</f>
        <v>1820109</v>
      </c>
      <c r="E2244">
        <v>2</v>
      </c>
      <c r="F2244" t="s">
        <v>2536</v>
      </c>
    </row>
    <row r="2245" spans="1:6" x14ac:dyDescent="0.25">
      <c r="A2245" t="s">
        <v>2369</v>
      </c>
      <c r="B2245" t="s">
        <v>211</v>
      </c>
      <c r="C2245" t="s">
        <v>128</v>
      </c>
      <c r="D2245" t="str">
        <f>HYPERLINK("http://service.sap.com/sap/support/notes/1794584","1794584")</f>
        <v>1794584</v>
      </c>
      <c r="E2245">
        <v>1</v>
      </c>
      <c r="F2245" t="s">
        <v>1733</v>
      </c>
    </row>
    <row r="2246" spans="1:6" x14ac:dyDescent="0.25">
      <c r="A2246" t="s">
        <v>2369</v>
      </c>
      <c r="B2246" t="s">
        <v>211</v>
      </c>
      <c r="C2246" t="s">
        <v>128</v>
      </c>
      <c r="D2246" t="str">
        <f>HYPERLINK("http://service.sap.com/sap/support/notes/1806400","1806400")</f>
        <v>1806400</v>
      </c>
      <c r="E2246">
        <v>1</v>
      </c>
      <c r="F2246" t="s">
        <v>2152</v>
      </c>
    </row>
    <row r="2247" spans="1:6" x14ac:dyDescent="0.25">
      <c r="A2247" t="s">
        <v>2369</v>
      </c>
      <c r="B2247" t="s">
        <v>211</v>
      </c>
      <c r="C2247" t="s">
        <v>128</v>
      </c>
      <c r="D2247" t="str">
        <f>HYPERLINK("http://service.sap.com/sap/support/notes/1813364","1813364")</f>
        <v>1813364</v>
      </c>
      <c r="E2247">
        <v>1</v>
      </c>
      <c r="F2247" t="s">
        <v>2537</v>
      </c>
    </row>
    <row r="2248" spans="1:6" x14ac:dyDescent="0.25">
      <c r="A2248" t="s">
        <v>2369</v>
      </c>
      <c r="B2248" t="s">
        <v>211</v>
      </c>
      <c r="C2248" t="s">
        <v>128</v>
      </c>
      <c r="D2248" t="str">
        <f>HYPERLINK("http://service.sap.com/sap/support/notes/1816234","1816234")</f>
        <v>1816234</v>
      </c>
      <c r="E2248">
        <v>1</v>
      </c>
      <c r="F2248" t="s">
        <v>2538</v>
      </c>
    </row>
    <row r="2249" spans="1:6" x14ac:dyDescent="0.25">
      <c r="A2249" t="s">
        <v>2369</v>
      </c>
      <c r="B2249" t="s">
        <v>211</v>
      </c>
      <c r="C2249" t="s">
        <v>128</v>
      </c>
      <c r="D2249" t="str">
        <f>HYPERLINK("http://service.sap.com/sap/support/notes/1816772","1816772")</f>
        <v>1816772</v>
      </c>
      <c r="E2249">
        <v>2</v>
      </c>
      <c r="F2249" t="s">
        <v>2539</v>
      </c>
    </row>
    <row r="2250" spans="1:6" x14ac:dyDescent="0.25">
      <c r="A2250" t="s">
        <v>2369</v>
      </c>
      <c r="B2250" t="s">
        <v>211</v>
      </c>
      <c r="C2250" t="s">
        <v>128</v>
      </c>
      <c r="D2250" t="str">
        <f>HYPERLINK("http://service.sap.com/sap/support/notes/1817578","1817578")</f>
        <v>1817578</v>
      </c>
      <c r="E2250">
        <v>7</v>
      </c>
      <c r="F2250" t="s">
        <v>2540</v>
      </c>
    </row>
    <row r="2251" spans="1:6" x14ac:dyDescent="0.25">
      <c r="A2251" t="s">
        <v>2369</v>
      </c>
      <c r="B2251" t="s">
        <v>211</v>
      </c>
      <c r="C2251" t="s">
        <v>128</v>
      </c>
      <c r="D2251" t="str">
        <f>HYPERLINK("http://service.sap.com/sap/support/notes/1820631","1820631")</f>
        <v>1820631</v>
      </c>
      <c r="E2251">
        <v>1</v>
      </c>
      <c r="F2251" t="s">
        <v>2541</v>
      </c>
    </row>
    <row r="2252" spans="1:6" x14ac:dyDescent="0.25">
      <c r="A2252" t="s">
        <v>2369</v>
      </c>
      <c r="B2252" t="s">
        <v>221</v>
      </c>
      <c r="C2252" t="s">
        <v>222</v>
      </c>
      <c r="D2252" t="str">
        <f>HYPERLINK("http://service.sap.com/sap/support/notes/1808428","1808428")</f>
        <v>1808428</v>
      </c>
      <c r="E2252">
        <v>2</v>
      </c>
      <c r="F2252" t="s">
        <v>2542</v>
      </c>
    </row>
    <row r="2253" spans="1:6" x14ac:dyDescent="0.25">
      <c r="A2253" t="s">
        <v>2369</v>
      </c>
      <c r="B2253" t="s">
        <v>221</v>
      </c>
      <c r="C2253" t="s">
        <v>222</v>
      </c>
      <c r="D2253" t="str">
        <f>HYPERLINK("http://service.sap.com/sap/support/notes/1810620","1810620")</f>
        <v>1810620</v>
      </c>
      <c r="E2253">
        <v>1</v>
      </c>
      <c r="F2253" t="s">
        <v>2543</v>
      </c>
    </row>
    <row r="2254" spans="1:6" x14ac:dyDescent="0.25">
      <c r="A2254" t="s">
        <v>2369</v>
      </c>
      <c r="B2254" t="s">
        <v>221</v>
      </c>
      <c r="C2254" t="s">
        <v>222</v>
      </c>
      <c r="D2254" t="str">
        <f>HYPERLINK("http://service.sap.com/sap/support/notes/1815144","1815144")</f>
        <v>1815144</v>
      </c>
      <c r="E2254">
        <v>2</v>
      </c>
      <c r="F2254" t="s">
        <v>2544</v>
      </c>
    </row>
    <row r="2255" spans="1:6" x14ac:dyDescent="0.25">
      <c r="A2255" t="s">
        <v>2369</v>
      </c>
      <c r="B2255" t="s">
        <v>221</v>
      </c>
      <c r="C2255" t="s">
        <v>222</v>
      </c>
      <c r="D2255" t="str">
        <f>HYPERLINK("http://service.sap.com/sap/support/notes/1817013","1817013")</f>
        <v>1817013</v>
      </c>
      <c r="E2255">
        <v>1</v>
      </c>
      <c r="F2255" t="s">
        <v>2545</v>
      </c>
    </row>
    <row r="2256" spans="1:6" x14ac:dyDescent="0.25">
      <c r="A2256" t="s">
        <v>2369</v>
      </c>
      <c r="B2256" t="s">
        <v>221</v>
      </c>
      <c r="C2256" t="s">
        <v>222</v>
      </c>
      <c r="D2256" t="str">
        <f>HYPERLINK("http://service.sap.com/sap/support/notes/1817331","1817331")</f>
        <v>1817331</v>
      </c>
      <c r="E2256">
        <v>2</v>
      </c>
      <c r="F2256" t="s">
        <v>2546</v>
      </c>
    </row>
    <row r="2257" spans="1:6" x14ac:dyDescent="0.25">
      <c r="A2257" t="s">
        <v>2369</v>
      </c>
      <c r="B2257" t="s">
        <v>221</v>
      </c>
      <c r="C2257" t="s">
        <v>222</v>
      </c>
      <c r="D2257" t="str">
        <f>HYPERLINK("http://service.sap.com/sap/support/notes/1819325","1819325")</f>
        <v>1819325</v>
      </c>
      <c r="E2257">
        <v>1</v>
      </c>
      <c r="F2257" t="s">
        <v>2547</v>
      </c>
    </row>
    <row r="2258" spans="1:6" x14ac:dyDescent="0.25">
      <c r="A2258" t="s">
        <v>2369</v>
      </c>
      <c r="B2258" t="s">
        <v>221</v>
      </c>
      <c r="C2258" t="s">
        <v>222</v>
      </c>
      <c r="D2258" t="str">
        <f>HYPERLINK("http://service.sap.com/sap/support/notes/1820647","1820647")</f>
        <v>1820647</v>
      </c>
      <c r="E2258">
        <v>1</v>
      </c>
      <c r="F2258" t="s">
        <v>2548</v>
      </c>
    </row>
    <row r="2259" spans="1:6" x14ac:dyDescent="0.25">
      <c r="A2259" t="s">
        <v>2369</v>
      </c>
      <c r="B2259" t="s">
        <v>221</v>
      </c>
      <c r="C2259" t="s">
        <v>222</v>
      </c>
      <c r="D2259" t="str">
        <f>HYPERLINK("http://service.sap.com/sap/support/notes/1824568","1824568")</f>
        <v>1824568</v>
      </c>
      <c r="E2259">
        <v>1</v>
      </c>
      <c r="F2259" t="s">
        <v>2549</v>
      </c>
    </row>
    <row r="2260" spans="1:6" x14ac:dyDescent="0.25">
      <c r="A2260" t="s">
        <v>2369</v>
      </c>
      <c r="B2260" t="s">
        <v>586</v>
      </c>
      <c r="C2260" t="s">
        <v>587</v>
      </c>
      <c r="D2260" t="str">
        <f>HYPERLINK("http://service.sap.com/sap/support/notes/1784327","1784327")</f>
        <v>1784327</v>
      </c>
      <c r="E2260">
        <v>5</v>
      </c>
      <c r="F2260" t="s">
        <v>2550</v>
      </c>
    </row>
    <row r="2261" spans="1:6" x14ac:dyDescent="0.25">
      <c r="A2261" t="s">
        <v>2369</v>
      </c>
      <c r="B2261" t="s">
        <v>586</v>
      </c>
      <c r="C2261" t="s">
        <v>587</v>
      </c>
      <c r="D2261" t="str">
        <f>HYPERLINK("http://service.sap.com/sap/support/notes/1810387","1810387")</f>
        <v>1810387</v>
      </c>
      <c r="E2261">
        <v>3</v>
      </c>
      <c r="F2261" t="s">
        <v>2551</v>
      </c>
    </row>
    <row r="2262" spans="1:6" x14ac:dyDescent="0.25">
      <c r="A2262" t="s">
        <v>2369</v>
      </c>
      <c r="B2262" t="s">
        <v>586</v>
      </c>
      <c r="C2262" t="s">
        <v>587</v>
      </c>
      <c r="D2262" t="str">
        <f>HYPERLINK("http://service.sap.com/sap/support/notes/1822597","1822597")</f>
        <v>1822597</v>
      </c>
      <c r="E2262">
        <v>2</v>
      </c>
      <c r="F2262" t="s">
        <v>2552</v>
      </c>
    </row>
    <row r="2263" spans="1:6" x14ac:dyDescent="0.25">
      <c r="A2263" t="s">
        <v>2369</v>
      </c>
      <c r="B2263" t="s">
        <v>586</v>
      </c>
      <c r="C2263" t="s">
        <v>587</v>
      </c>
      <c r="D2263" t="str">
        <f>HYPERLINK("http://service.sap.com/sap/support/notes/1824209","1824209")</f>
        <v>1824209</v>
      </c>
      <c r="E2263">
        <v>1</v>
      </c>
      <c r="F2263" t="s">
        <v>2553</v>
      </c>
    </row>
    <row r="2264" spans="1:6" x14ac:dyDescent="0.25">
      <c r="A2264" t="s">
        <v>2369</v>
      </c>
      <c r="B2264" t="s">
        <v>224</v>
      </c>
      <c r="C2264" t="s">
        <v>156</v>
      </c>
    </row>
    <row r="2265" spans="1:6" x14ac:dyDescent="0.25">
      <c r="A2265" t="s">
        <v>2369</v>
      </c>
      <c r="B2265" t="s">
        <v>225</v>
      </c>
      <c r="C2265" t="s">
        <v>226</v>
      </c>
      <c r="D2265" t="str">
        <f>HYPERLINK("http://service.sap.com/sap/support/notes/1797682","1797682")</f>
        <v>1797682</v>
      </c>
      <c r="E2265">
        <v>1</v>
      </c>
      <c r="F2265" t="s">
        <v>2554</v>
      </c>
    </row>
    <row r="2266" spans="1:6" x14ac:dyDescent="0.25">
      <c r="A2266" t="s">
        <v>2369</v>
      </c>
      <c r="B2266" t="s">
        <v>225</v>
      </c>
      <c r="C2266" t="s">
        <v>226</v>
      </c>
      <c r="D2266" t="str">
        <f>HYPERLINK("http://service.sap.com/sap/support/notes/1807496","1807496")</f>
        <v>1807496</v>
      </c>
      <c r="E2266">
        <v>1</v>
      </c>
      <c r="F2266" t="s">
        <v>2555</v>
      </c>
    </row>
    <row r="2267" spans="1:6" x14ac:dyDescent="0.25">
      <c r="A2267" t="s">
        <v>2369</v>
      </c>
      <c r="B2267" t="s">
        <v>225</v>
      </c>
      <c r="C2267" t="s">
        <v>226</v>
      </c>
      <c r="D2267" t="str">
        <f>HYPERLINK("http://service.sap.com/sap/support/notes/1814595","1814595")</f>
        <v>1814595</v>
      </c>
      <c r="E2267">
        <v>1</v>
      </c>
      <c r="F2267" t="s">
        <v>2556</v>
      </c>
    </row>
    <row r="2268" spans="1:6" x14ac:dyDescent="0.25">
      <c r="A2268" t="s">
        <v>2369</v>
      </c>
      <c r="B2268" t="s">
        <v>225</v>
      </c>
      <c r="C2268" t="s">
        <v>226</v>
      </c>
      <c r="D2268" t="str">
        <f>HYPERLINK("http://service.sap.com/sap/support/notes/1818102","1818102")</f>
        <v>1818102</v>
      </c>
      <c r="E2268">
        <v>2</v>
      </c>
      <c r="F2268" t="s">
        <v>2557</v>
      </c>
    </row>
    <row r="2269" spans="1:6" x14ac:dyDescent="0.25">
      <c r="A2269" t="s">
        <v>2369</v>
      </c>
      <c r="B2269" t="s">
        <v>229</v>
      </c>
      <c r="C2269" t="s">
        <v>230</v>
      </c>
      <c r="D2269" t="str">
        <f>HYPERLINK("http://service.sap.com/sap/support/notes/1738203","1738203")</f>
        <v>1738203</v>
      </c>
      <c r="E2269">
        <v>6</v>
      </c>
      <c r="F2269" t="s">
        <v>2558</v>
      </c>
    </row>
    <row r="2270" spans="1:6" x14ac:dyDescent="0.25">
      <c r="A2270" t="s">
        <v>2369</v>
      </c>
      <c r="B2270" t="s">
        <v>229</v>
      </c>
      <c r="C2270" t="s">
        <v>230</v>
      </c>
      <c r="D2270" t="str">
        <f>HYPERLINK("http://service.sap.com/sap/support/notes/1749004","1749004")</f>
        <v>1749004</v>
      </c>
      <c r="E2270">
        <v>3</v>
      </c>
      <c r="F2270" t="s">
        <v>2559</v>
      </c>
    </row>
    <row r="2271" spans="1:6" x14ac:dyDescent="0.25">
      <c r="A2271" t="s">
        <v>2369</v>
      </c>
      <c r="B2271" t="s">
        <v>229</v>
      </c>
      <c r="C2271" t="s">
        <v>230</v>
      </c>
      <c r="D2271" t="str">
        <f>HYPERLINK("http://service.sap.com/sap/support/notes/1765472","1765472")</f>
        <v>1765472</v>
      </c>
      <c r="E2271">
        <v>2</v>
      </c>
      <c r="F2271" t="s">
        <v>2560</v>
      </c>
    </row>
    <row r="2272" spans="1:6" x14ac:dyDescent="0.25">
      <c r="A2272" t="s">
        <v>2369</v>
      </c>
      <c r="B2272" t="s">
        <v>229</v>
      </c>
      <c r="C2272" t="s">
        <v>230</v>
      </c>
      <c r="D2272" t="str">
        <f>HYPERLINK("http://service.sap.com/sap/support/notes/1765713","1765713")</f>
        <v>1765713</v>
      </c>
      <c r="E2272">
        <v>1</v>
      </c>
      <c r="F2272" t="s">
        <v>1178</v>
      </c>
    </row>
    <row r="2273" spans="1:6" x14ac:dyDescent="0.25">
      <c r="A2273" t="s">
        <v>2369</v>
      </c>
      <c r="B2273" t="s">
        <v>229</v>
      </c>
      <c r="C2273" t="s">
        <v>230</v>
      </c>
      <c r="D2273" t="str">
        <f>HYPERLINK("http://service.sap.com/sap/support/notes/1770422","1770422")</f>
        <v>1770422</v>
      </c>
      <c r="E2273">
        <v>2</v>
      </c>
      <c r="F2273" t="s">
        <v>2561</v>
      </c>
    </row>
    <row r="2274" spans="1:6" x14ac:dyDescent="0.25">
      <c r="A2274" t="s">
        <v>2369</v>
      </c>
      <c r="B2274" t="s">
        <v>229</v>
      </c>
      <c r="C2274" t="s">
        <v>230</v>
      </c>
      <c r="D2274" t="str">
        <f>HYPERLINK("http://service.sap.com/sap/support/notes/1771780","1771780")</f>
        <v>1771780</v>
      </c>
      <c r="E2274">
        <v>2</v>
      </c>
      <c r="F2274" t="s">
        <v>2562</v>
      </c>
    </row>
    <row r="2275" spans="1:6" x14ac:dyDescent="0.25">
      <c r="A2275" t="s">
        <v>2369</v>
      </c>
      <c r="B2275" t="s">
        <v>229</v>
      </c>
      <c r="C2275" t="s">
        <v>230</v>
      </c>
      <c r="D2275" t="str">
        <f>HYPERLINK("http://service.sap.com/sap/support/notes/1773170","1773170")</f>
        <v>1773170</v>
      </c>
      <c r="E2275">
        <v>1</v>
      </c>
      <c r="F2275" t="s">
        <v>1184</v>
      </c>
    </row>
    <row r="2276" spans="1:6" x14ac:dyDescent="0.25">
      <c r="A2276" t="s">
        <v>2369</v>
      </c>
      <c r="B2276" t="s">
        <v>229</v>
      </c>
      <c r="C2276" t="s">
        <v>230</v>
      </c>
      <c r="D2276" t="str">
        <f>HYPERLINK("http://service.sap.com/sap/support/notes/1785754","1785754")</f>
        <v>1785754</v>
      </c>
      <c r="E2276">
        <v>2</v>
      </c>
      <c r="F2276" t="s">
        <v>2563</v>
      </c>
    </row>
    <row r="2277" spans="1:6" x14ac:dyDescent="0.25">
      <c r="A2277" t="s">
        <v>2369</v>
      </c>
      <c r="B2277" t="s">
        <v>229</v>
      </c>
      <c r="C2277" t="s">
        <v>230</v>
      </c>
      <c r="D2277" t="str">
        <f>HYPERLINK("http://service.sap.com/sap/support/notes/1786925","1786925")</f>
        <v>1786925</v>
      </c>
      <c r="E2277">
        <v>1</v>
      </c>
      <c r="F2277" t="s">
        <v>2564</v>
      </c>
    </row>
    <row r="2278" spans="1:6" x14ac:dyDescent="0.25">
      <c r="A2278" t="s">
        <v>2369</v>
      </c>
      <c r="B2278" t="s">
        <v>229</v>
      </c>
      <c r="C2278" t="s">
        <v>230</v>
      </c>
      <c r="D2278" t="str">
        <f>HYPERLINK("http://service.sap.com/sap/support/notes/1789238","1789238")</f>
        <v>1789238</v>
      </c>
      <c r="E2278">
        <v>4</v>
      </c>
      <c r="F2278" t="s">
        <v>2565</v>
      </c>
    </row>
    <row r="2279" spans="1:6" x14ac:dyDescent="0.25">
      <c r="A2279" t="s">
        <v>2369</v>
      </c>
      <c r="B2279" t="s">
        <v>229</v>
      </c>
      <c r="C2279" t="s">
        <v>230</v>
      </c>
      <c r="D2279" t="str">
        <f>HYPERLINK("http://service.sap.com/sap/support/notes/1796452","1796452")</f>
        <v>1796452</v>
      </c>
      <c r="E2279">
        <v>2</v>
      </c>
      <c r="F2279" t="s">
        <v>2566</v>
      </c>
    </row>
    <row r="2280" spans="1:6" x14ac:dyDescent="0.25">
      <c r="A2280" t="s">
        <v>2369</v>
      </c>
      <c r="B2280" t="s">
        <v>229</v>
      </c>
      <c r="C2280" t="s">
        <v>230</v>
      </c>
      <c r="D2280" t="str">
        <f>HYPERLINK("http://service.sap.com/sap/support/notes/1799646","1799646")</f>
        <v>1799646</v>
      </c>
      <c r="E2280">
        <v>3</v>
      </c>
      <c r="F2280" t="s">
        <v>2567</v>
      </c>
    </row>
    <row r="2281" spans="1:6" x14ac:dyDescent="0.25">
      <c r="A2281" t="s">
        <v>2369</v>
      </c>
      <c r="B2281" t="s">
        <v>229</v>
      </c>
      <c r="C2281" t="s">
        <v>230</v>
      </c>
      <c r="D2281" t="str">
        <f>HYPERLINK("http://service.sap.com/sap/support/notes/1800259","1800259")</f>
        <v>1800259</v>
      </c>
      <c r="E2281">
        <v>3</v>
      </c>
      <c r="F2281" t="s">
        <v>2568</v>
      </c>
    </row>
    <row r="2282" spans="1:6" x14ac:dyDescent="0.25">
      <c r="A2282" t="s">
        <v>2369</v>
      </c>
      <c r="B2282" t="s">
        <v>229</v>
      </c>
      <c r="C2282" t="s">
        <v>230</v>
      </c>
      <c r="D2282" t="str">
        <f>HYPERLINK("http://service.sap.com/sap/support/notes/1801392","1801392")</f>
        <v>1801392</v>
      </c>
      <c r="E2282">
        <v>2</v>
      </c>
      <c r="F2282" t="s">
        <v>2569</v>
      </c>
    </row>
    <row r="2283" spans="1:6" x14ac:dyDescent="0.25">
      <c r="A2283" t="s">
        <v>2369</v>
      </c>
      <c r="B2283" t="s">
        <v>229</v>
      </c>
      <c r="C2283" t="s">
        <v>230</v>
      </c>
      <c r="D2283" t="str">
        <f>HYPERLINK("http://service.sap.com/sap/support/notes/1806139","1806139")</f>
        <v>1806139</v>
      </c>
      <c r="E2283">
        <v>3</v>
      </c>
      <c r="F2283" t="s">
        <v>2570</v>
      </c>
    </row>
    <row r="2284" spans="1:6" x14ac:dyDescent="0.25">
      <c r="A2284" t="s">
        <v>2369</v>
      </c>
      <c r="B2284" t="s">
        <v>229</v>
      </c>
      <c r="C2284" t="s">
        <v>230</v>
      </c>
      <c r="D2284" t="str">
        <f>HYPERLINK("http://service.sap.com/sap/support/notes/1806486","1806486")</f>
        <v>1806486</v>
      </c>
      <c r="E2284">
        <v>2</v>
      </c>
      <c r="F2284" t="s">
        <v>2571</v>
      </c>
    </row>
    <row r="2285" spans="1:6" x14ac:dyDescent="0.25">
      <c r="A2285" t="s">
        <v>2369</v>
      </c>
      <c r="B2285" t="s">
        <v>229</v>
      </c>
      <c r="C2285" t="s">
        <v>230</v>
      </c>
      <c r="D2285" t="str">
        <f>HYPERLINK("http://service.sap.com/sap/support/notes/1808548","1808548")</f>
        <v>1808548</v>
      </c>
      <c r="E2285">
        <v>6</v>
      </c>
      <c r="F2285" t="s">
        <v>2572</v>
      </c>
    </row>
    <row r="2286" spans="1:6" x14ac:dyDescent="0.25">
      <c r="A2286" t="s">
        <v>2369</v>
      </c>
      <c r="B2286" t="s">
        <v>229</v>
      </c>
      <c r="C2286" t="s">
        <v>230</v>
      </c>
      <c r="D2286" t="str">
        <f>HYPERLINK("http://service.sap.com/sap/support/notes/1811319","1811319")</f>
        <v>1811319</v>
      </c>
      <c r="E2286">
        <v>3</v>
      </c>
      <c r="F2286" t="s">
        <v>2573</v>
      </c>
    </row>
    <row r="2287" spans="1:6" x14ac:dyDescent="0.25">
      <c r="A2287" t="s">
        <v>2369</v>
      </c>
      <c r="B2287" t="s">
        <v>229</v>
      </c>
      <c r="C2287" t="s">
        <v>230</v>
      </c>
      <c r="D2287" t="str">
        <f>HYPERLINK("http://service.sap.com/sap/support/notes/1812735","1812735")</f>
        <v>1812735</v>
      </c>
      <c r="E2287">
        <v>2</v>
      </c>
      <c r="F2287" t="s">
        <v>2574</v>
      </c>
    </row>
    <row r="2288" spans="1:6" x14ac:dyDescent="0.25">
      <c r="A2288" t="s">
        <v>2369</v>
      </c>
      <c r="B2288" t="s">
        <v>229</v>
      </c>
      <c r="C2288" t="s">
        <v>230</v>
      </c>
      <c r="D2288" t="str">
        <f>HYPERLINK("http://service.sap.com/sap/support/notes/1813016","1813016")</f>
        <v>1813016</v>
      </c>
      <c r="E2288">
        <v>2</v>
      </c>
      <c r="F2288" t="s">
        <v>2575</v>
      </c>
    </row>
    <row r="2289" spans="1:6" x14ac:dyDescent="0.25">
      <c r="A2289" t="s">
        <v>2369</v>
      </c>
      <c r="B2289" t="s">
        <v>229</v>
      </c>
      <c r="C2289" t="s">
        <v>230</v>
      </c>
      <c r="D2289" t="str">
        <f>HYPERLINK("http://service.sap.com/sap/support/notes/1814444","1814444")</f>
        <v>1814444</v>
      </c>
      <c r="E2289">
        <v>2</v>
      </c>
      <c r="F2289" t="s">
        <v>2576</v>
      </c>
    </row>
    <row r="2290" spans="1:6" x14ac:dyDescent="0.25">
      <c r="A2290" t="s">
        <v>2369</v>
      </c>
      <c r="B2290" t="s">
        <v>229</v>
      </c>
      <c r="C2290" t="s">
        <v>230</v>
      </c>
      <c r="D2290" t="str">
        <f>HYPERLINK("http://service.sap.com/sap/support/notes/1814651","1814651")</f>
        <v>1814651</v>
      </c>
      <c r="E2290">
        <v>2</v>
      </c>
      <c r="F2290" t="s">
        <v>2577</v>
      </c>
    </row>
    <row r="2291" spans="1:6" x14ac:dyDescent="0.25">
      <c r="A2291" t="s">
        <v>2369</v>
      </c>
      <c r="B2291" t="s">
        <v>229</v>
      </c>
      <c r="C2291" t="s">
        <v>230</v>
      </c>
      <c r="D2291" t="str">
        <f>HYPERLINK("http://service.sap.com/sap/support/notes/1815049","1815049")</f>
        <v>1815049</v>
      </c>
      <c r="E2291">
        <v>2</v>
      </c>
      <c r="F2291" t="s">
        <v>2578</v>
      </c>
    </row>
    <row r="2292" spans="1:6" x14ac:dyDescent="0.25">
      <c r="A2292" t="s">
        <v>2369</v>
      </c>
      <c r="B2292" t="s">
        <v>229</v>
      </c>
      <c r="C2292" t="s">
        <v>230</v>
      </c>
      <c r="D2292" t="str">
        <f>HYPERLINK("http://service.sap.com/sap/support/notes/1815955","1815955")</f>
        <v>1815955</v>
      </c>
      <c r="E2292">
        <v>3</v>
      </c>
      <c r="F2292" t="s">
        <v>2579</v>
      </c>
    </row>
    <row r="2293" spans="1:6" x14ac:dyDescent="0.25">
      <c r="A2293" t="s">
        <v>2369</v>
      </c>
      <c r="B2293" t="s">
        <v>229</v>
      </c>
      <c r="C2293" t="s">
        <v>230</v>
      </c>
      <c r="D2293" t="str">
        <f>HYPERLINK("http://service.sap.com/sap/support/notes/1817121","1817121")</f>
        <v>1817121</v>
      </c>
      <c r="E2293">
        <v>2</v>
      </c>
      <c r="F2293" t="s">
        <v>2580</v>
      </c>
    </row>
    <row r="2294" spans="1:6" x14ac:dyDescent="0.25">
      <c r="A2294" t="s">
        <v>2369</v>
      </c>
      <c r="B2294" t="s">
        <v>229</v>
      </c>
      <c r="C2294" t="s">
        <v>230</v>
      </c>
      <c r="D2294" t="str">
        <f>HYPERLINK("http://service.sap.com/sap/support/notes/1817150","1817150")</f>
        <v>1817150</v>
      </c>
      <c r="E2294">
        <v>5</v>
      </c>
      <c r="F2294" t="s">
        <v>2581</v>
      </c>
    </row>
    <row r="2295" spans="1:6" x14ac:dyDescent="0.25">
      <c r="A2295" t="s">
        <v>2369</v>
      </c>
      <c r="B2295" t="s">
        <v>229</v>
      </c>
      <c r="C2295" t="s">
        <v>230</v>
      </c>
      <c r="D2295" t="str">
        <f>HYPERLINK("http://service.sap.com/sap/support/notes/1817193","1817193")</f>
        <v>1817193</v>
      </c>
      <c r="E2295">
        <v>4</v>
      </c>
      <c r="F2295" t="s">
        <v>2582</v>
      </c>
    </row>
    <row r="2296" spans="1:6" x14ac:dyDescent="0.25">
      <c r="A2296" t="s">
        <v>2369</v>
      </c>
      <c r="B2296" t="s">
        <v>229</v>
      </c>
      <c r="C2296" t="s">
        <v>230</v>
      </c>
      <c r="D2296" t="str">
        <f>HYPERLINK("http://service.sap.com/sap/support/notes/1817210","1817210")</f>
        <v>1817210</v>
      </c>
      <c r="E2296">
        <v>3</v>
      </c>
      <c r="F2296" t="s">
        <v>2583</v>
      </c>
    </row>
    <row r="2297" spans="1:6" x14ac:dyDescent="0.25">
      <c r="A2297" t="s">
        <v>2369</v>
      </c>
      <c r="B2297" t="s">
        <v>229</v>
      </c>
      <c r="C2297" t="s">
        <v>230</v>
      </c>
      <c r="D2297" t="str">
        <f>HYPERLINK("http://service.sap.com/sap/support/notes/1817675","1817675")</f>
        <v>1817675</v>
      </c>
      <c r="E2297">
        <v>2</v>
      </c>
      <c r="F2297" t="s">
        <v>2584</v>
      </c>
    </row>
    <row r="2298" spans="1:6" x14ac:dyDescent="0.25">
      <c r="A2298" t="s">
        <v>2369</v>
      </c>
      <c r="B2298" t="s">
        <v>229</v>
      </c>
      <c r="C2298" t="s">
        <v>230</v>
      </c>
      <c r="D2298" t="str">
        <f>HYPERLINK("http://service.sap.com/sap/support/notes/1818726","1818726")</f>
        <v>1818726</v>
      </c>
      <c r="E2298">
        <v>4</v>
      </c>
      <c r="F2298" t="s">
        <v>2585</v>
      </c>
    </row>
    <row r="2299" spans="1:6" x14ac:dyDescent="0.25">
      <c r="A2299" t="s">
        <v>2369</v>
      </c>
      <c r="B2299" t="s">
        <v>229</v>
      </c>
      <c r="C2299" t="s">
        <v>230</v>
      </c>
      <c r="D2299" t="str">
        <f>HYPERLINK("http://service.sap.com/sap/support/notes/1820419","1820419")</f>
        <v>1820419</v>
      </c>
      <c r="E2299">
        <v>4</v>
      </c>
      <c r="F2299" t="s">
        <v>2586</v>
      </c>
    </row>
    <row r="2300" spans="1:6" x14ac:dyDescent="0.25">
      <c r="A2300" t="s">
        <v>2369</v>
      </c>
      <c r="B2300" t="s">
        <v>229</v>
      </c>
      <c r="C2300" t="s">
        <v>230</v>
      </c>
      <c r="D2300" t="str">
        <f>HYPERLINK("http://service.sap.com/sap/support/notes/1820872","1820872")</f>
        <v>1820872</v>
      </c>
      <c r="E2300">
        <v>2</v>
      </c>
      <c r="F2300" t="s">
        <v>2587</v>
      </c>
    </row>
    <row r="2301" spans="1:6" x14ac:dyDescent="0.25">
      <c r="A2301" t="s">
        <v>2369</v>
      </c>
      <c r="B2301" t="s">
        <v>229</v>
      </c>
      <c r="C2301" t="s">
        <v>230</v>
      </c>
      <c r="D2301" t="str">
        <f>HYPERLINK("http://service.sap.com/sap/support/notes/1821349","1821349")</f>
        <v>1821349</v>
      </c>
      <c r="E2301">
        <v>2</v>
      </c>
      <c r="F2301" t="s">
        <v>2588</v>
      </c>
    </row>
    <row r="2302" spans="1:6" x14ac:dyDescent="0.25">
      <c r="A2302" t="s">
        <v>2369</v>
      </c>
      <c r="B2302" t="s">
        <v>229</v>
      </c>
      <c r="C2302" t="s">
        <v>230</v>
      </c>
      <c r="D2302" t="str">
        <f>HYPERLINK("http://service.sap.com/sap/support/notes/1823193","1823193")</f>
        <v>1823193</v>
      </c>
      <c r="E2302">
        <v>3</v>
      </c>
      <c r="F2302" t="s">
        <v>2589</v>
      </c>
    </row>
    <row r="2303" spans="1:6" x14ac:dyDescent="0.25">
      <c r="A2303" t="s">
        <v>2369</v>
      </c>
      <c r="B2303" t="s">
        <v>229</v>
      </c>
      <c r="C2303" t="s">
        <v>230</v>
      </c>
      <c r="D2303" t="str">
        <f>HYPERLINK("http://service.sap.com/sap/support/notes/1823671","1823671")</f>
        <v>1823671</v>
      </c>
      <c r="E2303">
        <v>2</v>
      </c>
      <c r="F2303" t="s">
        <v>2590</v>
      </c>
    </row>
    <row r="2304" spans="1:6" x14ac:dyDescent="0.25">
      <c r="A2304" t="s">
        <v>2369</v>
      </c>
      <c r="B2304" t="s">
        <v>229</v>
      </c>
      <c r="C2304" t="s">
        <v>230</v>
      </c>
      <c r="D2304" t="str">
        <f>HYPERLINK("http://service.sap.com/sap/support/notes/1824132","1824132")</f>
        <v>1824132</v>
      </c>
      <c r="E2304">
        <v>4</v>
      </c>
      <c r="F2304" t="s">
        <v>2591</v>
      </c>
    </row>
    <row r="2305" spans="1:6" x14ac:dyDescent="0.25">
      <c r="A2305" t="s">
        <v>2369</v>
      </c>
      <c r="B2305" t="s">
        <v>229</v>
      </c>
      <c r="C2305" t="s">
        <v>230</v>
      </c>
      <c r="D2305" t="str">
        <f>HYPERLINK("http://service.sap.com/sap/support/notes/1824165","1824165")</f>
        <v>1824165</v>
      </c>
      <c r="E2305">
        <v>1</v>
      </c>
      <c r="F2305" t="s">
        <v>2592</v>
      </c>
    </row>
    <row r="2306" spans="1:6" x14ac:dyDescent="0.25">
      <c r="A2306" t="s">
        <v>2369</v>
      </c>
      <c r="B2306" t="s">
        <v>229</v>
      </c>
      <c r="C2306" t="s">
        <v>230</v>
      </c>
      <c r="D2306" t="str">
        <f>HYPERLINK("http://service.sap.com/sap/support/notes/1824804","1824804")</f>
        <v>1824804</v>
      </c>
      <c r="E2306">
        <v>3</v>
      </c>
      <c r="F2306" t="s">
        <v>2593</v>
      </c>
    </row>
    <row r="2307" spans="1:6" x14ac:dyDescent="0.25">
      <c r="A2307" t="s">
        <v>2369</v>
      </c>
      <c r="B2307" t="s">
        <v>260</v>
      </c>
      <c r="C2307" t="s">
        <v>37</v>
      </c>
      <c r="D2307" t="str">
        <f>HYPERLINK("http://service.sap.com/sap/support/notes/1791207","1791207")</f>
        <v>1791207</v>
      </c>
      <c r="E2307">
        <v>2</v>
      </c>
      <c r="F2307" t="s">
        <v>2594</v>
      </c>
    </row>
    <row r="2308" spans="1:6" x14ac:dyDescent="0.25">
      <c r="A2308" t="s">
        <v>2369</v>
      </c>
      <c r="B2308" t="s">
        <v>260</v>
      </c>
      <c r="C2308" t="s">
        <v>37</v>
      </c>
      <c r="D2308" t="str">
        <f>HYPERLINK("http://service.sap.com/sap/support/notes/1795901","1795901")</f>
        <v>1795901</v>
      </c>
      <c r="E2308">
        <v>1</v>
      </c>
      <c r="F2308" t="s">
        <v>2595</v>
      </c>
    </row>
    <row r="2309" spans="1:6" x14ac:dyDescent="0.25">
      <c r="A2309" t="s">
        <v>2369</v>
      </c>
      <c r="B2309" t="s">
        <v>260</v>
      </c>
      <c r="C2309" t="s">
        <v>37</v>
      </c>
      <c r="D2309" t="str">
        <f>HYPERLINK("http://service.sap.com/sap/support/notes/1807673","1807673")</f>
        <v>1807673</v>
      </c>
      <c r="E2309">
        <v>1</v>
      </c>
      <c r="F2309" t="s">
        <v>2596</v>
      </c>
    </row>
    <row r="2310" spans="1:6" x14ac:dyDescent="0.25">
      <c r="A2310" t="s">
        <v>2369</v>
      </c>
      <c r="B2310" t="s">
        <v>260</v>
      </c>
      <c r="C2310" t="s">
        <v>37</v>
      </c>
      <c r="D2310" t="str">
        <f>HYPERLINK("http://service.sap.com/sap/support/notes/1817946","1817946")</f>
        <v>1817946</v>
      </c>
      <c r="E2310">
        <v>1</v>
      </c>
      <c r="F2310" t="s">
        <v>2597</v>
      </c>
    </row>
    <row r="2311" spans="1:6" x14ac:dyDescent="0.25">
      <c r="A2311" t="s">
        <v>2369</v>
      </c>
      <c r="B2311" t="s">
        <v>260</v>
      </c>
      <c r="C2311" t="s">
        <v>37</v>
      </c>
      <c r="D2311" t="str">
        <f>HYPERLINK("http://service.sap.com/sap/support/notes/1819053","1819053")</f>
        <v>1819053</v>
      </c>
      <c r="E2311">
        <v>1</v>
      </c>
      <c r="F2311" t="s">
        <v>2598</v>
      </c>
    </row>
    <row r="2312" spans="1:6" x14ac:dyDescent="0.25">
      <c r="A2312" t="s">
        <v>2369</v>
      </c>
      <c r="B2312" t="s">
        <v>260</v>
      </c>
      <c r="C2312" t="s">
        <v>37</v>
      </c>
      <c r="D2312" t="str">
        <f>HYPERLINK("http://service.sap.com/sap/support/notes/1820218","1820218")</f>
        <v>1820218</v>
      </c>
      <c r="E2312">
        <v>1</v>
      </c>
      <c r="F2312" t="s">
        <v>2599</v>
      </c>
    </row>
    <row r="2313" spans="1:6" x14ac:dyDescent="0.25">
      <c r="A2313" t="s">
        <v>2369</v>
      </c>
      <c r="B2313" t="s">
        <v>263</v>
      </c>
      <c r="C2313" t="s">
        <v>41</v>
      </c>
      <c r="D2313" t="str">
        <f>HYPERLINK("http://service.sap.com/sap/support/notes/1784390","1784390")</f>
        <v>1784390</v>
      </c>
      <c r="E2313">
        <v>2</v>
      </c>
      <c r="F2313" t="s">
        <v>1780</v>
      </c>
    </row>
    <row r="2314" spans="1:6" x14ac:dyDescent="0.25">
      <c r="A2314" t="s">
        <v>2369</v>
      </c>
      <c r="B2314" t="s">
        <v>263</v>
      </c>
      <c r="C2314" t="s">
        <v>41</v>
      </c>
      <c r="D2314" t="str">
        <f>HYPERLINK("http://service.sap.com/sap/support/notes/1813273","1813273")</f>
        <v>1813273</v>
      </c>
      <c r="E2314">
        <v>2</v>
      </c>
      <c r="F2314" t="s">
        <v>2600</v>
      </c>
    </row>
    <row r="2315" spans="1:6" x14ac:dyDescent="0.25">
      <c r="A2315" t="s">
        <v>2369</v>
      </c>
      <c r="B2315" t="s">
        <v>263</v>
      </c>
      <c r="C2315" t="s">
        <v>41</v>
      </c>
      <c r="D2315" t="str">
        <f>HYPERLINK("http://service.sap.com/sap/support/notes/1814396","1814396")</f>
        <v>1814396</v>
      </c>
      <c r="E2315">
        <v>4</v>
      </c>
      <c r="F2315" t="s">
        <v>2601</v>
      </c>
    </row>
    <row r="2316" spans="1:6" x14ac:dyDescent="0.25">
      <c r="A2316" t="s">
        <v>2369</v>
      </c>
      <c r="B2316" t="s">
        <v>263</v>
      </c>
      <c r="C2316" t="s">
        <v>41</v>
      </c>
      <c r="D2316" t="str">
        <f>HYPERLINK("http://service.sap.com/sap/support/notes/1814988","1814988")</f>
        <v>1814988</v>
      </c>
      <c r="E2316">
        <v>3</v>
      </c>
      <c r="F2316" t="s">
        <v>2602</v>
      </c>
    </row>
    <row r="2317" spans="1:6" x14ac:dyDescent="0.25">
      <c r="A2317" t="s">
        <v>2369</v>
      </c>
      <c r="B2317" t="s">
        <v>263</v>
      </c>
      <c r="C2317" t="s">
        <v>41</v>
      </c>
      <c r="D2317" t="str">
        <f>HYPERLINK("http://service.sap.com/sap/support/notes/1815168","1815168")</f>
        <v>1815168</v>
      </c>
      <c r="E2317">
        <v>1</v>
      </c>
      <c r="F2317" t="s">
        <v>2603</v>
      </c>
    </row>
    <row r="2318" spans="1:6" x14ac:dyDescent="0.25">
      <c r="A2318" t="s">
        <v>2369</v>
      </c>
      <c r="B2318" t="s">
        <v>263</v>
      </c>
      <c r="C2318" t="s">
        <v>41</v>
      </c>
      <c r="D2318" t="str">
        <f>HYPERLINK("http://service.sap.com/sap/support/notes/1815427","1815427")</f>
        <v>1815427</v>
      </c>
      <c r="E2318">
        <v>2</v>
      </c>
      <c r="F2318" t="s">
        <v>2604</v>
      </c>
    </row>
    <row r="2319" spans="1:6" x14ac:dyDescent="0.25">
      <c r="A2319" t="s">
        <v>2369</v>
      </c>
      <c r="B2319" t="s">
        <v>263</v>
      </c>
      <c r="C2319" t="s">
        <v>41</v>
      </c>
      <c r="D2319" t="str">
        <f>HYPERLINK("http://service.sap.com/sap/support/notes/1815708","1815708")</f>
        <v>1815708</v>
      </c>
      <c r="E2319">
        <v>2</v>
      </c>
      <c r="F2319" t="s">
        <v>2605</v>
      </c>
    </row>
    <row r="2320" spans="1:6" x14ac:dyDescent="0.25">
      <c r="A2320" t="s">
        <v>2369</v>
      </c>
      <c r="B2320" t="s">
        <v>263</v>
      </c>
      <c r="C2320" t="s">
        <v>41</v>
      </c>
      <c r="D2320" t="str">
        <f>HYPERLINK("http://service.sap.com/sap/support/notes/1816196","1816196")</f>
        <v>1816196</v>
      </c>
      <c r="E2320">
        <v>3</v>
      </c>
      <c r="F2320" t="s">
        <v>2606</v>
      </c>
    </row>
    <row r="2321" spans="1:6" x14ac:dyDescent="0.25">
      <c r="A2321" t="s">
        <v>2369</v>
      </c>
      <c r="B2321" t="s">
        <v>263</v>
      </c>
      <c r="C2321" t="s">
        <v>41</v>
      </c>
      <c r="D2321" t="str">
        <f>HYPERLINK("http://service.sap.com/sap/support/notes/1816418","1816418")</f>
        <v>1816418</v>
      </c>
      <c r="E2321">
        <v>3</v>
      </c>
      <c r="F2321" t="s">
        <v>2607</v>
      </c>
    </row>
    <row r="2322" spans="1:6" x14ac:dyDescent="0.25">
      <c r="A2322" t="s">
        <v>2369</v>
      </c>
      <c r="B2322" t="s">
        <v>263</v>
      </c>
      <c r="C2322" t="s">
        <v>41</v>
      </c>
      <c r="D2322" t="str">
        <f>HYPERLINK("http://service.sap.com/sap/support/notes/1817383","1817383")</f>
        <v>1817383</v>
      </c>
      <c r="E2322">
        <v>1</v>
      </c>
      <c r="F2322" t="s">
        <v>2608</v>
      </c>
    </row>
    <row r="2323" spans="1:6" x14ac:dyDescent="0.25">
      <c r="A2323" t="s">
        <v>2369</v>
      </c>
      <c r="B2323" t="s">
        <v>263</v>
      </c>
      <c r="C2323" t="s">
        <v>41</v>
      </c>
      <c r="D2323" t="str">
        <f>HYPERLINK("http://service.sap.com/sap/support/notes/1817401","1817401")</f>
        <v>1817401</v>
      </c>
      <c r="E2323">
        <v>2</v>
      </c>
      <c r="F2323" t="s">
        <v>2609</v>
      </c>
    </row>
    <row r="2324" spans="1:6" x14ac:dyDescent="0.25">
      <c r="A2324" t="s">
        <v>2369</v>
      </c>
      <c r="B2324" t="s">
        <v>263</v>
      </c>
      <c r="C2324" t="s">
        <v>41</v>
      </c>
      <c r="D2324" t="str">
        <f>HYPERLINK("http://service.sap.com/sap/support/notes/1818009","1818009")</f>
        <v>1818009</v>
      </c>
      <c r="E2324">
        <v>2</v>
      </c>
      <c r="F2324" t="s">
        <v>2610</v>
      </c>
    </row>
    <row r="2325" spans="1:6" x14ac:dyDescent="0.25">
      <c r="A2325" t="s">
        <v>2369</v>
      </c>
      <c r="B2325" t="s">
        <v>263</v>
      </c>
      <c r="C2325" t="s">
        <v>41</v>
      </c>
      <c r="D2325" t="str">
        <f>HYPERLINK("http://service.sap.com/sap/support/notes/1818166","1818166")</f>
        <v>1818166</v>
      </c>
      <c r="E2325">
        <v>1</v>
      </c>
      <c r="F2325" t="s">
        <v>2611</v>
      </c>
    </row>
    <row r="2326" spans="1:6" x14ac:dyDescent="0.25">
      <c r="A2326" t="s">
        <v>2369</v>
      </c>
      <c r="B2326" t="s">
        <v>263</v>
      </c>
      <c r="C2326" t="s">
        <v>41</v>
      </c>
      <c r="D2326" t="str">
        <f>HYPERLINK("http://service.sap.com/sap/support/notes/1818454","1818454")</f>
        <v>1818454</v>
      </c>
      <c r="E2326">
        <v>1</v>
      </c>
      <c r="F2326" t="s">
        <v>2612</v>
      </c>
    </row>
    <row r="2327" spans="1:6" x14ac:dyDescent="0.25">
      <c r="A2327" t="s">
        <v>2369</v>
      </c>
      <c r="B2327" t="s">
        <v>263</v>
      </c>
      <c r="C2327" t="s">
        <v>41</v>
      </c>
      <c r="D2327" t="str">
        <f>HYPERLINK("http://service.sap.com/sap/support/notes/1818585","1818585")</f>
        <v>1818585</v>
      </c>
      <c r="E2327">
        <v>1</v>
      </c>
      <c r="F2327" t="s">
        <v>2613</v>
      </c>
    </row>
    <row r="2328" spans="1:6" x14ac:dyDescent="0.25">
      <c r="A2328" t="s">
        <v>2369</v>
      </c>
      <c r="B2328" t="s">
        <v>263</v>
      </c>
      <c r="C2328" t="s">
        <v>41</v>
      </c>
      <c r="D2328" t="str">
        <f>HYPERLINK("http://service.sap.com/sap/support/notes/1819351","1819351")</f>
        <v>1819351</v>
      </c>
      <c r="E2328">
        <v>2</v>
      </c>
      <c r="F2328" t="s">
        <v>2614</v>
      </c>
    </row>
    <row r="2329" spans="1:6" x14ac:dyDescent="0.25">
      <c r="A2329" t="s">
        <v>2369</v>
      </c>
      <c r="B2329" t="s">
        <v>263</v>
      </c>
      <c r="C2329" t="s">
        <v>41</v>
      </c>
      <c r="D2329" t="str">
        <f>HYPERLINK("http://service.sap.com/sap/support/notes/1819922","1819922")</f>
        <v>1819922</v>
      </c>
      <c r="E2329">
        <v>1</v>
      </c>
      <c r="F2329" t="s">
        <v>2615</v>
      </c>
    </row>
    <row r="2330" spans="1:6" x14ac:dyDescent="0.25">
      <c r="A2330" t="s">
        <v>2369</v>
      </c>
      <c r="B2330" t="s">
        <v>263</v>
      </c>
      <c r="C2330" t="s">
        <v>41</v>
      </c>
      <c r="D2330" t="str">
        <f>HYPERLINK("http://service.sap.com/sap/support/notes/1820923","1820923")</f>
        <v>1820923</v>
      </c>
      <c r="E2330">
        <v>3</v>
      </c>
      <c r="F2330" t="s">
        <v>2616</v>
      </c>
    </row>
    <row r="2331" spans="1:6" x14ac:dyDescent="0.25">
      <c r="A2331" t="s">
        <v>2369</v>
      </c>
      <c r="B2331" t="s">
        <v>263</v>
      </c>
      <c r="C2331" t="s">
        <v>41</v>
      </c>
      <c r="D2331" t="str">
        <f>HYPERLINK("http://service.sap.com/sap/support/notes/1822537","1822537")</f>
        <v>1822537</v>
      </c>
      <c r="E2331">
        <v>1</v>
      </c>
      <c r="F2331" t="s">
        <v>2617</v>
      </c>
    </row>
    <row r="2332" spans="1:6" x14ac:dyDescent="0.25">
      <c r="A2332" t="s">
        <v>2369</v>
      </c>
      <c r="B2332" t="s">
        <v>263</v>
      </c>
      <c r="C2332" t="s">
        <v>41</v>
      </c>
      <c r="D2332" t="str">
        <f>HYPERLINK("http://service.sap.com/sap/support/notes/1824108","1824108")</f>
        <v>1824108</v>
      </c>
      <c r="E2332">
        <v>1</v>
      </c>
      <c r="F2332" t="s">
        <v>2618</v>
      </c>
    </row>
    <row r="2333" spans="1:6" x14ac:dyDescent="0.25">
      <c r="A2333" t="s">
        <v>2369</v>
      </c>
      <c r="B2333" t="s">
        <v>263</v>
      </c>
      <c r="C2333" t="s">
        <v>41</v>
      </c>
      <c r="D2333" t="str">
        <f>HYPERLINK("http://service.sap.com/sap/support/notes/1824848","1824848")</f>
        <v>1824848</v>
      </c>
      <c r="E2333">
        <v>4</v>
      </c>
      <c r="F2333" t="s">
        <v>2619</v>
      </c>
    </row>
    <row r="2334" spans="1:6" x14ac:dyDescent="0.25">
      <c r="A2334" t="s">
        <v>2369</v>
      </c>
      <c r="B2334" t="s">
        <v>263</v>
      </c>
      <c r="C2334" t="s">
        <v>41</v>
      </c>
      <c r="D2334" t="str">
        <f>HYPERLINK("http://service.sap.com/sap/support/notes/1825311","1825311")</f>
        <v>1825311</v>
      </c>
      <c r="E2334">
        <v>1</v>
      </c>
      <c r="F2334" t="s">
        <v>2620</v>
      </c>
    </row>
    <row r="2335" spans="1:6" x14ac:dyDescent="0.25">
      <c r="A2335" t="s">
        <v>2369</v>
      </c>
      <c r="B2335" t="s">
        <v>704</v>
      </c>
      <c r="C2335" t="s">
        <v>128</v>
      </c>
      <c r="D2335" t="str">
        <f>HYPERLINK("http://service.sap.com/sap/support/notes/1803884","1803884")</f>
        <v>1803884</v>
      </c>
      <c r="E2335">
        <v>6</v>
      </c>
      <c r="F2335" t="s">
        <v>2621</v>
      </c>
    </row>
    <row r="2336" spans="1:6" x14ac:dyDescent="0.25">
      <c r="A2336" t="s">
        <v>2369</v>
      </c>
      <c r="B2336" t="s">
        <v>704</v>
      </c>
      <c r="C2336" t="s">
        <v>128</v>
      </c>
      <c r="D2336" t="str">
        <f>HYPERLINK("http://service.sap.com/sap/support/notes/1820745","1820745")</f>
        <v>1820745</v>
      </c>
      <c r="E2336">
        <v>4</v>
      </c>
      <c r="F2336" t="s">
        <v>2622</v>
      </c>
    </row>
    <row r="2337" spans="1:6" x14ac:dyDescent="0.25">
      <c r="A2337" t="s">
        <v>2369</v>
      </c>
      <c r="B2337" t="s">
        <v>286</v>
      </c>
      <c r="C2337" t="s">
        <v>287</v>
      </c>
      <c r="D2337" t="str">
        <f>HYPERLINK("http://service.sap.com/sap/support/notes/1796197","1796197")</f>
        <v>1796197</v>
      </c>
      <c r="E2337">
        <v>3</v>
      </c>
      <c r="F2337" t="s">
        <v>2623</v>
      </c>
    </row>
    <row r="2338" spans="1:6" x14ac:dyDescent="0.25">
      <c r="A2338" t="s">
        <v>2369</v>
      </c>
      <c r="B2338" t="s">
        <v>286</v>
      </c>
      <c r="C2338" t="s">
        <v>287</v>
      </c>
      <c r="D2338" t="str">
        <f>HYPERLINK("http://service.sap.com/sap/support/notes/1800560","1800560")</f>
        <v>1800560</v>
      </c>
      <c r="E2338">
        <v>6</v>
      </c>
      <c r="F2338" t="s">
        <v>2624</v>
      </c>
    </row>
    <row r="2339" spans="1:6" x14ac:dyDescent="0.25">
      <c r="A2339" t="s">
        <v>2369</v>
      </c>
      <c r="B2339" t="s">
        <v>286</v>
      </c>
      <c r="C2339" t="s">
        <v>287</v>
      </c>
      <c r="D2339" t="str">
        <f>HYPERLINK("http://service.sap.com/sap/support/notes/1803520","1803520")</f>
        <v>1803520</v>
      </c>
      <c r="E2339">
        <v>4</v>
      </c>
      <c r="F2339" t="s">
        <v>2625</v>
      </c>
    </row>
    <row r="2340" spans="1:6" x14ac:dyDescent="0.25">
      <c r="A2340" t="s">
        <v>2369</v>
      </c>
      <c r="B2340" t="s">
        <v>286</v>
      </c>
      <c r="C2340" t="s">
        <v>287</v>
      </c>
      <c r="D2340" t="str">
        <f>HYPERLINK("http://service.sap.com/sap/support/notes/1803776","1803776")</f>
        <v>1803776</v>
      </c>
      <c r="E2340">
        <v>3</v>
      </c>
      <c r="F2340" t="s">
        <v>2626</v>
      </c>
    </row>
    <row r="2341" spans="1:6" x14ac:dyDescent="0.25">
      <c r="A2341" t="s">
        <v>2369</v>
      </c>
      <c r="B2341" t="s">
        <v>286</v>
      </c>
      <c r="C2341" t="s">
        <v>287</v>
      </c>
      <c r="D2341" t="str">
        <f>HYPERLINK("http://service.sap.com/sap/support/notes/1809010","1809010")</f>
        <v>1809010</v>
      </c>
      <c r="E2341">
        <v>2</v>
      </c>
      <c r="F2341" t="s">
        <v>2627</v>
      </c>
    </row>
    <row r="2342" spans="1:6" x14ac:dyDescent="0.25">
      <c r="A2342" t="s">
        <v>2369</v>
      </c>
      <c r="B2342" t="s">
        <v>286</v>
      </c>
      <c r="C2342" t="s">
        <v>287</v>
      </c>
      <c r="D2342" t="str">
        <f>HYPERLINK("http://service.sap.com/sap/support/notes/1810145","1810145")</f>
        <v>1810145</v>
      </c>
      <c r="E2342">
        <v>3</v>
      </c>
      <c r="F2342" t="s">
        <v>2628</v>
      </c>
    </row>
    <row r="2343" spans="1:6" x14ac:dyDescent="0.25">
      <c r="A2343" t="s">
        <v>2369</v>
      </c>
      <c r="B2343" t="s">
        <v>286</v>
      </c>
      <c r="C2343" t="s">
        <v>287</v>
      </c>
      <c r="D2343" t="str">
        <f>HYPERLINK("http://service.sap.com/sap/support/notes/1810468","1810468")</f>
        <v>1810468</v>
      </c>
      <c r="E2343">
        <v>1</v>
      </c>
      <c r="F2343" t="s">
        <v>2240</v>
      </c>
    </row>
    <row r="2344" spans="1:6" x14ac:dyDescent="0.25">
      <c r="A2344" t="s">
        <v>2369</v>
      </c>
      <c r="B2344" t="s">
        <v>286</v>
      </c>
      <c r="C2344" t="s">
        <v>287</v>
      </c>
      <c r="D2344" t="str">
        <f>HYPERLINK("http://service.sap.com/sap/support/notes/1814486","1814486")</f>
        <v>1814486</v>
      </c>
      <c r="E2344">
        <v>2</v>
      </c>
      <c r="F2344" t="s">
        <v>2629</v>
      </c>
    </row>
    <row r="2345" spans="1:6" x14ac:dyDescent="0.25">
      <c r="A2345" t="s">
        <v>2369</v>
      </c>
      <c r="B2345" t="s">
        <v>286</v>
      </c>
      <c r="C2345" t="s">
        <v>287</v>
      </c>
      <c r="D2345" t="str">
        <f>HYPERLINK("http://service.sap.com/sap/support/notes/1815188","1815188")</f>
        <v>1815188</v>
      </c>
      <c r="E2345">
        <v>2</v>
      </c>
      <c r="F2345" t="s">
        <v>2630</v>
      </c>
    </row>
    <row r="2346" spans="1:6" x14ac:dyDescent="0.25">
      <c r="A2346" t="s">
        <v>2369</v>
      </c>
      <c r="B2346" t="s">
        <v>286</v>
      </c>
      <c r="C2346" t="s">
        <v>287</v>
      </c>
      <c r="D2346" t="str">
        <f>HYPERLINK("http://service.sap.com/sap/support/notes/1816750","1816750")</f>
        <v>1816750</v>
      </c>
      <c r="E2346">
        <v>2</v>
      </c>
      <c r="F2346" t="s">
        <v>2631</v>
      </c>
    </row>
    <row r="2347" spans="1:6" x14ac:dyDescent="0.25">
      <c r="A2347" t="s">
        <v>2369</v>
      </c>
      <c r="B2347" t="s">
        <v>286</v>
      </c>
      <c r="C2347" t="s">
        <v>287</v>
      </c>
      <c r="D2347" t="str">
        <f>HYPERLINK("http://service.sap.com/sap/support/notes/1817371","1817371")</f>
        <v>1817371</v>
      </c>
      <c r="E2347">
        <v>2</v>
      </c>
      <c r="F2347" t="s">
        <v>2632</v>
      </c>
    </row>
    <row r="2348" spans="1:6" x14ac:dyDescent="0.25">
      <c r="A2348" t="s">
        <v>2369</v>
      </c>
      <c r="B2348" t="s">
        <v>286</v>
      </c>
      <c r="C2348" t="s">
        <v>287</v>
      </c>
      <c r="D2348" t="str">
        <f>HYPERLINK("http://service.sap.com/sap/support/notes/1817455","1817455")</f>
        <v>1817455</v>
      </c>
      <c r="E2348">
        <v>1</v>
      </c>
      <c r="F2348" t="s">
        <v>2633</v>
      </c>
    </row>
    <row r="2349" spans="1:6" x14ac:dyDescent="0.25">
      <c r="A2349" t="s">
        <v>2369</v>
      </c>
      <c r="B2349" t="s">
        <v>286</v>
      </c>
      <c r="C2349" t="s">
        <v>287</v>
      </c>
      <c r="D2349" t="str">
        <f>HYPERLINK("http://service.sap.com/sap/support/notes/1817840","1817840")</f>
        <v>1817840</v>
      </c>
      <c r="E2349">
        <v>2</v>
      </c>
      <c r="F2349" t="s">
        <v>2634</v>
      </c>
    </row>
    <row r="2350" spans="1:6" x14ac:dyDescent="0.25">
      <c r="A2350" t="s">
        <v>2369</v>
      </c>
      <c r="B2350" t="s">
        <v>286</v>
      </c>
      <c r="C2350" t="s">
        <v>287</v>
      </c>
      <c r="D2350" t="str">
        <f>HYPERLINK("http://service.sap.com/sap/support/notes/1817870","1817870")</f>
        <v>1817870</v>
      </c>
      <c r="E2350">
        <v>1</v>
      </c>
      <c r="F2350" t="s">
        <v>2635</v>
      </c>
    </row>
    <row r="2351" spans="1:6" x14ac:dyDescent="0.25">
      <c r="A2351" t="s">
        <v>2369</v>
      </c>
      <c r="B2351" t="s">
        <v>286</v>
      </c>
      <c r="C2351" t="s">
        <v>287</v>
      </c>
      <c r="D2351" t="str">
        <f>HYPERLINK("http://service.sap.com/sap/support/notes/1818790","1818790")</f>
        <v>1818790</v>
      </c>
      <c r="E2351">
        <v>2</v>
      </c>
      <c r="F2351" t="s">
        <v>2636</v>
      </c>
    </row>
    <row r="2352" spans="1:6" x14ac:dyDescent="0.25">
      <c r="A2352" t="s">
        <v>2369</v>
      </c>
      <c r="B2352" t="s">
        <v>286</v>
      </c>
      <c r="C2352" t="s">
        <v>287</v>
      </c>
      <c r="D2352" t="str">
        <f>HYPERLINK("http://service.sap.com/sap/support/notes/1818896","1818896")</f>
        <v>1818896</v>
      </c>
      <c r="E2352">
        <v>1</v>
      </c>
      <c r="F2352" t="s">
        <v>2637</v>
      </c>
    </row>
    <row r="2353" spans="1:6" x14ac:dyDescent="0.25">
      <c r="A2353" t="s">
        <v>2369</v>
      </c>
      <c r="B2353" t="s">
        <v>286</v>
      </c>
      <c r="C2353" t="s">
        <v>287</v>
      </c>
      <c r="D2353" t="str">
        <f>HYPERLINK("http://service.sap.com/sap/support/notes/1819243","1819243")</f>
        <v>1819243</v>
      </c>
      <c r="E2353">
        <v>2</v>
      </c>
      <c r="F2353" t="s">
        <v>2638</v>
      </c>
    </row>
    <row r="2354" spans="1:6" x14ac:dyDescent="0.25">
      <c r="A2354" t="s">
        <v>2369</v>
      </c>
      <c r="B2354" t="s">
        <v>286</v>
      </c>
      <c r="C2354" t="s">
        <v>287</v>
      </c>
      <c r="D2354" t="str">
        <f>HYPERLINK("http://service.sap.com/sap/support/notes/1819545","1819545")</f>
        <v>1819545</v>
      </c>
      <c r="E2354">
        <v>1</v>
      </c>
      <c r="F2354" t="s">
        <v>2639</v>
      </c>
    </row>
    <row r="2355" spans="1:6" x14ac:dyDescent="0.25">
      <c r="A2355" t="s">
        <v>2369</v>
      </c>
      <c r="B2355" t="s">
        <v>286</v>
      </c>
      <c r="C2355" t="s">
        <v>287</v>
      </c>
      <c r="D2355" t="str">
        <f>HYPERLINK("http://service.sap.com/sap/support/notes/1819773","1819773")</f>
        <v>1819773</v>
      </c>
      <c r="E2355">
        <v>2</v>
      </c>
      <c r="F2355" t="s">
        <v>2640</v>
      </c>
    </row>
    <row r="2356" spans="1:6" x14ac:dyDescent="0.25">
      <c r="A2356" t="s">
        <v>2369</v>
      </c>
      <c r="B2356" t="s">
        <v>286</v>
      </c>
      <c r="C2356" t="s">
        <v>287</v>
      </c>
      <c r="D2356" t="str">
        <f>HYPERLINK("http://service.sap.com/sap/support/notes/1819804","1819804")</f>
        <v>1819804</v>
      </c>
      <c r="E2356">
        <v>1</v>
      </c>
      <c r="F2356" t="s">
        <v>2641</v>
      </c>
    </row>
    <row r="2357" spans="1:6" x14ac:dyDescent="0.25">
      <c r="A2357" t="s">
        <v>2369</v>
      </c>
      <c r="B2357" t="s">
        <v>286</v>
      </c>
      <c r="C2357" t="s">
        <v>287</v>
      </c>
      <c r="D2357" t="str">
        <f>HYPERLINK("http://service.sap.com/sap/support/notes/1820150","1820150")</f>
        <v>1820150</v>
      </c>
      <c r="E2357">
        <v>1</v>
      </c>
      <c r="F2357" t="s">
        <v>2642</v>
      </c>
    </row>
    <row r="2358" spans="1:6" x14ac:dyDescent="0.25">
      <c r="A2358" t="s">
        <v>2369</v>
      </c>
      <c r="B2358" t="s">
        <v>286</v>
      </c>
      <c r="C2358" t="s">
        <v>287</v>
      </c>
      <c r="D2358" t="str">
        <f>HYPERLINK("http://service.sap.com/sap/support/notes/1820355","1820355")</f>
        <v>1820355</v>
      </c>
      <c r="E2358">
        <v>1</v>
      </c>
      <c r="F2358" t="s">
        <v>2643</v>
      </c>
    </row>
    <row r="2359" spans="1:6" x14ac:dyDescent="0.25">
      <c r="A2359" t="s">
        <v>2369</v>
      </c>
      <c r="B2359" t="s">
        <v>286</v>
      </c>
      <c r="C2359" t="s">
        <v>287</v>
      </c>
      <c r="D2359" t="str">
        <f>HYPERLINK("http://service.sap.com/sap/support/notes/1820573","1820573")</f>
        <v>1820573</v>
      </c>
      <c r="E2359">
        <v>1</v>
      </c>
      <c r="F2359" t="s">
        <v>2644</v>
      </c>
    </row>
    <row r="2360" spans="1:6" x14ac:dyDescent="0.25">
      <c r="A2360" t="s">
        <v>2369</v>
      </c>
      <c r="B2360" t="s">
        <v>286</v>
      </c>
      <c r="C2360" t="s">
        <v>287</v>
      </c>
      <c r="D2360" t="str">
        <f>HYPERLINK("http://service.sap.com/sap/support/notes/1820574","1820574")</f>
        <v>1820574</v>
      </c>
      <c r="E2360">
        <v>2</v>
      </c>
      <c r="F2360" t="s">
        <v>2645</v>
      </c>
    </row>
    <row r="2361" spans="1:6" x14ac:dyDescent="0.25">
      <c r="A2361" t="s">
        <v>2369</v>
      </c>
      <c r="B2361" t="s">
        <v>286</v>
      </c>
      <c r="C2361" t="s">
        <v>287</v>
      </c>
      <c r="D2361" t="str">
        <f>HYPERLINK("http://service.sap.com/sap/support/notes/1820575","1820575")</f>
        <v>1820575</v>
      </c>
      <c r="E2361">
        <v>1</v>
      </c>
      <c r="F2361" t="s">
        <v>2646</v>
      </c>
    </row>
    <row r="2362" spans="1:6" x14ac:dyDescent="0.25">
      <c r="A2362" t="s">
        <v>2369</v>
      </c>
      <c r="B2362" t="s">
        <v>286</v>
      </c>
      <c r="C2362" t="s">
        <v>287</v>
      </c>
      <c r="D2362" t="str">
        <f>HYPERLINK("http://service.sap.com/sap/support/notes/1820576","1820576")</f>
        <v>1820576</v>
      </c>
      <c r="E2362">
        <v>2</v>
      </c>
      <c r="F2362" t="s">
        <v>2647</v>
      </c>
    </row>
    <row r="2363" spans="1:6" x14ac:dyDescent="0.25">
      <c r="A2363" t="s">
        <v>2369</v>
      </c>
      <c r="B2363" t="s">
        <v>286</v>
      </c>
      <c r="C2363" t="s">
        <v>287</v>
      </c>
      <c r="D2363" t="str">
        <f>HYPERLINK("http://service.sap.com/sap/support/notes/1820577","1820577")</f>
        <v>1820577</v>
      </c>
      <c r="E2363">
        <v>4</v>
      </c>
      <c r="F2363" t="s">
        <v>2648</v>
      </c>
    </row>
    <row r="2364" spans="1:6" x14ac:dyDescent="0.25">
      <c r="A2364" t="s">
        <v>2369</v>
      </c>
      <c r="B2364" t="s">
        <v>286</v>
      </c>
      <c r="C2364" t="s">
        <v>287</v>
      </c>
      <c r="D2364" t="str">
        <f>HYPERLINK("http://service.sap.com/sap/support/notes/1822741","1822741")</f>
        <v>1822741</v>
      </c>
      <c r="E2364">
        <v>2</v>
      </c>
      <c r="F2364" t="s">
        <v>2649</v>
      </c>
    </row>
    <row r="2365" spans="1:6" x14ac:dyDescent="0.25">
      <c r="A2365" t="s">
        <v>2369</v>
      </c>
      <c r="B2365" t="s">
        <v>286</v>
      </c>
      <c r="C2365" t="s">
        <v>287</v>
      </c>
      <c r="D2365" t="str">
        <f>HYPERLINK("http://service.sap.com/sap/support/notes/1824748","1824748")</f>
        <v>1824748</v>
      </c>
      <c r="E2365">
        <v>2</v>
      </c>
      <c r="F2365" t="s">
        <v>2650</v>
      </c>
    </row>
    <row r="2366" spans="1:6" x14ac:dyDescent="0.25">
      <c r="A2366" t="s">
        <v>2369</v>
      </c>
      <c r="B2366" t="s">
        <v>286</v>
      </c>
      <c r="C2366" t="s">
        <v>287</v>
      </c>
      <c r="D2366" t="str">
        <f>HYPERLINK("http://service.sap.com/sap/support/notes/1825208","1825208")</f>
        <v>1825208</v>
      </c>
      <c r="E2366">
        <v>1</v>
      </c>
      <c r="F2366" t="s">
        <v>2651</v>
      </c>
    </row>
    <row r="2367" spans="1:6" x14ac:dyDescent="0.25">
      <c r="A2367" t="s">
        <v>2369</v>
      </c>
      <c r="B2367" t="s">
        <v>286</v>
      </c>
      <c r="C2367" t="s">
        <v>287</v>
      </c>
      <c r="D2367" t="str">
        <f>HYPERLINK("http://service.sap.com/sap/support/notes/1825750","1825750")</f>
        <v>1825750</v>
      </c>
      <c r="E2367">
        <v>1</v>
      </c>
      <c r="F2367" t="s">
        <v>2652</v>
      </c>
    </row>
    <row r="2368" spans="1:6" x14ac:dyDescent="0.25">
      <c r="A2368" t="s">
        <v>2369</v>
      </c>
      <c r="B2368" t="s">
        <v>286</v>
      </c>
      <c r="C2368" t="s">
        <v>287</v>
      </c>
      <c r="D2368" t="str">
        <f>HYPERLINK("http://service.sap.com/sap/support/notes/1826515","1826515")</f>
        <v>1826515</v>
      </c>
      <c r="E2368">
        <v>1</v>
      </c>
      <c r="F2368" t="s">
        <v>2653</v>
      </c>
    </row>
    <row r="2369" spans="1:6" x14ac:dyDescent="0.25">
      <c r="A2369" t="s">
        <v>2369</v>
      </c>
      <c r="B2369" t="s">
        <v>299</v>
      </c>
      <c r="C2369" t="s">
        <v>128</v>
      </c>
      <c r="D2369" t="str">
        <f>HYPERLINK("http://service.sap.com/sap/support/notes/1820556","1820556")</f>
        <v>1820556</v>
      </c>
      <c r="E2369">
        <v>1</v>
      </c>
      <c r="F2369" t="s">
        <v>2654</v>
      </c>
    </row>
    <row r="2370" spans="1:6" x14ac:dyDescent="0.25">
      <c r="A2370" t="s">
        <v>2369</v>
      </c>
      <c r="B2370" t="s">
        <v>301</v>
      </c>
      <c r="C2370" t="s">
        <v>156</v>
      </c>
    </row>
    <row r="2371" spans="1:6" x14ac:dyDescent="0.25">
      <c r="A2371" t="s">
        <v>2369</v>
      </c>
      <c r="B2371" t="s">
        <v>302</v>
      </c>
      <c r="C2371" t="s">
        <v>303</v>
      </c>
      <c r="D2371" t="str">
        <f>HYPERLINK("http://service.sap.com/sap/support/notes/1797082","1797082")</f>
        <v>1797082</v>
      </c>
      <c r="E2371">
        <v>5</v>
      </c>
      <c r="F2371" t="s">
        <v>2655</v>
      </c>
    </row>
    <row r="2372" spans="1:6" x14ac:dyDescent="0.25">
      <c r="A2372" t="s">
        <v>2369</v>
      </c>
      <c r="B2372" t="s">
        <v>302</v>
      </c>
      <c r="C2372" t="s">
        <v>303</v>
      </c>
      <c r="D2372" t="str">
        <f>HYPERLINK("http://service.sap.com/sap/support/notes/1803972","1803972")</f>
        <v>1803972</v>
      </c>
      <c r="E2372">
        <v>3</v>
      </c>
      <c r="F2372" t="s">
        <v>2656</v>
      </c>
    </row>
    <row r="2373" spans="1:6" x14ac:dyDescent="0.25">
      <c r="A2373" t="s">
        <v>2369</v>
      </c>
      <c r="B2373" t="s">
        <v>302</v>
      </c>
      <c r="C2373" t="s">
        <v>303</v>
      </c>
      <c r="D2373" t="str">
        <f>HYPERLINK("http://service.sap.com/sap/support/notes/1806574","1806574")</f>
        <v>1806574</v>
      </c>
      <c r="E2373">
        <v>2</v>
      </c>
      <c r="F2373" t="s">
        <v>2657</v>
      </c>
    </row>
    <row r="2374" spans="1:6" x14ac:dyDescent="0.25">
      <c r="A2374" t="s">
        <v>2369</v>
      </c>
      <c r="B2374" t="s">
        <v>302</v>
      </c>
      <c r="C2374" t="s">
        <v>303</v>
      </c>
      <c r="D2374" t="str">
        <f>HYPERLINK("http://service.sap.com/sap/support/notes/1806745","1806745")</f>
        <v>1806745</v>
      </c>
      <c r="E2374">
        <v>3</v>
      </c>
      <c r="F2374" t="s">
        <v>2658</v>
      </c>
    </row>
    <row r="2375" spans="1:6" x14ac:dyDescent="0.25">
      <c r="A2375" t="s">
        <v>2369</v>
      </c>
      <c r="B2375" t="s">
        <v>302</v>
      </c>
      <c r="C2375" t="s">
        <v>303</v>
      </c>
      <c r="D2375" t="str">
        <f>HYPERLINK("http://service.sap.com/sap/support/notes/1818825","1818825")</f>
        <v>1818825</v>
      </c>
      <c r="E2375">
        <v>1</v>
      </c>
      <c r="F2375" t="s">
        <v>2659</v>
      </c>
    </row>
    <row r="2376" spans="1:6" x14ac:dyDescent="0.25">
      <c r="A2376" t="s">
        <v>2369</v>
      </c>
      <c r="B2376" t="s">
        <v>302</v>
      </c>
      <c r="C2376" t="s">
        <v>303</v>
      </c>
      <c r="D2376" t="str">
        <f>HYPERLINK("http://service.sap.com/sap/support/notes/1819621","1819621")</f>
        <v>1819621</v>
      </c>
      <c r="E2376">
        <v>1</v>
      </c>
      <c r="F2376" t="s">
        <v>2660</v>
      </c>
    </row>
    <row r="2377" spans="1:6" x14ac:dyDescent="0.25">
      <c r="A2377" t="s">
        <v>2369</v>
      </c>
      <c r="B2377" t="s">
        <v>302</v>
      </c>
      <c r="C2377" t="s">
        <v>303</v>
      </c>
      <c r="D2377" t="str">
        <f>HYPERLINK("http://service.sap.com/sap/support/notes/1824055","1824055")</f>
        <v>1824055</v>
      </c>
      <c r="E2377">
        <v>1</v>
      </c>
      <c r="F2377" t="s">
        <v>2661</v>
      </c>
    </row>
    <row r="2378" spans="1:6" x14ac:dyDescent="0.25">
      <c r="A2378" t="s">
        <v>2369</v>
      </c>
      <c r="B2378" t="s">
        <v>306</v>
      </c>
      <c r="C2378" t="s">
        <v>307</v>
      </c>
      <c r="D2378" t="str">
        <f>HYPERLINK("http://service.sap.com/sap/support/notes/1799642","1799642")</f>
        <v>1799642</v>
      </c>
      <c r="E2378">
        <v>1</v>
      </c>
      <c r="F2378" t="s">
        <v>2662</v>
      </c>
    </row>
    <row r="2379" spans="1:6" x14ac:dyDescent="0.25">
      <c r="A2379" t="s">
        <v>2369</v>
      </c>
      <c r="B2379" t="s">
        <v>306</v>
      </c>
      <c r="C2379" t="s">
        <v>307</v>
      </c>
      <c r="D2379" t="str">
        <f>HYPERLINK("http://service.sap.com/sap/support/notes/1816079","1816079")</f>
        <v>1816079</v>
      </c>
      <c r="E2379">
        <v>1</v>
      </c>
      <c r="F2379" t="s">
        <v>2663</v>
      </c>
    </row>
    <row r="2380" spans="1:6" x14ac:dyDescent="0.25">
      <c r="A2380" t="s">
        <v>2369</v>
      </c>
      <c r="B2380" t="s">
        <v>306</v>
      </c>
      <c r="C2380" t="s">
        <v>307</v>
      </c>
      <c r="D2380" t="str">
        <f>HYPERLINK("http://service.sap.com/sap/support/notes/1816855","1816855")</f>
        <v>1816855</v>
      </c>
      <c r="E2380">
        <v>2</v>
      </c>
      <c r="F2380" t="s">
        <v>2664</v>
      </c>
    </row>
    <row r="2381" spans="1:6" x14ac:dyDescent="0.25">
      <c r="A2381" t="s">
        <v>2369</v>
      </c>
      <c r="B2381" t="s">
        <v>310</v>
      </c>
      <c r="C2381" t="s">
        <v>311</v>
      </c>
      <c r="D2381" t="str">
        <f>HYPERLINK("http://service.sap.com/sap/support/notes/1812072","1812072")</f>
        <v>1812072</v>
      </c>
      <c r="E2381">
        <v>1</v>
      </c>
      <c r="F2381" t="s">
        <v>2665</v>
      </c>
    </row>
    <row r="2382" spans="1:6" x14ac:dyDescent="0.25">
      <c r="A2382" t="s">
        <v>2369</v>
      </c>
      <c r="B2382" t="s">
        <v>313</v>
      </c>
      <c r="C2382" t="s">
        <v>314</v>
      </c>
      <c r="D2382" t="str">
        <f>HYPERLINK("http://service.sap.com/sap/support/notes/1825282","1825282")</f>
        <v>1825282</v>
      </c>
      <c r="E2382">
        <v>1</v>
      </c>
      <c r="F2382" t="s">
        <v>2666</v>
      </c>
    </row>
    <row r="2383" spans="1:6" x14ac:dyDescent="0.25">
      <c r="A2383" t="s">
        <v>2369</v>
      </c>
      <c r="B2383" t="s">
        <v>668</v>
      </c>
      <c r="C2383" t="s">
        <v>156</v>
      </c>
      <c r="D2383" t="str">
        <f>HYPERLINK("http://service.sap.com/sap/support/notes/1807762","1807762")</f>
        <v>1807762</v>
      </c>
      <c r="E2383">
        <v>1</v>
      </c>
      <c r="F2383" t="s">
        <v>2667</v>
      </c>
    </row>
    <row r="2384" spans="1:6" x14ac:dyDescent="0.25">
      <c r="A2384" t="s">
        <v>2369</v>
      </c>
      <c r="B2384" t="s">
        <v>669</v>
      </c>
      <c r="C2384" t="s">
        <v>303</v>
      </c>
      <c r="D2384" t="str">
        <f>HYPERLINK("http://service.sap.com/sap/support/notes/1813072","1813072")</f>
        <v>1813072</v>
      </c>
      <c r="E2384">
        <v>6</v>
      </c>
      <c r="F2384" t="s">
        <v>2668</v>
      </c>
    </row>
    <row r="2385" spans="1:6" x14ac:dyDescent="0.25">
      <c r="A2385" t="s">
        <v>2369</v>
      </c>
      <c r="B2385" t="s">
        <v>669</v>
      </c>
      <c r="C2385" t="s">
        <v>303</v>
      </c>
      <c r="D2385" t="str">
        <f>HYPERLINK("http://service.sap.com/sap/support/notes/1814930","1814930")</f>
        <v>1814930</v>
      </c>
      <c r="E2385">
        <v>4</v>
      </c>
      <c r="F2385" t="s">
        <v>2669</v>
      </c>
    </row>
    <row r="2386" spans="1:6" x14ac:dyDescent="0.25">
      <c r="A2386" t="s">
        <v>2369</v>
      </c>
      <c r="B2386" t="s">
        <v>669</v>
      </c>
      <c r="C2386" t="s">
        <v>303</v>
      </c>
      <c r="D2386" t="str">
        <f>HYPERLINK("http://service.sap.com/sap/support/notes/1817311","1817311")</f>
        <v>1817311</v>
      </c>
      <c r="E2386">
        <v>2</v>
      </c>
      <c r="F2386" t="s">
        <v>2670</v>
      </c>
    </row>
    <row r="2387" spans="1:6" x14ac:dyDescent="0.25">
      <c r="A2387" t="s">
        <v>2369</v>
      </c>
      <c r="B2387" t="s">
        <v>669</v>
      </c>
      <c r="C2387" t="s">
        <v>303</v>
      </c>
      <c r="D2387" t="str">
        <f>HYPERLINK("http://service.sap.com/sap/support/notes/1820213","1820213")</f>
        <v>1820213</v>
      </c>
      <c r="E2387">
        <v>1</v>
      </c>
      <c r="F2387" t="s">
        <v>2671</v>
      </c>
    </row>
    <row r="2388" spans="1:6" x14ac:dyDescent="0.25">
      <c r="A2388" t="s">
        <v>2369</v>
      </c>
      <c r="B2388" t="s">
        <v>319</v>
      </c>
      <c r="C2388" t="s">
        <v>320</v>
      </c>
      <c r="D2388" t="str">
        <f>HYPERLINK("http://service.sap.com/sap/support/notes/1799084","1799084")</f>
        <v>1799084</v>
      </c>
      <c r="E2388">
        <v>3</v>
      </c>
      <c r="F2388" t="s">
        <v>2672</v>
      </c>
    </row>
    <row r="2389" spans="1:6" x14ac:dyDescent="0.25">
      <c r="A2389" t="s">
        <v>2369</v>
      </c>
      <c r="B2389" t="s">
        <v>319</v>
      </c>
      <c r="C2389" t="s">
        <v>320</v>
      </c>
      <c r="D2389" t="str">
        <f>HYPERLINK("http://service.sap.com/sap/support/notes/1823896","1823896")</f>
        <v>1823896</v>
      </c>
      <c r="E2389">
        <v>1</v>
      </c>
      <c r="F2389" t="s">
        <v>2673</v>
      </c>
    </row>
    <row r="2390" spans="1:6" x14ac:dyDescent="0.25">
      <c r="A2390" t="s">
        <v>2369</v>
      </c>
      <c r="B2390" t="s">
        <v>327</v>
      </c>
      <c r="C2390" t="s">
        <v>328</v>
      </c>
      <c r="D2390" t="str">
        <f>HYPERLINK("http://service.sap.com/sap/support/notes/1791405","1791405")</f>
        <v>1791405</v>
      </c>
      <c r="E2390">
        <v>5</v>
      </c>
      <c r="F2390" t="s">
        <v>2674</v>
      </c>
    </row>
    <row r="2391" spans="1:6" x14ac:dyDescent="0.25">
      <c r="A2391" t="s">
        <v>2369</v>
      </c>
      <c r="B2391" t="s">
        <v>327</v>
      </c>
      <c r="C2391" t="s">
        <v>328</v>
      </c>
      <c r="D2391" t="str">
        <f>HYPERLINK("http://service.sap.com/sap/support/notes/1803907","1803907")</f>
        <v>1803907</v>
      </c>
      <c r="E2391">
        <v>1</v>
      </c>
      <c r="F2391" t="s">
        <v>2675</v>
      </c>
    </row>
    <row r="2392" spans="1:6" x14ac:dyDescent="0.25">
      <c r="A2392" t="s">
        <v>2369</v>
      </c>
      <c r="B2392" t="s">
        <v>327</v>
      </c>
      <c r="C2392" t="s">
        <v>328</v>
      </c>
      <c r="D2392" t="str">
        <f>HYPERLINK("http://service.sap.com/sap/support/notes/1809193","1809193")</f>
        <v>1809193</v>
      </c>
      <c r="E2392">
        <v>2</v>
      </c>
      <c r="F2392" t="s">
        <v>2676</v>
      </c>
    </row>
    <row r="2393" spans="1:6" x14ac:dyDescent="0.25">
      <c r="A2393" t="s">
        <v>2369</v>
      </c>
      <c r="B2393" t="s">
        <v>327</v>
      </c>
      <c r="C2393" t="s">
        <v>328</v>
      </c>
      <c r="D2393" t="str">
        <f>HYPERLINK("http://service.sap.com/sap/support/notes/1809477","1809477")</f>
        <v>1809477</v>
      </c>
      <c r="E2393">
        <v>1</v>
      </c>
      <c r="F2393" t="s">
        <v>2677</v>
      </c>
    </row>
    <row r="2394" spans="1:6" x14ac:dyDescent="0.25">
      <c r="A2394" t="s">
        <v>2369</v>
      </c>
      <c r="B2394" t="s">
        <v>327</v>
      </c>
      <c r="C2394" t="s">
        <v>328</v>
      </c>
      <c r="D2394" t="str">
        <f>HYPERLINK("http://service.sap.com/sap/support/notes/1811732","1811732")</f>
        <v>1811732</v>
      </c>
      <c r="E2394">
        <v>6</v>
      </c>
      <c r="F2394" t="s">
        <v>2678</v>
      </c>
    </row>
    <row r="2395" spans="1:6" x14ac:dyDescent="0.25">
      <c r="A2395" t="s">
        <v>2369</v>
      </c>
      <c r="B2395" t="s">
        <v>327</v>
      </c>
      <c r="C2395" t="s">
        <v>328</v>
      </c>
      <c r="D2395" t="str">
        <f>HYPERLINK("http://service.sap.com/sap/support/notes/1815947","1815947")</f>
        <v>1815947</v>
      </c>
      <c r="E2395">
        <v>1</v>
      </c>
      <c r="F2395" t="s">
        <v>2679</v>
      </c>
    </row>
    <row r="2396" spans="1:6" x14ac:dyDescent="0.25">
      <c r="A2396" t="s">
        <v>2369</v>
      </c>
      <c r="B2396" t="s">
        <v>327</v>
      </c>
      <c r="C2396" t="s">
        <v>328</v>
      </c>
      <c r="D2396" t="str">
        <f>HYPERLINK("http://service.sap.com/sap/support/notes/1818605","1818605")</f>
        <v>1818605</v>
      </c>
      <c r="E2396">
        <v>8</v>
      </c>
      <c r="F2396" t="s">
        <v>2680</v>
      </c>
    </row>
    <row r="2397" spans="1:6" x14ac:dyDescent="0.25">
      <c r="A2397" t="s">
        <v>2369</v>
      </c>
      <c r="B2397" t="s">
        <v>327</v>
      </c>
      <c r="C2397" t="s">
        <v>328</v>
      </c>
      <c r="D2397" t="str">
        <f>HYPERLINK("http://service.sap.com/sap/support/notes/1818855","1818855")</f>
        <v>1818855</v>
      </c>
      <c r="E2397">
        <v>2</v>
      </c>
      <c r="F2397" t="s">
        <v>2681</v>
      </c>
    </row>
    <row r="2398" spans="1:6" x14ac:dyDescent="0.25">
      <c r="A2398" t="s">
        <v>2369</v>
      </c>
      <c r="B2398" t="s">
        <v>327</v>
      </c>
      <c r="C2398" t="s">
        <v>328</v>
      </c>
      <c r="D2398" t="str">
        <f>HYPERLINK("http://service.sap.com/sap/support/notes/1824855","1824855")</f>
        <v>1824855</v>
      </c>
      <c r="E2398">
        <v>1</v>
      </c>
      <c r="F2398" t="s">
        <v>2682</v>
      </c>
    </row>
    <row r="2399" spans="1:6" x14ac:dyDescent="0.25">
      <c r="A2399" t="s">
        <v>2369</v>
      </c>
      <c r="B2399" t="s">
        <v>337</v>
      </c>
      <c r="C2399" t="s">
        <v>48</v>
      </c>
      <c r="D2399" t="str">
        <f>HYPERLINK("http://service.sap.com/sap/support/notes/1797918","1797918")</f>
        <v>1797918</v>
      </c>
      <c r="E2399">
        <v>2</v>
      </c>
      <c r="F2399" t="s">
        <v>2683</v>
      </c>
    </row>
    <row r="2400" spans="1:6" x14ac:dyDescent="0.25">
      <c r="A2400" t="s">
        <v>2369</v>
      </c>
      <c r="B2400" t="s">
        <v>340</v>
      </c>
      <c r="C2400" t="s">
        <v>52</v>
      </c>
      <c r="D2400" t="str">
        <f>HYPERLINK("http://service.sap.com/sap/support/notes/1814910","1814910")</f>
        <v>1814910</v>
      </c>
      <c r="E2400">
        <v>8</v>
      </c>
      <c r="F2400" t="s">
        <v>2684</v>
      </c>
    </row>
    <row r="2401" spans="1:6" x14ac:dyDescent="0.25">
      <c r="A2401" t="s">
        <v>2369</v>
      </c>
      <c r="B2401" t="s">
        <v>340</v>
      </c>
      <c r="C2401" t="s">
        <v>52</v>
      </c>
      <c r="D2401" t="str">
        <f>HYPERLINK("http://service.sap.com/sap/support/notes/1817770","1817770")</f>
        <v>1817770</v>
      </c>
      <c r="E2401">
        <v>1</v>
      </c>
      <c r="F2401" t="s">
        <v>2685</v>
      </c>
    </row>
    <row r="2402" spans="1:6" x14ac:dyDescent="0.25">
      <c r="A2402" t="s">
        <v>2369</v>
      </c>
      <c r="B2402" t="s">
        <v>340</v>
      </c>
      <c r="C2402" t="s">
        <v>52</v>
      </c>
      <c r="D2402" t="str">
        <f>HYPERLINK("http://service.sap.com/sap/support/notes/1821773","1821773")</f>
        <v>1821773</v>
      </c>
      <c r="E2402">
        <v>3</v>
      </c>
      <c r="F2402" t="s">
        <v>2686</v>
      </c>
    </row>
    <row r="2403" spans="1:6" x14ac:dyDescent="0.25">
      <c r="A2403" t="s">
        <v>2369</v>
      </c>
      <c r="B2403" t="s">
        <v>340</v>
      </c>
      <c r="C2403" t="s">
        <v>52</v>
      </c>
      <c r="D2403" t="str">
        <f>HYPERLINK("http://service.sap.com/sap/support/notes/1823005","1823005")</f>
        <v>1823005</v>
      </c>
      <c r="E2403">
        <v>4</v>
      </c>
      <c r="F2403" t="s">
        <v>2687</v>
      </c>
    </row>
    <row r="2404" spans="1:6" x14ac:dyDescent="0.25">
      <c r="A2404" t="s">
        <v>2369</v>
      </c>
      <c r="B2404" t="s">
        <v>340</v>
      </c>
      <c r="C2404" t="s">
        <v>52</v>
      </c>
      <c r="D2404" t="str">
        <f>HYPERLINK("http://service.sap.com/sap/support/notes/1823840","1823840")</f>
        <v>1823840</v>
      </c>
      <c r="E2404">
        <v>1</v>
      </c>
      <c r="F2404" t="s">
        <v>2688</v>
      </c>
    </row>
    <row r="2405" spans="1:6" x14ac:dyDescent="0.25">
      <c r="A2405" t="s">
        <v>2369</v>
      </c>
      <c r="B2405" t="s">
        <v>340</v>
      </c>
      <c r="C2405" t="s">
        <v>52</v>
      </c>
      <c r="D2405" t="str">
        <f>HYPERLINK("http://service.sap.com/sap/support/notes/1823872","1823872")</f>
        <v>1823872</v>
      </c>
      <c r="E2405">
        <v>2</v>
      </c>
      <c r="F2405" t="s">
        <v>2689</v>
      </c>
    </row>
    <row r="2406" spans="1:6" x14ac:dyDescent="0.25">
      <c r="A2406" t="s">
        <v>2369</v>
      </c>
      <c r="B2406" t="s">
        <v>344</v>
      </c>
      <c r="C2406" t="s">
        <v>345</v>
      </c>
      <c r="D2406" t="str">
        <f>HYPERLINK("http://service.sap.com/sap/support/notes/1759815","1759815")</f>
        <v>1759815</v>
      </c>
      <c r="E2406">
        <v>4</v>
      </c>
      <c r="F2406" t="s">
        <v>2690</v>
      </c>
    </row>
    <row r="2407" spans="1:6" x14ac:dyDescent="0.25">
      <c r="A2407" t="s">
        <v>2369</v>
      </c>
      <c r="B2407" t="s">
        <v>344</v>
      </c>
      <c r="C2407" t="s">
        <v>345</v>
      </c>
      <c r="D2407" t="str">
        <f>HYPERLINK("http://service.sap.com/sap/support/notes/1800722","1800722")</f>
        <v>1800722</v>
      </c>
      <c r="E2407">
        <v>3</v>
      </c>
      <c r="F2407" t="s">
        <v>2691</v>
      </c>
    </row>
    <row r="2408" spans="1:6" x14ac:dyDescent="0.25">
      <c r="A2408" t="s">
        <v>2369</v>
      </c>
      <c r="B2408" t="s">
        <v>344</v>
      </c>
      <c r="C2408" t="s">
        <v>345</v>
      </c>
      <c r="D2408" t="str">
        <f>HYPERLINK("http://service.sap.com/sap/support/notes/1802926","1802926")</f>
        <v>1802926</v>
      </c>
      <c r="E2408">
        <v>2</v>
      </c>
      <c r="F2408" t="s">
        <v>2692</v>
      </c>
    </row>
    <row r="2409" spans="1:6" x14ac:dyDescent="0.25">
      <c r="A2409" t="s">
        <v>2369</v>
      </c>
      <c r="B2409" t="s">
        <v>344</v>
      </c>
      <c r="C2409" t="s">
        <v>345</v>
      </c>
      <c r="D2409" t="str">
        <f>HYPERLINK("http://service.sap.com/sap/support/notes/1804071","1804071")</f>
        <v>1804071</v>
      </c>
      <c r="E2409">
        <v>3</v>
      </c>
      <c r="F2409" t="s">
        <v>2693</v>
      </c>
    </row>
    <row r="2410" spans="1:6" x14ac:dyDescent="0.25">
      <c r="A2410" t="s">
        <v>2369</v>
      </c>
      <c r="B2410" t="s">
        <v>344</v>
      </c>
      <c r="C2410" t="s">
        <v>345</v>
      </c>
      <c r="D2410" t="str">
        <f>HYPERLINK("http://service.sap.com/sap/support/notes/1809132","1809132")</f>
        <v>1809132</v>
      </c>
      <c r="E2410">
        <v>2</v>
      </c>
      <c r="F2410" t="s">
        <v>2694</v>
      </c>
    </row>
    <row r="2411" spans="1:6" x14ac:dyDescent="0.25">
      <c r="A2411" t="s">
        <v>2369</v>
      </c>
      <c r="B2411" t="s">
        <v>344</v>
      </c>
      <c r="C2411" t="s">
        <v>345</v>
      </c>
      <c r="D2411" t="str">
        <f>HYPERLINK("http://service.sap.com/sap/support/notes/1811330","1811330")</f>
        <v>1811330</v>
      </c>
      <c r="E2411">
        <v>3</v>
      </c>
      <c r="F2411" t="s">
        <v>2695</v>
      </c>
    </row>
    <row r="2412" spans="1:6" x14ac:dyDescent="0.25">
      <c r="A2412" t="s">
        <v>2369</v>
      </c>
      <c r="B2412" t="s">
        <v>350</v>
      </c>
      <c r="C2412" t="s">
        <v>351</v>
      </c>
      <c r="D2412" t="str">
        <f>HYPERLINK("http://service.sap.com/sap/support/notes/1807838","1807838")</f>
        <v>1807838</v>
      </c>
      <c r="E2412">
        <v>1</v>
      </c>
      <c r="F2412" t="s">
        <v>2696</v>
      </c>
    </row>
    <row r="2413" spans="1:6" x14ac:dyDescent="0.25">
      <c r="A2413" t="s">
        <v>2369</v>
      </c>
      <c r="B2413" t="s">
        <v>350</v>
      </c>
      <c r="C2413" t="s">
        <v>351</v>
      </c>
      <c r="D2413" t="str">
        <f>HYPERLINK("http://service.sap.com/sap/support/notes/1808112","1808112")</f>
        <v>1808112</v>
      </c>
      <c r="E2413">
        <v>2</v>
      </c>
      <c r="F2413" t="s">
        <v>2697</v>
      </c>
    </row>
    <row r="2414" spans="1:6" x14ac:dyDescent="0.25">
      <c r="A2414" t="s">
        <v>2369</v>
      </c>
      <c r="B2414" t="s">
        <v>350</v>
      </c>
      <c r="C2414" t="s">
        <v>351</v>
      </c>
      <c r="D2414" t="str">
        <f>HYPERLINK("http://service.sap.com/sap/support/notes/1810907","1810907")</f>
        <v>1810907</v>
      </c>
      <c r="E2414">
        <v>1</v>
      </c>
      <c r="F2414" t="s">
        <v>2698</v>
      </c>
    </row>
    <row r="2415" spans="1:6" x14ac:dyDescent="0.25">
      <c r="A2415" t="s">
        <v>2369</v>
      </c>
      <c r="B2415" t="s">
        <v>350</v>
      </c>
      <c r="C2415" t="s">
        <v>351</v>
      </c>
      <c r="D2415" t="str">
        <f>HYPERLINK("http://service.sap.com/sap/support/notes/1811561","1811561")</f>
        <v>1811561</v>
      </c>
      <c r="E2415">
        <v>1</v>
      </c>
      <c r="F2415" t="s">
        <v>2699</v>
      </c>
    </row>
    <row r="2416" spans="1:6" x14ac:dyDescent="0.25">
      <c r="A2416" t="s">
        <v>2369</v>
      </c>
      <c r="B2416" t="s">
        <v>350</v>
      </c>
      <c r="C2416" t="s">
        <v>351</v>
      </c>
      <c r="D2416" t="str">
        <f>HYPERLINK("http://service.sap.com/sap/support/notes/1812505","1812505")</f>
        <v>1812505</v>
      </c>
      <c r="E2416">
        <v>2</v>
      </c>
      <c r="F2416" t="s">
        <v>2700</v>
      </c>
    </row>
    <row r="2417" spans="1:6" x14ac:dyDescent="0.25">
      <c r="A2417" t="s">
        <v>2369</v>
      </c>
      <c r="B2417" t="s">
        <v>350</v>
      </c>
      <c r="C2417" t="s">
        <v>351</v>
      </c>
      <c r="D2417" t="str">
        <f>HYPERLINK("http://service.sap.com/sap/support/notes/1813657","1813657")</f>
        <v>1813657</v>
      </c>
      <c r="E2417">
        <v>1</v>
      </c>
      <c r="F2417" t="s">
        <v>2701</v>
      </c>
    </row>
    <row r="2418" spans="1:6" x14ac:dyDescent="0.25">
      <c r="A2418" t="s">
        <v>2369</v>
      </c>
      <c r="B2418" t="s">
        <v>350</v>
      </c>
      <c r="C2418" t="s">
        <v>351</v>
      </c>
      <c r="D2418" t="str">
        <f>HYPERLINK("http://service.sap.com/sap/support/notes/1822740","1822740")</f>
        <v>1822740</v>
      </c>
      <c r="E2418">
        <v>1</v>
      </c>
      <c r="F2418" t="s">
        <v>2702</v>
      </c>
    </row>
    <row r="2419" spans="1:6" x14ac:dyDescent="0.25">
      <c r="A2419" t="s">
        <v>2369</v>
      </c>
      <c r="B2419" t="s">
        <v>356</v>
      </c>
      <c r="C2419" t="s">
        <v>55</v>
      </c>
      <c r="D2419" t="str">
        <f>HYPERLINK("http://service.sap.com/sap/support/notes/1766363","1766363")</f>
        <v>1766363</v>
      </c>
      <c r="E2419">
        <v>2</v>
      </c>
      <c r="F2419" t="s">
        <v>2703</v>
      </c>
    </row>
    <row r="2420" spans="1:6" x14ac:dyDescent="0.25">
      <c r="A2420" t="s">
        <v>2369</v>
      </c>
      <c r="B2420" t="s">
        <v>356</v>
      </c>
      <c r="C2420" t="s">
        <v>55</v>
      </c>
      <c r="D2420" t="str">
        <f>HYPERLINK("http://service.sap.com/sap/support/notes/1799822","1799822")</f>
        <v>1799822</v>
      </c>
      <c r="E2420">
        <v>2</v>
      </c>
      <c r="F2420" t="s">
        <v>2704</v>
      </c>
    </row>
    <row r="2421" spans="1:6" x14ac:dyDescent="0.25">
      <c r="A2421" t="s">
        <v>2369</v>
      </c>
      <c r="B2421" t="s">
        <v>356</v>
      </c>
      <c r="C2421" t="s">
        <v>55</v>
      </c>
      <c r="D2421" t="str">
        <f>HYPERLINK("http://service.sap.com/sap/support/notes/1806060","1806060")</f>
        <v>1806060</v>
      </c>
      <c r="E2421">
        <v>2</v>
      </c>
      <c r="F2421" t="s">
        <v>2705</v>
      </c>
    </row>
    <row r="2422" spans="1:6" x14ac:dyDescent="0.25">
      <c r="A2422" t="s">
        <v>2369</v>
      </c>
      <c r="B2422" t="s">
        <v>356</v>
      </c>
      <c r="C2422" t="s">
        <v>55</v>
      </c>
      <c r="D2422" t="str">
        <f>HYPERLINK("http://service.sap.com/sap/support/notes/1807353","1807353")</f>
        <v>1807353</v>
      </c>
      <c r="E2422">
        <v>1</v>
      </c>
      <c r="F2422" t="s">
        <v>2706</v>
      </c>
    </row>
    <row r="2423" spans="1:6" x14ac:dyDescent="0.25">
      <c r="A2423" t="s">
        <v>2369</v>
      </c>
      <c r="B2423" t="s">
        <v>356</v>
      </c>
      <c r="C2423" t="s">
        <v>55</v>
      </c>
      <c r="D2423" t="str">
        <f>HYPERLINK("http://service.sap.com/sap/support/notes/1812835","1812835")</f>
        <v>1812835</v>
      </c>
      <c r="E2423">
        <v>2</v>
      </c>
      <c r="F2423" t="s">
        <v>2707</v>
      </c>
    </row>
    <row r="2424" spans="1:6" x14ac:dyDescent="0.25">
      <c r="A2424" t="s">
        <v>2369</v>
      </c>
      <c r="B2424" t="s">
        <v>356</v>
      </c>
      <c r="C2424" t="s">
        <v>55</v>
      </c>
      <c r="D2424" t="str">
        <f>HYPERLINK("http://service.sap.com/sap/support/notes/1813926","1813926")</f>
        <v>1813926</v>
      </c>
      <c r="E2424">
        <v>1</v>
      </c>
      <c r="F2424" t="s">
        <v>2708</v>
      </c>
    </row>
    <row r="2425" spans="1:6" x14ac:dyDescent="0.25">
      <c r="A2425" t="s">
        <v>2369</v>
      </c>
      <c r="B2425" t="s">
        <v>356</v>
      </c>
      <c r="C2425" t="s">
        <v>55</v>
      </c>
      <c r="D2425" t="str">
        <f>HYPERLINK("http://service.sap.com/sap/support/notes/1814318","1814318")</f>
        <v>1814318</v>
      </c>
      <c r="E2425">
        <v>1</v>
      </c>
      <c r="F2425" t="s">
        <v>2709</v>
      </c>
    </row>
    <row r="2426" spans="1:6" x14ac:dyDescent="0.25">
      <c r="A2426" t="s">
        <v>2369</v>
      </c>
      <c r="B2426" t="s">
        <v>356</v>
      </c>
      <c r="C2426" t="s">
        <v>55</v>
      </c>
      <c r="D2426" t="str">
        <f>HYPERLINK("http://service.sap.com/sap/support/notes/1814900","1814900")</f>
        <v>1814900</v>
      </c>
      <c r="E2426">
        <v>1</v>
      </c>
      <c r="F2426" t="s">
        <v>2710</v>
      </c>
    </row>
    <row r="2427" spans="1:6" x14ac:dyDescent="0.25">
      <c r="A2427" t="s">
        <v>2369</v>
      </c>
      <c r="B2427" t="s">
        <v>356</v>
      </c>
      <c r="C2427" t="s">
        <v>55</v>
      </c>
      <c r="D2427" t="str">
        <f>HYPERLINK("http://service.sap.com/sap/support/notes/1815575","1815575")</f>
        <v>1815575</v>
      </c>
      <c r="E2427">
        <v>2</v>
      </c>
      <c r="F2427" t="s">
        <v>2711</v>
      </c>
    </row>
    <row r="2428" spans="1:6" x14ac:dyDescent="0.25">
      <c r="A2428" t="s">
        <v>2369</v>
      </c>
      <c r="B2428" t="s">
        <v>356</v>
      </c>
      <c r="C2428" t="s">
        <v>55</v>
      </c>
      <c r="D2428" t="str">
        <f>HYPERLINK("http://service.sap.com/sap/support/notes/1818163","1818163")</f>
        <v>1818163</v>
      </c>
      <c r="F2428" t="s">
        <v>2712</v>
      </c>
    </row>
    <row r="2429" spans="1:6" x14ac:dyDescent="0.25">
      <c r="A2429" t="s">
        <v>2369</v>
      </c>
      <c r="B2429" t="s">
        <v>356</v>
      </c>
      <c r="C2429" t="s">
        <v>55</v>
      </c>
      <c r="D2429" t="str">
        <f>HYPERLINK("http://service.sap.com/sap/support/notes/1820637","1820637")</f>
        <v>1820637</v>
      </c>
      <c r="E2429">
        <v>1</v>
      </c>
      <c r="F2429" t="s">
        <v>2713</v>
      </c>
    </row>
    <row r="2430" spans="1:6" x14ac:dyDescent="0.25">
      <c r="A2430" t="s">
        <v>2369</v>
      </c>
      <c r="B2430" t="s">
        <v>356</v>
      </c>
      <c r="C2430" t="s">
        <v>55</v>
      </c>
      <c r="D2430" t="str">
        <f>HYPERLINK("http://service.sap.com/sap/support/notes/1823458","1823458")</f>
        <v>1823458</v>
      </c>
      <c r="E2430">
        <v>1</v>
      </c>
      <c r="F2430" t="s">
        <v>2714</v>
      </c>
    </row>
    <row r="2431" spans="1:6" x14ac:dyDescent="0.25">
      <c r="A2431" t="s">
        <v>2369</v>
      </c>
      <c r="B2431" t="s">
        <v>362</v>
      </c>
      <c r="C2431" t="s">
        <v>363</v>
      </c>
      <c r="D2431" t="str">
        <f>HYPERLINK("http://service.sap.com/sap/support/notes/1787902","1787902")</f>
        <v>1787902</v>
      </c>
      <c r="E2431">
        <v>3</v>
      </c>
      <c r="F2431" t="s">
        <v>2715</v>
      </c>
    </row>
    <row r="2432" spans="1:6" x14ac:dyDescent="0.25">
      <c r="A2432" t="s">
        <v>2369</v>
      </c>
      <c r="B2432" t="s">
        <v>362</v>
      </c>
      <c r="C2432" t="s">
        <v>363</v>
      </c>
      <c r="D2432" t="str">
        <f>HYPERLINK("http://service.sap.com/sap/support/notes/1800089","1800089")</f>
        <v>1800089</v>
      </c>
      <c r="E2432">
        <v>1</v>
      </c>
      <c r="F2432" t="s">
        <v>2716</v>
      </c>
    </row>
    <row r="2433" spans="1:6" x14ac:dyDescent="0.25">
      <c r="A2433" t="s">
        <v>2369</v>
      </c>
      <c r="B2433" t="s">
        <v>362</v>
      </c>
      <c r="C2433" t="s">
        <v>363</v>
      </c>
      <c r="D2433" t="str">
        <f>HYPERLINK("http://service.sap.com/sap/support/notes/1806749","1806749")</f>
        <v>1806749</v>
      </c>
      <c r="E2433">
        <v>2</v>
      </c>
      <c r="F2433" t="s">
        <v>2717</v>
      </c>
    </row>
    <row r="2434" spans="1:6" x14ac:dyDescent="0.25">
      <c r="A2434" t="s">
        <v>2369</v>
      </c>
      <c r="B2434" t="s">
        <v>362</v>
      </c>
      <c r="C2434" t="s">
        <v>363</v>
      </c>
      <c r="D2434" t="str">
        <f>HYPERLINK("http://service.sap.com/sap/support/notes/1807581","1807581")</f>
        <v>1807581</v>
      </c>
      <c r="E2434">
        <v>8</v>
      </c>
      <c r="F2434" t="s">
        <v>2718</v>
      </c>
    </row>
    <row r="2435" spans="1:6" x14ac:dyDescent="0.25">
      <c r="A2435" t="s">
        <v>2369</v>
      </c>
      <c r="B2435" t="s">
        <v>362</v>
      </c>
      <c r="C2435" t="s">
        <v>363</v>
      </c>
      <c r="D2435" t="str">
        <f>HYPERLINK("http://service.sap.com/sap/support/notes/1814958","1814958")</f>
        <v>1814958</v>
      </c>
      <c r="E2435">
        <v>3</v>
      </c>
      <c r="F2435" t="s">
        <v>2719</v>
      </c>
    </row>
    <row r="2436" spans="1:6" x14ac:dyDescent="0.25">
      <c r="A2436" t="s">
        <v>2369</v>
      </c>
      <c r="B2436" t="s">
        <v>362</v>
      </c>
      <c r="C2436" t="s">
        <v>363</v>
      </c>
      <c r="D2436" t="str">
        <f>HYPERLINK("http://service.sap.com/sap/support/notes/1816873","1816873")</f>
        <v>1816873</v>
      </c>
      <c r="E2436">
        <v>4</v>
      </c>
      <c r="F2436" t="s">
        <v>2720</v>
      </c>
    </row>
    <row r="2437" spans="1:6" x14ac:dyDescent="0.25">
      <c r="A2437" t="s">
        <v>2369</v>
      </c>
      <c r="B2437" t="s">
        <v>362</v>
      </c>
      <c r="C2437" t="s">
        <v>363</v>
      </c>
      <c r="D2437" t="str">
        <f>HYPERLINK("http://service.sap.com/sap/support/notes/1817987","1817987")</f>
        <v>1817987</v>
      </c>
      <c r="E2437">
        <v>4</v>
      </c>
      <c r="F2437" t="s">
        <v>2721</v>
      </c>
    </row>
    <row r="2438" spans="1:6" x14ac:dyDescent="0.25">
      <c r="A2438" t="s">
        <v>2369</v>
      </c>
      <c r="B2438" t="s">
        <v>362</v>
      </c>
      <c r="C2438" t="s">
        <v>363</v>
      </c>
      <c r="D2438" t="str">
        <f>HYPERLINK("http://service.sap.com/sap/support/notes/1818381","1818381")</f>
        <v>1818381</v>
      </c>
      <c r="E2438">
        <v>1</v>
      </c>
      <c r="F2438" t="s">
        <v>2722</v>
      </c>
    </row>
    <row r="2439" spans="1:6" x14ac:dyDescent="0.25">
      <c r="A2439" t="s">
        <v>2369</v>
      </c>
      <c r="B2439" t="s">
        <v>362</v>
      </c>
      <c r="C2439" t="s">
        <v>363</v>
      </c>
      <c r="D2439" t="str">
        <f>HYPERLINK("http://service.sap.com/sap/support/notes/1819187","1819187")</f>
        <v>1819187</v>
      </c>
      <c r="E2439">
        <v>2</v>
      </c>
      <c r="F2439" t="s">
        <v>2723</v>
      </c>
    </row>
    <row r="2440" spans="1:6" x14ac:dyDescent="0.25">
      <c r="A2440" t="s">
        <v>2369</v>
      </c>
      <c r="B2440" t="s">
        <v>362</v>
      </c>
      <c r="C2440" t="s">
        <v>363</v>
      </c>
      <c r="D2440" t="str">
        <f>HYPERLINK("http://service.sap.com/sap/support/notes/1819771","1819771")</f>
        <v>1819771</v>
      </c>
      <c r="E2440">
        <v>1</v>
      </c>
      <c r="F2440" t="s">
        <v>2724</v>
      </c>
    </row>
    <row r="2441" spans="1:6" x14ac:dyDescent="0.25">
      <c r="A2441" t="s">
        <v>2369</v>
      </c>
      <c r="B2441" t="s">
        <v>362</v>
      </c>
      <c r="C2441" t="s">
        <v>363</v>
      </c>
      <c r="D2441" t="str">
        <f>HYPERLINK("http://service.sap.com/sap/support/notes/1821554","1821554")</f>
        <v>1821554</v>
      </c>
      <c r="E2441">
        <v>1</v>
      </c>
      <c r="F2441" t="s">
        <v>2725</v>
      </c>
    </row>
    <row r="2442" spans="1:6" x14ac:dyDescent="0.25">
      <c r="A2442" t="s">
        <v>2369</v>
      </c>
      <c r="B2442" t="s">
        <v>362</v>
      </c>
      <c r="C2442" t="s">
        <v>363</v>
      </c>
      <c r="D2442" t="str">
        <f>HYPERLINK("http://service.sap.com/sap/support/notes/1821975","1821975")</f>
        <v>1821975</v>
      </c>
      <c r="E2442">
        <v>2</v>
      </c>
      <c r="F2442" t="s">
        <v>2726</v>
      </c>
    </row>
    <row r="2443" spans="1:6" x14ac:dyDescent="0.25">
      <c r="A2443" t="s">
        <v>2369</v>
      </c>
      <c r="B2443" t="s">
        <v>362</v>
      </c>
      <c r="C2443" t="s">
        <v>363</v>
      </c>
      <c r="D2443" t="str">
        <f>HYPERLINK("http://service.sap.com/sap/support/notes/1824155","1824155")</f>
        <v>1824155</v>
      </c>
      <c r="E2443">
        <v>2</v>
      </c>
      <c r="F2443" t="s">
        <v>2727</v>
      </c>
    </row>
    <row r="2444" spans="1:6" x14ac:dyDescent="0.25">
      <c r="A2444" t="s">
        <v>2369</v>
      </c>
      <c r="B2444" t="s">
        <v>379</v>
      </c>
      <c r="C2444" t="s">
        <v>380</v>
      </c>
      <c r="D2444" t="str">
        <f>HYPERLINK("http://service.sap.com/sap/support/notes/1815202","1815202")</f>
        <v>1815202</v>
      </c>
      <c r="E2444">
        <v>10</v>
      </c>
      <c r="F2444" t="s">
        <v>2728</v>
      </c>
    </row>
    <row r="2445" spans="1:6" x14ac:dyDescent="0.25">
      <c r="A2445" t="s">
        <v>2369</v>
      </c>
      <c r="B2445" t="s">
        <v>384</v>
      </c>
      <c r="C2445" t="s">
        <v>385</v>
      </c>
      <c r="D2445" t="str">
        <f>HYPERLINK("http://service.sap.com/sap/support/notes/1724017","1724017")</f>
        <v>1724017</v>
      </c>
      <c r="E2445">
        <v>1</v>
      </c>
      <c r="F2445" t="s">
        <v>387</v>
      </c>
    </row>
    <row r="2446" spans="1:6" x14ac:dyDescent="0.25">
      <c r="A2446" t="s">
        <v>2369</v>
      </c>
      <c r="B2446" t="s">
        <v>384</v>
      </c>
      <c r="C2446" t="s">
        <v>385</v>
      </c>
      <c r="D2446" t="str">
        <f>HYPERLINK("http://service.sap.com/sap/support/notes/1813669","1813669")</f>
        <v>1813669</v>
      </c>
      <c r="E2446">
        <v>1</v>
      </c>
      <c r="F2446" t="s">
        <v>2729</v>
      </c>
    </row>
    <row r="2447" spans="1:6" x14ac:dyDescent="0.25">
      <c r="A2447" t="s">
        <v>2369</v>
      </c>
      <c r="B2447" t="s">
        <v>384</v>
      </c>
      <c r="C2447" t="s">
        <v>385</v>
      </c>
      <c r="D2447" t="str">
        <f>HYPERLINK("http://service.sap.com/sap/support/notes/1815709","1815709")</f>
        <v>1815709</v>
      </c>
      <c r="E2447">
        <v>1</v>
      </c>
      <c r="F2447" t="s">
        <v>2730</v>
      </c>
    </row>
    <row r="2448" spans="1:6" x14ac:dyDescent="0.25">
      <c r="A2448" t="s">
        <v>2369</v>
      </c>
      <c r="B2448" t="s">
        <v>384</v>
      </c>
      <c r="C2448" t="s">
        <v>385</v>
      </c>
      <c r="D2448" t="str">
        <f>HYPERLINK("http://service.sap.com/sap/support/notes/1817909","1817909")</f>
        <v>1817909</v>
      </c>
      <c r="E2448">
        <v>1</v>
      </c>
      <c r="F2448" t="s">
        <v>2731</v>
      </c>
    </row>
    <row r="2449" spans="1:6" x14ac:dyDescent="0.25">
      <c r="A2449" t="s">
        <v>2369</v>
      </c>
      <c r="B2449" t="s">
        <v>384</v>
      </c>
      <c r="C2449" t="s">
        <v>385</v>
      </c>
      <c r="D2449" t="str">
        <f>HYPERLINK("http://service.sap.com/sap/support/notes/1818015","1818015")</f>
        <v>1818015</v>
      </c>
      <c r="E2449">
        <v>1</v>
      </c>
      <c r="F2449" t="s">
        <v>2732</v>
      </c>
    </row>
    <row r="2450" spans="1:6" x14ac:dyDescent="0.25">
      <c r="A2450" t="s">
        <v>2369</v>
      </c>
      <c r="B2450" t="s">
        <v>384</v>
      </c>
      <c r="C2450" t="s">
        <v>385</v>
      </c>
      <c r="D2450" t="str">
        <f>HYPERLINK("http://service.sap.com/sap/support/notes/1822216","1822216")</f>
        <v>1822216</v>
      </c>
      <c r="E2450">
        <v>1</v>
      </c>
      <c r="F2450" t="s">
        <v>2733</v>
      </c>
    </row>
    <row r="2451" spans="1:6" x14ac:dyDescent="0.25">
      <c r="A2451" t="s">
        <v>2369</v>
      </c>
      <c r="B2451" t="s">
        <v>395</v>
      </c>
      <c r="C2451" t="s">
        <v>396</v>
      </c>
      <c r="D2451" t="str">
        <f>HYPERLINK("http://service.sap.com/sap/support/notes/1810855","1810855")</f>
        <v>1810855</v>
      </c>
      <c r="E2451">
        <v>2</v>
      </c>
      <c r="F2451" t="s">
        <v>2734</v>
      </c>
    </row>
    <row r="2452" spans="1:6" x14ac:dyDescent="0.25">
      <c r="A2452" t="s">
        <v>2369</v>
      </c>
      <c r="B2452" t="s">
        <v>395</v>
      </c>
      <c r="C2452" t="s">
        <v>396</v>
      </c>
      <c r="D2452" t="str">
        <f>HYPERLINK("http://service.sap.com/sap/support/notes/1816743","1816743")</f>
        <v>1816743</v>
      </c>
      <c r="E2452">
        <v>1</v>
      </c>
      <c r="F2452" t="s">
        <v>2735</v>
      </c>
    </row>
    <row r="2453" spans="1:6" x14ac:dyDescent="0.25">
      <c r="A2453" t="s">
        <v>2369</v>
      </c>
      <c r="B2453" t="s">
        <v>406</v>
      </c>
      <c r="C2453" t="s">
        <v>407</v>
      </c>
      <c r="D2453" t="str">
        <f>HYPERLINK("http://service.sap.com/sap/support/notes/1806047","1806047")</f>
        <v>1806047</v>
      </c>
      <c r="E2453">
        <v>4</v>
      </c>
      <c r="F2453" t="s">
        <v>2736</v>
      </c>
    </row>
    <row r="2454" spans="1:6" x14ac:dyDescent="0.25">
      <c r="A2454" t="s">
        <v>2369</v>
      </c>
      <c r="B2454" t="s">
        <v>406</v>
      </c>
      <c r="C2454" t="s">
        <v>407</v>
      </c>
      <c r="D2454" t="str">
        <f>HYPERLINK("http://service.sap.com/sap/support/notes/1808447","1808447")</f>
        <v>1808447</v>
      </c>
      <c r="E2454">
        <v>5</v>
      </c>
      <c r="F2454" t="s">
        <v>2737</v>
      </c>
    </row>
    <row r="2455" spans="1:6" x14ac:dyDescent="0.25">
      <c r="A2455" t="s">
        <v>2369</v>
      </c>
      <c r="B2455" t="s">
        <v>406</v>
      </c>
      <c r="C2455" t="s">
        <v>407</v>
      </c>
      <c r="D2455" t="str">
        <f>HYPERLINK("http://service.sap.com/sap/support/notes/1810804","1810804")</f>
        <v>1810804</v>
      </c>
      <c r="E2455">
        <v>5</v>
      </c>
      <c r="F2455" t="s">
        <v>2738</v>
      </c>
    </row>
    <row r="2456" spans="1:6" x14ac:dyDescent="0.25">
      <c r="A2456" t="s">
        <v>2369</v>
      </c>
      <c r="B2456" t="s">
        <v>406</v>
      </c>
      <c r="C2456" t="s">
        <v>407</v>
      </c>
      <c r="D2456" t="str">
        <f>HYPERLINK("http://service.sap.com/sap/support/notes/1812428","1812428")</f>
        <v>1812428</v>
      </c>
      <c r="E2456">
        <v>2</v>
      </c>
      <c r="F2456" t="s">
        <v>2739</v>
      </c>
    </row>
    <row r="2457" spans="1:6" x14ac:dyDescent="0.25">
      <c r="A2457" t="s">
        <v>2369</v>
      </c>
      <c r="B2457" t="s">
        <v>406</v>
      </c>
      <c r="C2457" t="s">
        <v>407</v>
      </c>
      <c r="D2457" t="str">
        <f>HYPERLINK("http://service.sap.com/sap/support/notes/1812834","1812834")</f>
        <v>1812834</v>
      </c>
      <c r="E2457">
        <v>2</v>
      </c>
      <c r="F2457" t="s">
        <v>2740</v>
      </c>
    </row>
    <row r="2458" spans="1:6" x14ac:dyDescent="0.25">
      <c r="A2458" t="s">
        <v>2369</v>
      </c>
      <c r="B2458" t="s">
        <v>406</v>
      </c>
      <c r="C2458" t="s">
        <v>407</v>
      </c>
      <c r="D2458" t="str">
        <f>HYPERLINK("http://service.sap.com/sap/support/notes/1812907","1812907")</f>
        <v>1812907</v>
      </c>
      <c r="E2458">
        <v>2</v>
      </c>
      <c r="F2458" t="s">
        <v>2741</v>
      </c>
    </row>
    <row r="2459" spans="1:6" x14ac:dyDescent="0.25">
      <c r="A2459" t="s">
        <v>2369</v>
      </c>
      <c r="B2459" t="s">
        <v>406</v>
      </c>
      <c r="C2459" t="s">
        <v>407</v>
      </c>
      <c r="D2459" t="str">
        <f>HYPERLINK("http://service.sap.com/sap/support/notes/1812993","1812993")</f>
        <v>1812993</v>
      </c>
      <c r="E2459">
        <v>6</v>
      </c>
      <c r="F2459" t="s">
        <v>2742</v>
      </c>
    </row>
    <row r="2460" spans="1:6" x14ac:dyDescent="0.25">
      <c r="A2460" t="s">
        <v>2369</v>
      </c>
      <c r="B2460" t="s">
        <v>406</v>
      </c>
      <c r="C2460" t="s">
        <v>407</v>
      </c>
      <c r="D2460" t="str">
        <f>HYPERLINK("http://service.sap.com/sap/support/notes/1813482","1813482")</f>
        <v>1813482</v>
      </c>
      <c r="E2460">
        <v>3</v>
      </c>
      <c r="F2460" t="s">
        <v>2743</v>
      </c>
    </row>
    <row r="2461" spans="1:6" x14ac:dyDescent="0.25">
      <c r="A2461" t="s">
        <v>2369</v>
      </c>
      <c r="B2461" t="s">
        <v>406</v>
      </c>
      <c r="C2461" t="s">
        <v>407</v>
      </c>
      <c r="D2461" t="str">
        <f>HYPERLINK("http://service.sap.com/sap/support/notes/1816317","1816317")</f>
        <v>1816317</v>
      </c>
      <c r="E2461">
        <v>10</v>
      </c>
      <c r="F2461" t="s">
        <v>2744</v>
      </c>
    </row>
    <row r="2462" spans="1:6" x14ac:dyDescent="0.25">
      <c r="A2462" t="s">
        <v>2369</v>
      </c>
      <c r="B2462" t="s">
        <v>406</v>
      </c>
      <c r="C2462" t="s">
        <v>407</v>
      </c>
      <c r="D2462" t="str">
        <f>HYPERLINK("http://service.sap.com/sap/support/notes/1817077","1817077")</f>
        <v>1817077</v>
      </c>
      <c r="E2462">
        <v>4</v>
      </c>
      <c r="F2462" t="s">
        <v>2745</v>
      </c>
    </row>
    <row r="2463" spans="1:6" x14ac:dyDescent="0.25">
      <c r="A2463" t="s">
        <v>2369</v>
      </c>
      <c r="B2463" t="s">
        <v>406</v>
      </c>
      <c r="C2463" t="s">
        <v>407</v>
      </c>
      <c r="D2463" t="str">
        <f>HYPERLINK("http://service.sap.com/sap/support/notes/1817116","1817116")</f>
        <v>1817116</v>
      </c>
      <c r="E2463">
        <v>1</v>
      </c>
      <c r="F2463" t="s">
        <v>2746</v>
      </c>
    </row>
    <row r="2464" spans="1:6" x14ac:dyDescent="0.25">
      <c r="A2464" t="s">
        <v>2369</v>
      </c>
      <c r="B2464" t="s">
        <v>406</v>
      </c>
      <c r="C2464" t="s">
        <v>407</v>
      </c>
      <c r="D2464" t="str">
        <f>HYPERLINK("http://service.sap.com/sap/support/notes/1817670","1817670")</f>
        <v>1817670</v>
      </c>
      <c r="E2464">
        <v>9</v>
      </c>
      <c r="F2464" t="s">
        <v>2747</v>
      </c>
    </row>
    <row r="2465" spans="1:6" x14ac:dyDescent="0.25">
      <c r="A2465" t="s">
        <v>2369</v>
      </c>
      <c r="B2465" t="s">
        <v>406</v>
      </c>
      <c r="C2465" t="s">
        <v>407</v>
      </c>
      <c r="D2465" t="str">
        <f>HYPERLINK("http://service.sap.com/sap/support/notes/1819662","1819662")</f>
        <v>1819662</v>
      </c>
      <c r="E2465">
        <v>5</v>
      </c>
      <c r="F2465" t="s">
        <v>2748</v>
      </c>
    </row>
    <row r="2466" spans="1:6" x14ac:dyDescent="0.25">
      <c r="A2466" t="s">
        <v>2369</v>
      </c>
      <c r="B2466" t="s">
        <v>406</v>
      </c>
      <c r="C2466" t="s">
        <v>407</v>
      </c>
      <c r="D2466" t="str">
        <f>HYPERLINK("http://service.sap.com/sap/support/notes/1820434","1820434")</f>
        <v>1820434</v>
      </c>
      <c r="E2466">
        <v>5</v>
      </c>
      <c r="F2466" t="s">
        <v>2749</v>
      </c>
    </row>
    <row r="2467" spans="1:6" x14ac:dyDescent="0.25">
      <c r="A2467" t="s">
        <v>2369</v>
      </c>
      <c r="B2467" t="s">
        <v>409</v>
      </c>
      <c r="C2467" t="s">
        <v>410</v>
      </c>
      <c r="D2467" t="str">
        <f>HYPERLINK("http://service.sap.com/sap/support/notes/1814112","1814112")</f>
        <v>1814112</v>
      </c>
      <c r="E2467">
        <v>3</v>
      </c>
      <c r="F2467" t="s">
        <v>2750</v>
      </c>
    </row>
    <row r="2468" spans="1:6" x14ac:dyDescent="0.25">
      <c r="A2468" t="s">
        <v>2369</v>
      </c>
      <c r="B2468" t="s">
        <v>409</v>
      </c>
      <c r="C2468" t="s">
        <v>410</v>
      </c>
      <c r="D2468" t="str">
        <f>HYPERLINK("http://service.sap.com/sap/support/notes/1815900","1815900")</f>
        <v>1815900</v>
      </c>
      <c r="E2468">
        <v>5</v>
      </c>
      <c r="F2468" t="s">
        <v>2751</v>
      </c>
    </row>
    <row r="2469" spans="1:6" x14ac:dyDescent="0.25">
      <c r="A2469" t="s">
        <v>2369</v>
      </c>
      <c r="B2469" t="s">
        <v>423</v>
      </c>
      <c r="C2469" t="s">
        <v>424</v>
      </c>
      <c r="D2469" t="str">
        <f>HYPERLINK("http://service.sap.com/sap/support/notes/1804415","1804415")</f>
        <v>1804415</v>
      </c>
      <c r="E2469">
        <v>2</v>
      </c>
      <c r="F2469" t="s">
        <v>2328</v>
      </c>
    </row>
    <row r="2470" spans="1:6" x14ac:dyDescent="0.25">
      <c r="A2470" t="s">
        <v>2369</v>
      </c>
      <c r="B2470" t="s">
        <v>423</v>
      </c>
      <c r="C2470" t="s">
        <v>424</v>
      </c>
      <c r="D2470" t="str">
        <f>HYPERLINK("http://service.sap.com/sap/support/notes/1813375","1813375")</f>
        <v>1813375</v>
      </c>
      <c r="E2470">
        <v>2</v>
      </c>
      <c r="F2470" t="s">
        <v>2334</v>
      </c>
    </row>
    <row r="2471" spans="1:6" x14ac:dyDescent="0.25">
      <c r="A2471" t="s">
        <v>2369</v>
      </c>
      <c r="B2471" t="s">
        <v>423</v>
      </c>
      <c r="C2471" t="s">
        <v>424</v>
      </c>
      <c r="D2471" t="str">
        <f>HYPERLINK("http://service.sap.com/sap/support/notes/1815690","1815690")</f>
        <v>1815690</v>
      </c>
      <c r="E2471">
        <v>1</v>
      </c>
      <c r="F2471" t="s">
        <v>2752</v>
      </c>
    </row>
    <row r="2472" spans="1:6" x14ac:dyDescent="0.25">
      <c r="A2472" t="s">
        <v>2369</v>
      </c>
      <c r="B2472" t="s">
        <v>423</v>
      </c>
      <c r="C2472" t="s">
        <v>424</v>
      </c>
      <c r="D2472" t="str">
        <f>HYPERLINK("http://service.sap.com/sap/support/notes/1816108","1816108")</f>
        <v>1816108</v>
      </c>
      <c r="E2472">
        <v>1</v>
      </c>
      <c r="F2472" t="s">
        <v>2753</v>
      </c>
    </row>
    <row r="2473" spans="1:6" x14ac:dyDescent="0.25">
      <c r="A2473" t="s">
        <v>2369</v>
      </c>
      <c r="B2473" t="s">
        <v>423</v>
      </c>
      <c r="C2473" t="s">
        <v>424</v>
      </c>
      <c r="D2473" t="str">
        <f>HYPERLINK("http://service.sap.com/sap/support/notes/1816158","1816158")</f>
        <v>1816158</v>
      </c>
      <c r="E2473">
        <v>1</v>
      </c>
      <c r="F2473" t="s">
        <v>2754</v>
      </c>
    </row>
    <row r="2474" spans="1:6" x14ac:dyDescent="0.25">
      <c r="A2474" t="s">
        <v>2369</v>
      </c>
      <c r="B2474" t="s">
        <v>423</v>
      </c>
      <c r="C2474" t="s">
        <v>424</v>
      </c>
      <c r="D2474" t="str">
        <f>HYPERLINK("http://service.sap.com/sap/support/notes/1816522","1816522")</f>
        <v>1816522</v>
      </c>
      <c r="E2474">
        <v>2</v>
      </c>
      <c r="F2474" t="s">
        <v>2755</v>
      </c>
    </row>
    <row r="2475" spans="1:6" x14ac:dyDescent="0.25">
      <c r="A2475" t="s">
        <v>2369</v>
      </c>
      <c r="B2475" t="s">
        <v>423</v>
      </c>
      <c r="C2475" t="s">
        <v>424</v>
      </c>
      <c r="D2475" t="str">
        <f>HYPERLINK("http://service.sap.com/sap/support/notes/1816920","1816920")</f>
        <v>1816920</v>
      </c>
      <c r="E2475">
        <v>1</v>
      </c>
      <c r="F2475" t="s">
        <v>2756</v>
      </c>
    </row>
    <row r="2476" spans="1:6" x14ac:dyDescent="0.25">
      <c r="A2476" t="s">
        <v>2369</v>
      </c>
      <c r="B2476" t="s">
        <v>423</v>
      </c>
      <c r="C2476" t="s">
        <v>424</v>
      </c>
      <c r="D2476" t="str">
        <f>HYPERLINK("http://service.sap.com/sap/support/notes/1816986","1816986")</f>
        <v>1816986</v>
      </c>
      <c r="E2476">
        <v>1</v>
      </c>
      <c r="F2476" t="s">
        <v>2757</v>
      </c>
    </row>
    <row r="2477" spans="1:6" x14ac:dyDescent="0.25">
      <c r="A2477" t="s">
        <v>2369</v>
      </c>
      <c r="B2477" t="s">
        <v>423</v>
      </c>
      <c r="C2477" t="s">
        <v>424</v>
      </c>
      <c r="D2477" t="str">
        <f>HYPERLINK("http://service.sap.com/sap/support/notes/1817508","1817508")</f>
        <v>1817508</v>
      </c>
      <c r="E2477">
        <v>1</v>
      </c>
      <c r="F2477" t="s">
        <v>2758</v>
      </c>
    </row>
    <row r="2478" spans="1:6" x14ac:dyDescent="0.25">
      <c r="A2478" t="s">
        <v>2369</v>
      </c>
      <c r="B2478" t="s">
        <v>423</v>
      </c>
      <c r="C2478" t="s">
        <v>424</v>
      </c>
      <c r="D2478" t="str">
        <f>HYPERLINK("http://service.sap.com/sap/support/notes/1818816","1818816")</f>
        <v>1818816</v>
      </c>
      <c r="E2478">
        <v>2</v>
      </c>
      <c r="F2478" t="s">
        <v>2759</v>
      </c>
    </row>
    <row r="2479" spans="1:6" x14ac:dyDescent="0.25">
      <c r="A2479" t="s">
        <v>2369</v>
      </c>
      <c r="B2479" t="s">
        <v>423</v>
      </c>
      <c r="C2479" t="s">
        <v>424</v>
      </c>
      <c r="D2479" t="str">
        <f>HYPERLINK("http://service.sap.com/sap/support/notes/1819524","1819524")</f>
        <v>1819524</v>
      </c>
      <c r="E2479">
        <v>2</v>
      </c>
      <c r="F2479" t="s">
        <v>2760</v>
      </c>
    </row>
    <row r="2480" spans="1:6" x14ac:dyDescent="0.25">
      <c r="A2480" t="s">
        <v>2369</v>
      </c>
      <c r="B2480" t="s">
        <v>423</v>
      </c>
      <c r="C2480" t="s">
        <v>424</v>
      </c>
      <c r="D2480" t="str">
        <f>HYPERLINK("http://service.sap.com/sap/support/notes/1819742","1819742")</f>
        <v>1819742</v>
      </c>
      <c r="E2480">
        <v>1</v>
      </c>
      <c r="F2480" t="s">
        <v>2761</v>
      </c>
    </row>
    <row r="2481" spans="1:6" x14ac:dyDescent="0.25">
      <c r="A2481" t="s">
        <v>2369</v>
      </c>
      <c r="B2481" t="s">
        <v>423</v>
      </c>
      <c r="C2481" t="s">
        <v>424</v>
      </c>
      <c r="D2481" t="str">
        <f>HYPERLINK("http://service.sap.com/sap/support/notes/1820106","1820106")</f>
        <v>1820106</v>
      </c>
      <c r="E2481">
        <v>3</v>
      </c>
      <c r="F2481" t="s">
        <v>2762</v>
      </c>
    </row>
    <row r="2482" spans="1:6" x14ac:dyDescent="0.25">
      <c r="A2482" t="s">
        <v>2369</v>
      </c>
      <c r="B2482" t="s">
        <v>423</v>
      </c>
      <c r="C2482" t="s">
        <v>424</v>
      </c>
      <c r="D2482" t="str">
        <f>HYPERLINK("http://service.sap.com/sap/support/notes/1821585","1821585")</f>
        <v>1821585</v>
      </c>
      <c r="E2482">
        <v>1</v>
      </c>
      <c r="F2482" t="s">
        <v>2763</v>
      </c>
    </row>
    <row r="2483" spans="1:6" x14ac:dyDescent="0.25">
      <c r="A2483" t="s">
        <v>2369</v>
      </c>
      <c r="B2483" t="s">
        <v>423</v>
      </c>
      <c r="C2483" t="s">
        <v>424</v>
      </c>
      <c r="D2483" t="str">
        <f>HYPERLINK("http://service.sap.com/sap/support/notes/1824004","1824004")</f>
        <v>1824004</v>
      </c>
      <c r="E2483">
        <v>1</v>
      </c>
      <c r="F2483" t="s">
        <v>2764</v>
      </c>
    </row>
    <row r="2484" spans="1:6" x14ac:dyDescent="0.25">
      <c r="A2484" t="s">
        <v>2369</v>
      </c>
      <c r="B2484" t="s">
        <v>423</v>
      </c>
      <c r="C2484" t="s">
        <v>424</v>
      </c>
      <c r="D2484" t="str">
        <f>HYPERLINK("http://service.sap.com/sap/support/notes/1824277","1824277")</f>
        <v>1824277</v>
      </c>
      <c r="E2484">
        <v>1</v>
      </c>
      <c r="F2484" t="s">
        <v>2765</v>
      </c>
    </row>
    <row r="2485" spans="1:6" x14ac:dyDescent="0.25">
      <c r="A2485" t="s">
        <v>2369</v>
      </c>
      <c r="B2485" t="s">
        <v>423</v>
      </c>
      <c r="C2485" t="s">
        <v>424</v>
      </c>
      <c r="D2485" t="str">
        <f>HYPERLINK("http://service.sap.com/sap/support/notes/1825816","1825816")</f>
        <v>1825816</v>
      </c>
      <c r="E2485">
        <v>1</v>
      </c>
      <c r="F2485" t="s">
        <v>2766</v>
      </c>
    </row>
    <row r="2486" spans="1:6" x14ac:dyDescent="0.25">
      <c r="A2486" t="s">
        <v>2369</v>
      </c>
      <c r="B2486" t="s">
        <v>430</v>
      </c>
      <c r="C2486" t="s">
        <v>431</v>
      </c>
      <c r="D2486" t="str">
        <f>HYPERLINK("http://service.sap.com/sap/support/notes/1174708","1174708")</f>
        <v>1174708</v>
      </c>
      <c r="E2486">
        <v>1</v>
      </c>
      <c r="F2486" t="s">
        <v>2767</v>
      </c>
    </row>
    <row r="2487" spans="1:6" x14ac:dyDescent="0.25">
      <c r="A2487" t="s">
        <v>2369</v>
      </c>
      <c r="B2487" t="s">
        <v>430</v>
      </c>
      <c r="C2487" t="s">
        <v>431</v>
      </c>
      <c r="D2487" t="str">
        <f>HYPERLINK("http://service.sap.com/sap/support/notes/1754461","1754461")</f>
        <v>1754461</v>
      </c>
      <c r="E2487">
        <v>5</v>
      </c>
      <c r="F2487" t="s">
        <v>2768</v>
      </c>
    </row>
    <row r="2488" spans="1:6" x14ac:dyDescent="0.25">
      <c r="A2488" t="s">
        <v>2369</v>
      </c>
      <c r="B2488" t="s">
        <v>430</v>
      </c>
      <c r="C2488" t="s">
        <v>431</v>
      </c>
      <c r="D2488" t="str">
        <f>HYPERLINK("http://service.sap.com/sap/support/notes/1755466","1755466")</f>
        <v>1755466</v>
      </c>
      <c r="E2488">
        <v>6</v>
      </c>
      <c r="F2488" t="s">
        <v>2769</v>
      </c>
    </row>
    <row r="2489" spans="1:6" x14ac:dyDescent="0.25">
      <c r="A2489" t="s">
        <v>2369</v>
      </c>
      <c r="B2489" t="s">
        <v>430</v>
      </c>
      <c r="C2489" t="s">
        <v>431</v>
      </c>
      <c r="D2489" t="str">
        <f>HYPERLINK("http://service.sap.com/sap/support/notes/1759463","1759463")</f>
        <v>1759463</v>
      </c>
      <c r="E2489">
        <v>2</v>
      </c>
      <c r="F2489" t="s">
        <v>2770</v>
      </c>
    </row>
    <row r="2490" spans="1:6" x14ac:dyDescent="0.25">
      <c r="A2490" t="s">
        <v>2369</v>
      </c>
      <c r="B2490" t="s">
        <v>430</v>
      </c>
      <c r="C2490" t="s">
        <v>431</v>
      </c>
      <c r="D2490" t="str">
        <f>HYPERLINK("http://service.sap.com/sap/support/notes/1786926","1786926")</f>
        <v>1786926</v>
      </c>
      <c r="E2490">
        <v>3</v>
      </c>
      <c r="F2490" t="s">
        <v>2771</v>
      </c>
    </row>
    <row r="2491" spans="1:6" x14ac:dyDescent="0.25">
      <c r="A2491" t="s">
        <v>2369</v>
      </c>
      <c r="B2491" t="s">
        <v>430</v>
      </c>
      <c r="C2491" t="s">
        <v>431</v>
      </c>
      <c r="D2491" t="str">
        <f>HYPERLINK("http://service.sap.com/sap/support/notes/1802228","1802228")</f>
        <v>1802228</v>
      </c>
      <c r="E2491">
        <v>4</v>
      </c>
      <c r="F2491" t="s">
        <v>2772</v>
      </c>
    </row>
    <row r="2492" spans="1:6" x14ac:dyDescent="0.25">
      <c r="A2492" t="s">
        <v>2369</v>
      </c>
      <c r="B2492" t="s">
        <v>430</v>
      </c>
      <c r="C2492" t="s">
        <v>431</v>
      </c>
      <c r="D2492" t="str">
        <f>HYPERLINK("http://service.sap.com/sap/support/notes/1806734","1806734")</f>
        <v>1806734</v>
      </c>
      <c r="E2492">
        <v>2</v>
      </c>
      <c r="F2492" t="s">
        <v>2773</v>
      </c>
    </row>
    <row r="2493" spans="1:6" x14ac:dyDescent="0.25">
      <c r="A2493" t="s">
        <v>2369</v>
      </c>
      <c r="B2493" t="s">
        <v>430</v>
      </c>
      <c r="C2493" t="s">
        <v>431</v>
      </c>
      <c r="D2493" t="str">
        <f>HYPERLINK("http://service.sap.com/sap/support/notes/1812251","1812251")</f>
        <v>1812251</v>
      </c>
      <c r="E2493">
        <v>3</v>
      </c>
      <c r="F2493" t="s">
        <v>2774</v>
      </c>
    </row>
    <row r="2494" spans="1:6" x14ac:dyDescent="0.25">
      <c r="A2494" t="s">
        <v>2369</v>
      </c>
      <c r="B2494" t="s">
        <v>430</v>
      </c>
      <c r="C2494" t="s">
        <v>431</v>
      </c>
      <c r="D2494" t="str">
        <f>HYPERLINK("http://service.sap.com/sap/support/notes/1816309","1816309")</f>
        <v>1816309</v>
      </c>
      <c r="E2494">
        <v>2</v>
      </c>
      <c r="F2494" t="s">
        <v>2775</v>
      </c>
    </row>
    <row r="2495" spans="1:6" x14ac:dyDescent="0.25">
      <c r="A2495" t="s">
        <v>2369</v>
      </c>
      <c r="B2495" t="s">
        <v>430</v>
      </c>
      <c r="C2495" t="s">
        <v>431</v>
      </c>
      <c r="D2495" t="str">
        <f>HYPERLINK("http://service.sap.com/sap/support/notes/1820348","1820348")</f>
        <v>1820348</v>
      </c>
      <c r="E2495">
        <v>2</v>
      </c>
      <c r="F2495" t="s">
        <v>2776</v>
      </c>
    </row>
    <row r="2496" spans="1:6" x14ac:dyDescent="0.25">
      <c r="A2496" t="s">
        <v>2369</v>
      </c>
      <c r="B2496" t="s">
        <v>437</v>
      </c>
      <c r="C2496" t="s">
        <v>438</v>
      </c>
      <c r="D2496" t="str">
        <f>HYPERLINK("http://service.sap.com/sap/support/notes/1811937","1811937")</f>
        <v>1811937</v>
      </c>
      <c r="E2496">
        <v>1</v>
      </c>
      <c r="F2496" t="s">
        <v>2777</v>
      </c>
    </row>
    <row r="2497" spans="1:6" x14ac:dyDescent="0.25">
      <c r="A2497" t="s">
        <v>2369</v>
      </c>
      <c r="B2497" t="s">
        <v>437</v>
      </c>
      <c r="C2497" t="s">
        <v>438</v>
      </c>
      <c r="D2497" t="str">
        <f>HYPERLINK("http://service.sap.com/sap/support/notes/1816373","1816373")</f>
        <v>1816373</v>
      </c>
      <c r="E2497">
        <v>2</v>
      </c>
      <c r="F2497" t="s">
        <v>2778</v>
      </c>
    </row>
    <row r="2498" spans="1:6" x14ac:dyDescent="0.25">
      <c r="A2498" t="s">
        <v>2369</v>
      </c>
      <c r="B2498" t="s">
        <v>443</v>
      </c>
      <c r="C2498" t="s">
        <v>444</v>
      </c>
      <c r="D2498" t="str">
        <f>HYPERLINK("http://service.sap.com/sap/support/notes/1804630","1804630")</f>
        <v>1804630</v>
      </c>
      <c r="E2498">
        <v>1</v>
      </c>
      <c r="F2498" t="s">
        <v>2349</v>
      </c>
    </row>
    <row r="2499" spans="1:6" x14ac:dyDescent="0.25">
      <c r="A2499" t="s">
        <v>2369</v>
      </c>
      <c r="B2499" t="s">
        <v>443</v>
      </c>
      <c r="C2499" t="s">
        <v>444</v>
      </c>
      <c r="D2499" t="str">
        <f>HYPERLINK("http://service.sap.com/sap/support/notes/1805811","1805811")</f>
        <v>1805811</v>
      </c>
      <c r="E2499">
        <v>4</v>
      </c>
      <c r="F2499" t="s">
        <v>2779</v>
      </c>
    </row>
    <row r="2500" spans="1:6" x14ac:dyDescent="0.25">
      <c r="A2500" t="s">
        <v>2369</v>
      </c>
      <c r="B2500" t="s">
        <v>443</v>
      </c>
      <c r="C2500" t="s">
        <v>444</v>
      </c>
      <c r="D2500" t="str">
        <f>HYPERLINK("http://service.sap.com/sap/support/notes/1821273","1821273")</f>
        <v>1821273</v>
      </c>
      <c r="E2500">
        <v>1</v>
      </c>
      <c r="F2500" t="s">
        <v>2780</v>
      </c>
    </row>
    <row r="2501" spans="1:6" x14ac:dyDescent="0.25">
      <c r="A2501" t="s">
        <v>2369</v>
      </c>
      <c r="B2501" t="s">
        <v>450</v>
      </c>
      <c r="C2501" t="s">
        <v>451</v>
      </c>
      <c r="D2501" t="str">
        <f>HYPERLINK("http://service.sap.com/sap/support/notes/1814810","1814810")</f>
        <v>1814810</v>
      </c>
      <c r="E2501">
        <v>1</v>
      </c>
      <c r="F2501" t="s">
        <v>2781</v>
      </c>
    </row>
    <row r="2502" spans="1:6" x14ac:dyDescent="0.25">
      <c r="A2502" t="s">
        <v>2369</v>
      </c>
      <c r="B2502" t="s">
        <v>450</v>
      </c>
      <c r="C2502" t="s">
        <v>451</v>
      </c>
      <c r="D2502" t="str">
        <f>HYPERLINK("http://service.sap.com/sap/support/notes/1816020","1816020")</f>
        <v>1816020</v>
      </c>
      <c r="E2502">
        <v>2</v>
      </c>
      <c r="F2502" t="s">
        <v>2782</v>
      </c>
    </row>
    <row r="2503" spans="1:6" x14ac:dyDescent="0.25">
      <c r="A2503" t="s">
        <v>2369</v>
      </c>
      <c r="B2503" t="s">
        <v>450</v>
      </c>
      <c r="C2503" t="s">
        <v>451</v>
      </c>
      <c r="D2503" t="str">
        <f>HYPERLINK("http://service.sap.com/sap/support/notes/1816836","1816836")</f>
        <v>1816836</v>
      </c>
      <c r="E2503">
        <v>1</v>
      </c>
      <c r="F2503" t="s">
        <v>2783</v>
      </c>
    </row>
    <row r="2504" spans="1:6" x14ac:dyDescent="0.25">
      <c r="A2504" t="s">
        <v>2369</v>
      </c>
      <c r="B2504" t="s">
        <v>450</v>
      </c>
      <c r="C2504" t="s">
        <v>451</v>
      </c>
      <c r="D2504" t="str">
        <f>HYPERLINK("http://service.sap.com/sap/support/notes/1817933","1817933")</f>
        <v>1817933</v>
      </c>
      <c r="E2504">
        <v>1</v>
      </c>
      <c r="F2504" t="s">
        <v>2784</v>
      </c>
    </row>
    <row r="2505" spans="1:6" x14ac:dyDescent="0.25">
      <c r="A2505" t="s">
        <v>2369</v>
      </c>
      <c r="B2505" t="s">
        <v>450</v>
      </c>
      <c r="C2505" t="s">
        <v>451</v>
      </c>
      <c r="D2505" t="str">
        <f>HYPERLINK("http://service.sap.com/sap/support/notes/1824009","1824009")</f>
        <v>1824009</v>
      </c>
      <c r="E2505">
        <v>3</v>
      </c>
      <c r="F2505" t="s">
        <v>2785</v>
      </c>
    </row>
    <row r="2506" spans="1:6" x14ac:dyDescent="0.25">
      <c r="A2506" t="s">
        <v>2369</v>
      </c>
      <c r="B2506" t="s">
        <v>450</v>
      </c>
      <c r="C2506" t="s">
        <v>451</v>
      </c>
      <c r="D2506" t="str">
        <f>HYPERLINK("http://service.sap.com/sap/support/notes/1824387","1824387")</f>
        <v>1824387</v>
      </c>
      <c r="E2506">
        <v>1</v>
      </c>
      <c r="F2506" t="s">
        <v>2786</v>
      </c>
    </row>
    <row r="2507" spans="1:6" x14ac:dyDescent="0.25">
      <c r="A2507" t="s">
        <v>2369</v>
      </c>
      <c r="B2507" t="s">
        <v>450</v>
      </c>
      <c r="C2507" t="s">
        <v>451</v>
      </c>
      <c r="D2507" t="str">
        <f>HYPERLINK("http://service.sap.com/sap/support/notes/1825583","1825583")</f>
        <v>1825583</v>
      </c>
      <c r="E2507">
        <v>2</v>
      </c>
      <c r="F2507" t="s">
        <v>2787</v>
      </c>
    </row>
    <row r="2508" spans="1:6" x14ac:dyDescent="0.25">
      <c r="A2508" t="s">
        <v>2369</v>
      </c>
      <c r="B2508" t="s">
        <v>453</v>
      </c>
      <c r="C2508" t="s">
        <v>74</v>
      </c>
      <c r="D2508" t="str">
        <f>HYPERLINK("http://service.sap.com/sap/support/notes/1824719","1824719")</f>
        <v>1824719</v>
      </c>
      <c r="E2508">
        <v>1</v>
      </c>
      <c r="F2508" t="s">
        <v>2788</v>
      </c>
    </row>
    <row r="2509" spans="1:6" x14ac:dyDescent="0.25">
      <c r="A2509" t="s">
        <v>2369</v>
      </c>
      <c r="B2509" t="s">
        <v>457</v>
      </c>
      <c r="C2509" t="s">
        <v>458</v>
      </c>
      <c r="D2509" t="str">
        <f>HYPERLINK("http://service.sap.com/sap/support/notes/1579200","1579200")</f>
        <v>1579200</v>
      </c>
      <c r="E2509">
        <v>2</v>
      </c>
      <c r="F2509" t="s">
        <v>2006</v>
      </c>
    </row>
    <row r="2510" spans="1:6" x14ac:dyDescent="0.25">
      <c r="A2510" t="s">
        <v>2369</v>
      </c>
      <c r="B2510" t="s">
        <v>457</v>
      </c>
      <c r="C2510" t="s">
        <v>458</v>
      </c>
      <c r="D2510" t="str">
        <f>HYPERLINK("http://service.sap.com/sap/support/notes/1789179","1789179")</f>
        <v>1789179</v>
      </c>
      <c r="E2510">
        <v>2</v>
      </c>
      <c r="F2510" t="s">
        <v>2789</v>
      </c>
    </row>
    <row r="2511" spans="1:6" x14ac:dyDescent="0.25">
      <c r="A2511" t="s">
        <v>2369</v>
      </c>
      <c r="B2511" t="s">
        <v>457</v>
      </c>
      <c r="C2511" t="s">
        <v>458</v>
      </c>
      <c r="D2511" t="str">
        <f>HYPERLINK("http://service.sap.com/sap/support/notes/1812748","1812748")</f>
        <v>1812748</v>
      </c>
      <c r="E2511">
        <v>3</v>
      </c>
      <c r="F2511" t="s">
        <v>2790</v>
      </c>
    </row>
    <row r="2512" spans="1:6" x14ac:dyDescent="0.25">
      <c r="A2512" t="s">
        <v>2369</v>
      </c>
      <c r="B2512" t="s">
        <v>457</v>
      </c>
      <c r="C2512" t="s">
        <v>458</v>
      </c>
      <c r="D2512" t="str">
        <f>HYPERLINK("http://service.sap.com/sap/support/notes/1814638","1814638")</f>
        <v>1814638</v>
      </c>
      <c r="E2512">
        <v>1</v>
      </c>
      <c r="F2512" t="s">
        <v>2791</v>
      </c>
    </row>
    <row r="2513" spans="1:6" x14ac:dyDescent="0.25">
      <c r="A2513" t="s">
        <v>2369</v>
      </c>
      <c r="B2513" t="s">
        <v>457</v>
      </c>
      <c r="C2513" t="s">
        <v>458</v>
      </c>
      <c r="D2513" t="str">
        <f>HYPERLINK("http://service.sap.com/sap/support/notes/1814653","1814653")</f>
        <v>1814653</v>
      </c>
      <c r="E2513">
        <v>1</v>
      </c>
      <c r="F2513" t="s">
        <v>2792</v>
      </c>
    </row>
    <row r="2514" spans="1:6" x14ac:dyDescent="0.25">
      <c r="A2514" t="s">
        <v>2369</v>
      </c>
      <c r="B2514" t="s">
        <v>457</v>
      </c>
      <c r="C2514" t="s">
        <v>458</v>
      </c>
      <c r="D2514" t="str">
        <f>HYPERLINK("http://service.sap.com/sap/support/notes/1816298","1816298")</f>
        <v>1816298</v>
      </c>
      <c r="E2514">
        <v>3</v>
      </c>
      <c r="F2514" t="s">
        <v>2793</v>
      </c>
    </row>
    <row r="2515" spans="1:6" x14ac:dyDescent="0.25">
      <c r="A2515" t="s">
        <v>2369</v>
      </c>
      <c r="B2515" t="s">
        <v>457</v>
      </c>
      <c r="C2515" t="s">
        <v>458</v>
      </c>
      <c r="D2515" t="str">
        <f>HYPERLINK("http://service.sap.com/sap/support/notes/1825466","1825466")</f>
        <v>1825466</v>
      </c>
      <c r="E2515">
        <v>1</v>
      </c>
      <c r="F2515" t="s">
        <v>2794</v>
      </c>
    </row>
    <row r="2516" spans="1:6" x14ac:dyDescent="0.25">
      <c r="A2516" t="s">
        <v>2369</v>
      </c>
      <c r="B2516" t="s">
        <v>608</v>
      </c>
      <c r="C2516" t="s">
        <v>609</v>
      </c>
      <c r="D2516" t="str">
        <f>HYPERLINK("http://service.sap.com/sap/support/notes/1684558","1684558")</f>
        <v>1684558</v>
      </c>
      <c r="E2516">
        <v>15</v>
      </c>
      <c r="F2516" t="s">
        <v>2795</v>
      </c>
    </row>
    <row r="2517" spans="1:6" x14ac:dyDescent="0.25">
      <c r="A2517" t="s">
        <v>2369</v>
      </c>
      <c r="B2517" t="s">
        <v>608</v>
      </c>
      <c r="C2517" t="s">
        <v>609</v>
      </c>
      <c r="D2517" t="str">
        <f>HYPERLINK("http://service.sap.com/sap/support/notes/1778767","1778767")</f>
        <v>1778767</v>
      </c>
      <c r="E2517">
        <v>3</v>
      </c>
      <c r="F2517" t="s">
        <v>2796</v>
      </c>
    </row>
    <row r="2518" spans="1:6" x14ac:dyDescent="0.25">
      <c r="A2518" t="s">
        <v>2369</v>
      </c>
      <c r="B2518" t="s">
        <v>608</v>
      </c>
      <c r="C2518" t="s">
        <v>609</v>
      </c>
      <c r="D2518" t="str">
        <f>HYPERLINK("http://service.sap.com/sap/support/notes/1799338","1799338")</f>
        <v>1799338</v>
      </c>
      <c r="E2518">
        <v>3</v>
      </c>
      <c r="F2518" t="s">
        <v>2797</v>
      </c>
    </row>
    <row r="2519" spans="1:6" x14ac:dyDescent="0.25">
      <c r="A2519" t="s">
        <v>2369</v>
      </c>
      <c r="B2519" t="s">
        <v>608</v>
      </c>
      <c r="C2519" t="s">
        <v>609</v>
      </c>
      <c r="D2519" t="str">
        <f>HYPERLINK("http://service.sap.com/sap/support/notes/1811580","1811580")</f>
        <v>1811580</v>
      </c>
      <c r="E2519">
        <v>2</v>
      </c>
      <c r="F2519" t="s">
        <v>2798</v>
      </c>
    </row>
    <row r="2520" spans="1:6" x14ac:dyDescent="0.25">
      <c r="A2520" t="s">
        <v>2369</v>
      </c>
      <c r="B2520" t="s">
        <v>608</v>
      </c>
      <c r="C2520" t="s">
        <v>609</v>
      </c>
      <c r="D2520" t="str">
        <f>HYPERLINK("http://service.sap.com/sap/support/notes/1817160","1817160")</f>
        <v>1817160</v>
      </c>
      <c r="E2520">
        <v>1</v>
      </c>
      <c r="F2520" t="s">
        <v>2799</v>
      </c>
    </row>
    <row r="2521" spans="1:6" x14ac:dyDescent="0.25">
      <c r="A2521" t="s">
        <v>2369</v>
      </c>
      <c r="B2521" t="s">
        <v>608</v>
      </c>
      <c r="C2521" t="s">
        <v>609</v>
      </c>
      <c r="D2521" t="str">
        <f>HYPERLINK("http://service.sap.com/sap/support/notes/1822489","1822489")</f>
        <v>1822489</v>
      </c>
      <c r="E2521">
        <v>1</v>
      </c>
      <c r="F2521" t="s">
        <v>2800</v>
      </c>
    </row>
    <row r="2522" spans="1:6" x14ac:dyDescent="0.25">
      <c r="A2522" t="s">
        <v>2369</v>
      </c>
      <c r="B2522" t="s">
        <v>461</v>
      </c>
      <c r="C2522" t="s">
        <v>462</v>
      </c>
      <c r="D2522" t="str">
        <f>HYPERLINK("http://service.sap.com/sap/support/notes/1824236","1824236")</f>
        <v>1824236</v>
      </c>
      <c r="E2522">
        <v>1</v>
      </c>
      <c r="F2522" t="s">
        <v>2801</v>
      </c>
    </row>
    <row r="2523" spans="1:6" x14ac:dyDescent="0.25">
      <c r="A2523" t="s">
        <v>2369</v>
      </c>
      <c r="B2523" t="s">
        <v>610</v>
      </c>
      <c r="C2523" t="s">
        <v>635</v>
      </c>
    </row>
    <row r="2524" spans="1:6" x14ac:dyDescent="0.25">
      <c r="A2524" t="s">
        <v>2369</v>
      </c>
      <c r="B2524" t="s">
        <v>611</v>
      </c>
      <c r="C2524" t="s">
        <v>515</v>
      </c>
      <c r="D2524" t="str">
        <f>HYPERLINK("http://service.sap.com/sap/support/notes/1791887","1791887")</f>
        <v>1791887</v>
      </c>
      <c r="E2524">
        <v>2</v>
      </c>
      <c r="F2524" t="s">
        <v>2802</v>
      </c>
    </row>
    <row r="2525" spans="1:6" x14ac:dyDescent="0.25">
      <c r="A2525" t="s">
        <v>2369</v>
      </c>
      <c r="B2525" t="s">
        <v>611</v>
      </c>
      <c r="C2525" t="s">
        <v>515</v>
      </c>
      <c r="D2525" t="str">
        <f>HYPERLINK("http://service.sap.com/sap/support/notes/1793687","1793687")</f>
        <v>1793687</v>
      </c>
      <c r="E2525">
        <v>1</v>
      </c>
      <c r="F2525" t="s">
        <v>2803</v>
      </c>
    </row>
    <row r="2526" spans="1:6" x14ac:dyDescent="0.25">
      <c r="A2526" t="s">
        <v>2369</v>
      </c>
      <c r="B2526" t="s">
        <v>626</v>
      </c>
      <c r="C2526" t="s">
        <v>654</v>
      </c>
      <c r="D2526" t="str">
        <f>HYPERLINK("http://service.sap.com/sap/support/notes/1773092","1773092")</f>
        <v>1773092</v>
      </c>
      <c r="E2526">
        <v>8</v>
      </c>
      <c r="F2526" t="s">
        <v>2804</v>
      </c>
    </row>
    <row r="2527" spans="1:6" x14ac:dyDescent="0.25">
      <c r="A2527" t="s">
        <v>2369</v>
      </c>
      <c r="B2527" t="s">
        <v>464</v>
      </c>
      <c r="C2527" t="s">
        <v>465</v>
      </c>
      <c r="D2527" t="str">
        <f>HYPERLINK("http://service.sap.com/sap/support/notes/1807064","1807064")</f>
        <v>1807064</v>
      </c>
      <c r="E2527">
        <v>3</v>
      </c>
      <c r="F2527" t="s">
        <v>2805</v>
      </c>
    </row>
    <row r="2528" spans="1:6" x14ac:dyDescent="0.25">
      <c r="A2528" t="s">
        <v>3228</v>
      </c>
      <c r="B2528" t="s">
        <v>15</v>
      </c>
      <c r="C2528" t="s">
        <v>16</v>
      </c>
    </row>
    <row r="2529" spans="1:6" x14ac:dyDescent="0.25">
      <c r="A2529" t="s">
        <v>3228</v>
      </c>
      <c r="B2529" t="s">
        <v>17</v>
      </c>
      <c r="C2529" t="s">
        <v>18</v>
      </c>
    </row>
    <row r="2530" spans="1:6" x14ac:dyDescent="0.25">
      <c r="A2530" t="s">
        <v>3228</v>
      </c>
      <c r="B2530" t="s">
        <v>19</v>
      </c>
      <c r="C2530" t="s">
        <v>20</v>
      </c>
    </row>
    <row r="2531" spans="1:6" x14ac:dyDescent="0.25">
      <c r="A2531" t="s">
        <v>3228</v>
      </c>
      <c r="B2531" t="s">
        <v>21</v>
      </c>
      <c r="C2531" t="s">
        <v>22</v>
      </c>
      <c r="D2531" t="str">
        <f>HYPERLINK("http://service.sap.com/sap/support/notes/1833599","1833599")</f>
        <v>1833599</v>
      </c>
      <c r="E2531">
        <v>1</v>
      </c>
      <c r="F2531" t="s">
        <v>2806</v>
      </c>
    </row>
    <row r="2532" spans="1:6" x14ac:dyDescent="0.25">
      <c r="A2532" t="s">
        <v>3228</v>
      </c>
      <c r="B2532" t="s">
        <v>21</v>
      </c>
      <c r="C2532" t="s">
        <v>22</v>
      </c>
      <c r="D2532" t="str">
        <f>HYPERLINK("http://service.sap.com/sap/support/notes/1833849","1833849")</f>
        <v>1833849</v>
      </c>
      <c r="E2532">
        <v>2</v>
      </c>
      <c r="F2532" t="s">
        <v>2807</v>
      </c>
    </row>
    <row r="2533" spans="1:6" x14ac:dyDescent="0.25">
      <c r="A2533" t="s">
        <v>3228</v>
      </c>
      <c r="B2533" t="s">
        <v>24</v>
      </c>
      <c r="C2533" t="s">
        <v>10</v>
      </c>
    </row>
    <row r="2534" spans="1:6" x14ac:dyDescent="0.25">
      <c r="A2534" t="s">
        <v>3228</v>
      </c>
      <c r="B2534" t="s">
        <v>2808</v>
      </c>
      <c r="C2534" t="s">
        <v>2809</v>
      </c>
      <c r="D2534" t="str">
        <f>HYPERLINK("http://service.sap.com/sap/support/notes/1827043","1827043")</f>
        <v>1827043</v>
      </c>
      <c r="E2534">
        <v>1</v>
      </c>
      <c r="F2534" t="s">
        <v>2810</v>
      </c>
    </row>
    <row r="2535" spans="1:6" x14ac:dyDescent="0.25">
      <c r="A2535" t="s">
        <v>3228</v>
      </c>
      <c r="B2535" t="s">
        <v>25</v>
      </c>
      <c r="C2535" t="s">
        <v>26</v>
      </c>
    </row>
    <row r="2536" spans="1:6" x14ac:dyDescent="0.25">
      <c r="A2536" t="s">
        <v>3228</v>
      </c>
      <c r="B2536" t="s">
        <v>27</v>
      </c>
      <c r="C2536" t="s">
        <v>28</v>
      </c>
      <c r="D2536" t="str">
        <f>HYPERLINK("http://service.sap.com/sap/support/notes/1817100","1817100")</f>
        <v>1817100</v>
      </c>
      <c r="E2536">
        <v>2</v>
      </c>
      <c r="F2536" t="s">
        <v>2811</v>
      </c>
    </row>
    <row r="2537" spans="1:6" x14ac:dyDescent="0.25">
      <c r="A2537" t="s">
        <v>3228</v>
      </c>
      <c r="B2537" t="s">
        <v>518</v>
      </c>
      <c r="C2537" t="s">
        <v>98</v>
      </c>
      <c r="D2537" t="str">
        <f>HYPERLINK("http://service.sap.com/sap/support/notes/1825273","1825273")</f>
        <v>1825273</v>
      </c>
      <c r="E2537">
        <v>3</v>
      </c>
      <c r="F2537" t="s">
        <v>2812</v>
      </c>
    </row>
    <row r="2538" spans="1:6" x14ac:dyDescent="0.25">
      <c r="A2538" t="s">
        <v>3228</v>
      </c>
      <c r="B2538" t="s">
        <v>518</v>
      </c>
      <c r="C2538" t="s">
        <v>98</v>
      </c>
      <c r="D2538" t="str">
        <f>HYPERLINK("http://service.sap.com/sap/support/notes/1826601","1826601")</f>
        <v>1826601</v>
      </c>
      <c r="E2538">
        <v>2</v>
      </c>
      <c r="F2538" t="s">
        <v>2813</v>
      </c>
    </row>
    <row r="2539" spans="1:6" x14ac:dyDescent="0.25">
      <c r="A2539" t="s">
        <v>3228</v>
      </c>
      <c r="B2539" t="s">
        <v>518</v>
      </c>
      <c r="C2539" t="s">
        <v>98</v>
      </c>
      <c r="D2539" t="str">
        <f>HYPERLINK("http://service.sap.com/sap/support/notes/1830775","1830775")</f>
        <v>1830775</v>
      </c>
      <c r="E2539">
        <v>2</v>
      </c>
      <c r="F2539" t="s">
        <v>2814</v>
      </c>
    </row>
    <row r="2540" spans="1:6" x14ac:dyDescent="0.25">
      <c r="A2540" t="s">
        <v>3228</v>
      </c>
      <c r="B2540" t="s">
        <v>519</v>
      </c>
      <c r="C2540" t="s">
        <v>132</v>
      </c>
      <c r="D2540" t="str">
        <f>HYPERLINK("http://service.sap.com/sap/support/notes/1836820","1836820")</f>
        <v>1836820</v>
      </c>
      <c r="E2540">
        <v>1</v>
      </c>
      <c r="F2540" t="s">
        <v>2815</v>
      </c>
    </row>
    <row r="2541" spans="1:6" x14ac:dyDescent="0.25">
      <c r="A2541" t="s">
        <v>3228</v>
      </c>
      <c r="B2541" t="s">
        <v>33</v>
      </c>
      <c r="C2541" t="s">
        <v>34</v>
      </c>
      <c r="D2541" t="str">
        <f>HYPERLINK("http://service.sap.com/sap/support/notes/1785942","1785942")</f>
        <v>1785942</v>
      </c>
      <c r="E2541">
        <v>2</v>
      </c>
      <c r="F2541" t="s">
        <v>2816</v>
      </c>
    </row>
    <row r="2542" spans="1:6" x14ac:dyDescent="0.25">
      <c r="A2542" t="s">
        <v>3228</v>
      </c>
      <c r="B2542" t="s">
        <v>33</v>
      </c>
      <c r="C2542" t="s">
        <v>34</v>
      </c>
      <c r="D2542" t="str">
        <f>HYPERLINK("http://service.sap.com/sap/support/notes/1816669","1816669")</f>
        <v>1816669</v>
      </c>
      <c r="E2542">
        <v>2</v>
      </c>
      <c r="F2542" t="s">
        <v>2372</v>
      </c>
    </row>
    <row r="2543" spans="1:6" x14ac:dyDescent="0.25">
      <c r="A2543" t="s">
        <v>3228</v>
      </c>
      <c r="B2543" t="s">
        <v>33</v>
      </c>
      <c r="C2543" t="s">
        <v>34</v>
      </c>
      <c r="D2543" t="str">
        <f>HYPERLINK("http://service.sap.com/sap/support/notes/1826765","1826765")</f>
        <v>1826765</v>
      </c>
      <c r="E2543">
        <v>2</v>
      </c>
      <c r="F2543" t="s">
        <v>2817</v>
      </c>
    </row>
    <row r="2544" spans="1:6" x14ac:dyDescent="0.25">
      <c r="A2544" t="s">
        <v>3228</v>
      </c>
      <c r="B2544" t="s">
        <v>33</v>
      </c>
      <c r="C2544" t="s">
        <v>34</v>
      </c>
      <c r="D2544" t="str">
        <f>HYPERLINK("http://service.sap.com/sap/support/notes/1832347","1832347")</f>
        <v>1832347</v>
      </c>
      <c r="E2544">
        <v>2</v>
      </c>
      <c r="F2544" t="s">
        <v>2818</v>
      </c>
    </row>
    <row r="2545" spans="1:6" x14ac:dyDescent="0.25">
      <c r="A2545" t="s">
        <v>3228</v>
      </c>
      <c r="B2545" t="s">
        <v>33</v>
      </c>
      <c r="C2545" t="s">
        <v>34</v>
      </c>
      <c r="D2545" t="str">
        <f>HYPERLINK("http://service.sap.com/sap/support/notes/1834163","1834163")</f>
        <v>1834163</v>
      </c>
      <c r="E2545">
        <v>1</v>
      </c>
      <c r="F2545" t="s">
        <v>2819</v>
      </c>
    </row>
    <row r="2546" spans="1:6" x14ac:dyDescent="0.25">
      <c r="A2546" t="s">
        <v>3228</v>
      </c>
      <c r="B2546" t="s">
        <v>33</v>
      </c>
      <c r="C2546" t="s">
        <v>34</v>
      </c>
      <c r="D2546" t="str">
        <f>HYPERLINK("http://service.sap.com/sap/support/notes/1836976","1836976")</f>
        <v>1836976</v>
      </c>
      <c r="E2546">
        <v>2</v>
      </c>
      <c r="F2546" t="s">
        <v>2820</v>
      </c>
    </row>
    <row r="2547" spans="1:6" x14ac:dyDescent="0.25">
      <c r="A2547" t="s">
        <v>3228</v>
      </c>
      <c r="B2547" t="s">
        <v>520</v>
      </c>
      <c r="C2547" t="s">
        <v>176</v>
      </c>
      <c r="D2547" t="str">
        <f>HYPERLINK("http://service.sap.com/sap/support/notes/1806803","1806803")</f>
        <v>1806803</v>
      </c>
      <c r="E2547">
        <v>2</v>
      </c>
      <c r="F2547" t="s">
        <v>2821</v>
      </c>
    </row>
    <row r="2548" spans="1:6" x14ac:dyDescent="0.25">
      <c r="A2548" t="s">
        <v>3228</v>
      </c>
      <c r="B2548" t="s">
        <v>40</v>
      </c>
      <c r="C2548" t="s">
        <v>41</v>
      </c>
      <c r="D2548" t="str">
        <f>HYPERLINK("http://service.sap.com/sap/support/notes/700094","700094")</f>
        <v>700094</v>
      </c>
      <c r="E2548">
        <v>8</v>
      </c>
      <c r="F2548" t="s">
        <v>42</v>
      </c>
    </row>
    <row r="2549" spans="1:6" x14ac:dyDescent="0.25">
      <c r="A2549" t="s">
        <v>3228</v>
      </c>
      <c r="B2549" t="s">
        <v>43</v>
      </c>
      <c r="C2549" t="s">
        <v>44</v>
      </c>
      <c r="D2549" t="str">
        <f>HYPERLINK("http://service.sap.com/sap/support/notes/1815635","1815635")</f>
        <v>1815635</v>
      </c>
      <c r="E2549">
        <v>2</v>
      </c>
      <c r="F2549" t="s">
        <v>2822</v>
      </c>
    </row>
    <row r="2550" spans="1:6" x14ac:dyDescent="0.25">
      <c r="A2550" t="s">
        <v>3228</v>
      </c>
      <c r="B2550" t="s">
        <v>43</v>
      </c>
      <c r="C2550" t="s">
        <v>44</v>
      </c>
      <c r="D2550" t="str">
        <f>HYPERLINK("http://service.sap.com/sap/support/notes/1828926","1828926")</f>
        <v>1828926</v>
      </c>
      <c r="E2550">
        <v>3</v>
      </c>
      <c r="F2550" t="s">
        <v>2823</v>
      </c>
    </row>
    <row r="2551" spans="1:6" x14ac:dyDescent="0.25">
      <c r="A2551" t="s">
        <v>3228</v>
      </c>
      <c r="B2551" t="s">
        <v>43</v>
      </c>
      <c r="C2551" t="s">
        <v>44</v>
      </c>
      <c r="D2551" t="str">
        <f>HYPERLINK("http://service.sap.com/sap/support/notes/1836284","1836284")</f>
        <v>1836284</v>
      </c>
      <c r="E2551">
        <v>1</v>
      </c>
      <c r="F2551" t="s">
        <v>2824</v>
      </c>
    </row>
    <row r="2552" spans="1:6" x14ac:dyDescent="0.25">
      <c r="A2552" t="s">
        <v>3228</v>
      </c>
      <c r="B2552" t="s">
        <v>522</v>
      </c>
      <c r="C2552" t="s">
        <v>523</v>
      </c>
      <c r="D2552" t="str">
        <f>HYPERLINK("http://service.sap.com/sap/support/notes/1829411","1829411")</f>
        <v>1829411</v>
      </c>
      <c r="E2552">
        <v>1</v>
      </c>
      <c r="F2552" t="s">
        <v>2825</v>
      </c>
    </row>
    <row r="2553" spans="1:6" x14ac:dyDescent="0.25">
      <c r="A2553" t="s">
        <v>3228</v>
      </c>
      <c r="B2553" t="s">
        <v>522</v>
      </c>
      <c r="C2553" t="s">
        <v>523</v>
      </c>
      <c r="D2553" t="str">
        <f>HYPERLINK("http://service.sap.com/sap/support/notes/1830060","1830060")</f>
        <v>1830060</v>
      </c>
      <c r="E2553">
        <v>1</v>
      </c>
      <c r="F2553" t="s">
        <v>2826</v>
      </c>
    </row>
    <row r="2554" spans="1:6" x14ac:dyDescent="0.25">
      <c r="A2554" t="s">
        <v>3228</v>
      </c>
      <c r="B2554" t="s">
        <v>1580</v>
      </c>
      <c r="C2554" t="s">
        <v>307</v>
      </c>
      <c r="D2554" t="str">
        <f>HYPERLINK("http://service.sap.com/sap/support/notes/1831752","1831752")</f>
        <v>1831752</v>
      </c>
      <c r="E2554">
        <v>1</v>
      </c>
      <c r="F2554" t="s">
        <v>2827</v>
      </c>
    </row>
    <row r="2555" spans="1:6" x14ac:dyDescent="0.25">
      <c r="A2555" t="s">
        <v>3228</v>
      </c>
      <c r="B2555" t="s">
        <v>681</v>
      </c>
      <c r="C2555" t="s">
        <v>320</v>
      </c>
      <c r="D2555" t="str">
        <f>HYPERLINK("http://service.sap.com/sap/support/notes/1819723","1819723")</f>
        <v>1819723</v>
      </c>
      <c r="E2555">
        <v>2</v>
      </c>
      <c r="F2555" t="s">
        <v>2828</v>
      </c>
    </row>
    <row r="2556" spans="1:6" x14ac:dyDescent="0.25">
      <c r="A2556" t="s">
        <v>3228</v>
      </c>
      <c r="B2556" t="s">
        <v>681</v>
      </c>
      <c r="C2556" t="s">
        <v>320</v>
      </c>
      <c r="D2556" t="str">
        <f>HYPERLINK("http://service.sap.com/sap/support/notes/1825186","1825186")</f>
        <v>1825186</v>
      </c>
      <c r="E2556">
        <v>3</v>
      </c>
      <c r="F2556" t="s">
        <v>2829</v>
      </c>
    </row>
    <row r="2557" spans="1:6" x14ac:dyDescent="0.25">
      <c r="A2557" t="s">
        <v>3228</v>
      </c>
      <c r="B2557" t="s">
        <v>681</v>
      </c>
      <c r="C2557" t="s">
        <v>320</v>
      </c>
      <c r="D2557" t="str">
        <f>HYPERLINK("http://service.sap.com/sap/support/notes/1828675","1828675")</f>
        <v>1828675</v>
      </c>
      <c r="E2557">
        <v>2</v>
      </c>
      <c r="F2557" t="s">
        <v>2830</v>
      </c>
    </row>
    <row r="2558" spans="1:6" x14ac:dyDescent="0.25">
      <c r="A2558" t="s">
        <v>3228</v>
      </c>
      <c r="B2558" t="s">
        <v>681</v>
      </c>
      <c r="C2558" t="s">
        <v>320</v>
      </c>
      <c r="D2558" t="str">
        <f>HYPERLINK("http://service.sap.com/sap/support/notes/1830205","1830205")</f>
        <v>1830205</v>
      </c>
      <c r="E2558">
        <v>2</v>
      </c>
      <c r="F2558" t="s">
        <v>2831</v>
      </c>
    </row>
    <row r="2559" spans="1:6" x14ac:dyDescent="0.25">
      <c r="A2559" t="s">
        <v>3228</v>
      </c>
      <c r="B2559" t="s">
        <v>681</v>
      </c>
      <c r="C2559" t="s">
        <v>320</v>
      </c>
      <c r="D2559" t="str">
        <f>HYPERLINK("http://service.sap.com/sap/support/notes/1835787","1835787")</f>
        <v>1835787</v>
      </c>
      <c r="E2559">
        <v>1</v>
      </c>
      <c r="F2559" t="s">
        <v>2832</v>
      </c>
    </row>
    <row r="2560" spans="1:6" x14ac:dyDescent="0.25">
      <c r="A2560" t="s">
        <v>3228</v>
      </c>
      <c r="B2560" t="s">
        <v>51</v>
      </c>
      <c r="C2560" t="s">
        <v>52</v>
      </c>
      <c r="D2560" t="str">
        <f>HYPERLINK("http://service.sap.com/sap/support/notes/1830654","1830654")</f>
        <v>1830654</v>
      </c>
      <c r="E2560">
        <v>3</v>
      </c>
      <c r="F2560" t="s">
        <v>2833</v>
      </c>
    </row>
    <row r="2561" spans="1:6" x14ac:dyDescent="0.25">
      <c r="A2561" t="s">
        <v>3228</v>
      </c>
      <c r="B2561" t="s">
        <v>51</v>
      </c>
      <c r="C2561" t="s">
        <v>52</v>
      </c>
      <c r="D2561" t="str">
        <f>HYPERLINK("http://service.sap.com/sap/support/notes/1835793","1835793")</f>
        <v>1835793</v>
      </c>
      <c r="E2561">
        <v>3</v>
      </c>
      <c r="F2561" t="s">
        <v>2834</v>
      </c>
    </row>
    <row r="2562" spans="1:6" x14ac:dyDescent="0.25">
      <c r="A2562" t="s">
        <v>3228</v>
      </c>
      <c r="B2562" t="s">
        <v>2835</v>
      </c>
      <c r="C2562" t="s">
        <v>2836</v>
      </c>
      <c r="D2562" t="str">
        <f>HYPERLINK("http://service.sap.com/sap/support/notes/1825042","1825042")</f>
        <v>1825042</v>
      </c>
      <c r="E2562">
        <v>1</v>
      </c>
      <c r="F2562" t="s">
        <v>2837</v>
      </c>
    </row>
    <row r="2563" spans="1:6" x14ac:dyDescent="0.25">
      <c r="A2563" t="s">
        <v>3228</v>
      </c>
      <c r="B2563" t="s">
        <v>54</v>
      </c>
      <c r="C2563" t="s">
        <v>55</v>
      </c>
      <c r="D2563" t="str">
        <f>HYPERLINK("http://service.sap.com/sap/support/notes/1829753","1829753")</f>
        <v>1829753</v>
      </c>
      <c r="E2563">
        <v>2</v>
      </c>
      <c r="F2563" t="s">
        <v>2838</v>
      </c>
    </row>
    <row r="2564" spans="1:6" x14ac:dyDescent="0.25">
      <c r="A2564" t="s">
        <v>3228</v>
      </c>
      <c r="B2564" t="s">
        <v>63</v>
      </c>
      <c r="C2564" t="s">
        <v>64</v>
      </c>
      <c r="D2564" t="str">
        <f>HYPERLINK("http://service.sap.com/sap/support/notes/960754","960754")</f>
        <v>960754</v>
      </c>
      <c r="E2564">
        <v>9</v>
      </c>
      <c r="F2564" t="s">
        <v>65</v>
      </c>
    </row>
    <row r="2565" spans="1:6" x14ac:dyDescent="0.25">
      <c r="A2565" t="s">
        <v>3228</v>
      </c>
      <c r="B2565" t="s">
        <v>63</v>
      </c>
      <c r="C2565" t="s">
        <v>64</v>
      </c>
      <c r="D2565" t="str">
        <f>HYPERLINK("http://service.sap.com/sap/support/notes/1116407","1116407")</f>
        <v>1116407</v>
      </c>
      <c r="E2565">
        <v>142</v>
      </c>
      <c r="F2565" t="s">
        <v>660</v>
      </c>
    </row>
    <row r="2566" spans="1:6" x14ac:dyDescent="0.25">
      <c r="A2566" t="s">
        <v>3228</v>
      </c>
      <c r="B2566" t="s">
        <v>63</v>
      </c>
      <c r="C2566" t="s">
        <v>64</v>
      </c>
      <c r="D2566" t="str">
        <f>HYPERLINK("http://service.sap.com/sap/support/notes/1744322","1744322")</f>
        <v>1744322</v>
      </c>
      <c r="E2566">
        <v>1</v>
      </c>
      <c r="F2566" t="s">
        <v>66</v>
      </c>
    </row>
    <row r="2567" spans="1:6" x14ac:dyDescent="0.25">
      <c r="A2567" t="s">
        <v>3228</v>
      </c>
      <c r="B2567" t="s">
        <v>63</v>
      </c>
      <c r="C2567" t="s">
        <v>64</v>
      </c>
      <c r="D2567" t="str">
        <f>HYPERLINK("http://service.sap.com/sap/support/notes/1817326","1817326")</f>
        <v>1817326</v>
      </c>
      <c r="E2567">
        <v>2</v>
      </c>
      <c r="F2567" t="s">
        <v>2394</v>
      </c>
    </row>
    <row r="2568" spans="1:6" x14ac:dyDescent="0.25">
      <c r="A2568" t="s">
        <v>3228</v>
      </c>
      <c r="B2568" t="s">
        <v>63</v>
      </c>
      <c r="C2568" t="s">
        <v>64</v>
      </c>
      <c r="D2568" t="str">
        <f>HYPERLINK("http://service.sap.com/sap/support/notes/1822761","1822761")</f>
        <v>1822761</v>
      </c>
      <c r="E2568">
        <v>2</v>
      </c>
      <c r="F2568" t="s">
        <v>2839</v>
      </c>
    </row>
    <row r="2569" spans="1:6" x14ac:dyDescent="0.25">
      <c r="A2569" t="s">
        <v>3228</v>
      </c>
      <c r="B2569" t="s">
        <v>63</v>
      </c>
      <c r="C2569" t="s">
        <v>64</v>
      </c>
      <c r="D2569" t="str">
        <f>HYPERLINK("http://service.sap.com/sap/support/notes/1823955","1823955")</f>
        <v>1823955</v>
      </c>
      <c r="E2569">
        <v>2</v>
      </c>
      <c r="F2569" t="s">
        <v>2840</v>
      </c>
    </row>
    <row r="2570" spans="1:6" x14ac:dyDescent="0.25">
      <c r="A2570" t="s">
        <v>3228</v>
      </c>
      <c r="B2570" t="s">
        <v>63</v>
      </c>
      <c r="C2570" t="s">
        <v>64</v>
      </c>
      <c r="D2570" t="str">
        <f>HYPERLINK("http://service.sap.com/sap/support/notes/1826465","1826465")</f>
        <v>1826465</v>
      </c>
      <c r="E2570">
        <v>1</v>
      </c>
      <c r="F2570" t="s">
        <v>2841</v>
      </c>
    </row>
    <row r="2571" spans="1:6" x14ac:dyDescent="0.25">
      <c r="A2571" t="s">
        <v>3228</v>
      </c>
      <c r="B2571" t="s">
        <v>63</v>
      </c>
      <c r="C2571" t="s">
        <v>64</v>
      </c>
      <c r="D2571" t="str">
        <f>HYPERLINK("http://service.sap.com/sap/support/notes/1835347","1835347")</f>
        <v>1835347</v>
      </c>
      <c r="E2571">
        <v>1</v>
      </c>
      <c r="F2571" t="s">
        <v>2842</v>
      </c>
    </row>
    <row r="2572" spans="1:6" x14ac:dyDescent="0.25">
      <c r="A2572" t="s">
        <v>3228</v>
      </c>
      <c r="B2572" t="s">
        <v>63</v>
      </c>
      <c r="C2572" t="s">
        <v>64</v>
      </c>
      <c r="D2572" t="str">
        <f>HYPERLINK("http://service.sap.com/sap/support/notes/1836186","1836186")</f>
        <v>1836186</v>
      </c>
      <c r="E2572">
        <v>3</v>
      </c>
      <c r="F2572" t="s">
        <v>2843</v>
      </c>
    </row>
    <row r="2573" spans="1:6" x14ac:dyDescent="0.25">
      <c r="A2573" t="s">
        <v>3228</v>
      </c>
      <c r="B2573" t="s">
        <v>63</v>
      </c>
      <c r="C2573" t="s">
        <v>64</v>
      </c>
      <c r="D2573" t="str">
        <f>HYPERLINK("http://service.sap.com/sap/support/notes/1836205","1836205")</f>
        <v>1836205</v>
      </c>
      <c r="E2573">
        <v>4</v>
      </c>
      <c r="F2573" t="s">
        <v>2844</v>
      </c>
    </row>
    <row r="2574" spans="1:6" x14ac:dyDescent="0.25">
      <c r="A2574" t="s">
        <v>3228</v>
      </c>
      <c r="B2574" t="s">
        <v>63</v>
      </c>
      <c r="C2574" t="s">
        <v>64</v>
      </c>
      <c r="D2574" t="str">
        <f>HYPERLINK("http://service.sap.com/sap/support/notes/1837303","1837303")</f>
        <v>1837303</v>
      </c>
      <c r="E2574">
        <v>1</v>
      </c>
      <c r="F2574" t="s">
        <v>2845</v>
      </c>
    </row>
    <row r="2575" spans="1:6" x14ac:dyDescent="0.25">
      <c r="A2575" t="s">
        <v>3228</v>
      </c>
      <c r="B2575" t="s">
        <v>661</v>
      </c>
      <c r="C2575" t="s">
        <v>438</v>
      </c>
      <c r="D2575" t="str">
        <f>HYPERLINK("http://service.sap.com/sap/support/notes/1820096","1820096")</f>
        <v>1820096</v>
      </c>
      <c r="E2575">
        <v>1</v>
      </c>
      <c r="F2575" t="s">
        <v>2846</v>
      </c>
    </row>
    <row r="2576" spans="1:6" x14ac:dyDescent="0.25">
      <c r="A2576" t="s">
        <v>3228</v>
      </c>
      <c r="B2576" t="s">
        <v>684</v>
      </c>
      <c r="C2576" t="s">
        <v>451</v>
      </c>
      <c r="D2576" t="str">
        <f>HYPERLINK("http://service.sap.com/sap/support/notes/1836518","1836518")</f>
        <v>1836518</v>
      </c>
      <c r="E2576">
        <v>1</v>
      </c>
      <c r="F2576" t="s">
        <v>2847</v>
      </c>
    </row>
    <row r="2577" spans="1:6" x14ac:dyDescent="0.25">
      <c r="A2577" t="s">
        <v>3228</v>
      </c>
      <c r="B2577" t="s">
        <v>531</v>
      </c>
      <c r="C2577" t="s">
        <v>532</v>
      </c>
      <c r="D2577" t="str">
        <f>HYPERLINK("http://service.sap.com/sap/support/notes/1793978","1793978")</f>
        <v>1793978</v>
      </c>
      <c r="E2577">
        <v>2</v>
      </c>
      <c r="F2577" t="s">
        <v>2848</v>
      </c>
    </row>
    <row r="2578" spans="1:6" x14ac:dyDescent="0.25">
      <c r="A2578" t="s">
        <v>3228</v>
      </c>
      <c r="B2578" t="s">
        <v>90</v>
      </c>
      <c r="C2578" t="s">
        <v>13</v>
      </c>
    </row>
    <row r="2579" spans="1:6" x14ac:dyDescent="0.25">
      <c r="A2579" t="s">
        <v>3228</v>
      </c>
      <c r="B2579" t="s">
        <v>91</v>
      </c>
      <c r="C2579" t="s">
        <v>92</v>
      </c>
      <c r="D2579" t="str">
        <f>HYPERLINK("http://service.sap.com/sap/support/notes/1796441","1796441")</f>
        <v>1796441</v>
      </c>
      <c r="E2579">
        <v>4</v>
      </c>
      <c r="F2579" t="s">
        <v>1611</v>
      </c>
    </row>
    <row r="2580" spans="1:6" x14ac:dyDescent="0.25">
      <c r="A2580" t="s">
        <v>3228</v>
      </c>
      <c r="B2580" t="s">
        <v>91</v>
      </c>
      <c r="C2580" t="s">
        <v>92</v>
      </c>
      <c r="D2580" t="str">
        <f>HYPERLINK("http://service.sap.com/sap/support/notes/1816261","1816261")</f>
        <v>1816261</v>
      </c>
      <c r="F2580" t="s">
        <v>2849</v>
      </c>
    </row>
    <row r="2581" spans="1:6" x14ac:dyDescent="0.25">
      <c r="A2581" t="s">
        <v>3228</v>
      </c>
      <c r="B2581" t="s">
        <v>91</v>
      </c>
      <c r="C2581" t="s">
        <v>92</v>
      </c>
      <c r="D2581" t="str">
        <f>HYPERLINK("http://service.sap.com/sap/support/notes/1832230","1832230")</f>
        <v>1832230</v>
      </c>
      <c r="E2581">
        <v>1</v>
      </c>
      <c r="F2581" t="s">
        <v>2850</v>
      </c>
    </row>
    <row r="2582" spans="1:6" x14ac:dyDescent="0.25">
      <c r="A2582" t="s">
        <v>3228</v>
      </c>
      <c r="B2582" t="s">
        <v>91</v>
      </c>
      <c r="C2582" t="s">
        <v>92</v>
      </c>
      <c r="D2582" t="str">
        <f>HYPERLINK("http://service.sap.com/sap/support/notes/1836566","1836566")</f>
        <v>1836566</v>
      </c>
      <c r="F2582" t="s">
        <v>2851</v>
      </c>
    </row>
    <row r="2583" spans="1:6" x14ac:dyDescent="0.25">
      <c r="A2583" t="s">
        <v>3228</v>
      </c>
      <c r="B2583" t="s">
        <v>95</v>
      </c>
      <c r="C2583" t="s">
        <v>96</v>
      </c>
    </row>
    <row r="2584" spans="1:6" x14ac:dyDescent="0.25">
      <c r="A2584" t="s">
        <v>3228</v>
      </c>
      <c r="B2584" t="s">
        <v>569</v>
      </c>
      <c r="C2584" t="s">
        <v>28</v>
      </c>
      <c r="D2584" t="str">
        <f>HYPERLINK("http://service.sap.com/sap/support/notes/1810254","1810254")</f>
        <v>1810254</v>
      </c>
      <c r="E2584">
        <v>3</v>
      </c>
      <c r="F2584" t="s">
        <v>2852</v>
      </c>
    </row>
    <row r="2585" spans="1:6" x14ac:dyDescent="0.25">
      <c r="A2585" t="s">
        <v>3228</v>
      </c>
      <c r="B2585" t="s">
        <v>569</v>
      </c>
      <c r="C2585" t="s">
        <v>28</v>
      </c>
      <c r="D2585" t="str">
        <f>HYPERLINK("http://service.sap.com/sap/support/notes/1826016","1826016")</f>
        <v>1826016</v>
      </c>
      <c r="E2585">
        <v>2</v>
      </c>
      <c r="F2585" t="s">
        <v>2853</v>
      </c>
    </row>
    <row r="2586" spans="1:6" x14ac:dyDescent="0.25">
      <c r="A2586" t="s">
        <v>3228</v>
      </c>
      <c r="B2586" t="s">
        <v>569</v>
      </c>
      <c r="C2586" t="s">
        <v>28</v>
      </c>
      <c r="D2586" t="str">
        <f>HYPERLINK("http://service.sap.com/sap/support/notes/1833319","1833319")</f>
        <v>1833319</v>
      </c>
      <c r="E2586">
        <v>1</v>
      </c>
      <c r="F2586" t="s">
        <v>701</v>
      </c>
    </row>
    <row r="2587" spans="1:6" x14ac:dyDescent="0.25">
      <c r="A2587" t="s">
        <v>3228</v>
      </c>
      <c r="B2587" t="s">
        <v>569</v>
      </c>
      <c r="C2587" t="s">
        <v>28</v>
      </c>
      <c r="D2587" t="str">
        <f>HYPERLINK("http://service.sap.com/sap/support/notes/1835166","1835166")</f>
        <v>1835166</v>
      </c>
      <c r="E2587">
        <v>1</v>
      </c>
      <c r="F2587" t="s">
        <v>2854</v>
      </c>
    </row>
    <row r="2588" spans="1:6" x14ac:dyDescent="0.25">
      <c r="A2588" t="s">
        <v>3228</v>
      </c>
      <c r="B2588" t="s">
        <v>569</v>
      </c>
      <c r="C2588" t="s">
        <v>28</v>
      </c>
      <c r="D2588" t="str">
        <f>HYPERLINK("http://service.sap.com/sap/support/notes/1835702","1835702")</f>
        <v>1835702</v>
      </c>
      <c r="E2588">
        <v>2</v>
      </c>
      <c r="F2588" t="s">
        <v>2855</v>
      </c>
    </row>
    <row r="2589" spans="1:6" x14ac:dyDescent="0.25">
      <c r="A2589" t="s">
        <v>3228</v>
      </c>
      <c r="B2589" t="s">
        <v>97</v>
      </c>
      <c r="C2589" t="s">
        <v>98</v>
      </c>
      <c r="D2589" t="str">
        <f>HYPERLINK("http://service.sap.com/sap/support/notes/1816506","1816506")</f>
        <v>1816506</v>
      </c>
      <c r="E2589">
        <v>1</v>
      </c>
      <c r="F2589" t="s">
        <v>2856</v>
      </c>
    </row>
    <row r="2590" spans="1:6" x14ac:dyDescent="0.25">
      <c r="A2590" t="s">
        <v>3228</v>
      </c>
      <c r="B2590" t="s">
        <v>97</v>
      </c>
      <c r="C2590" t="s">
        <v>98</v>
      </c>
      <c r="D2590" t="str">
        <f>HYPERLINK("http://service.sap.com/sap/support/notes/1824760","1824760")</f>
        <v>1824760</v>
      </c>
      <c r="E2590">
        <v>3</v>
      </c>
      <c r="F2590" t="s">
        <v>2857</v>
      </c>
    </row>
    <row r="2591" spans="1:6" x14ac:dyDescent="0.25">
      <c r="A2591" t="s">
        <v>3228</v>
      </c>
      <c r="B2591" t="s">
        <v>97</v>
      </c>
      <c r="C2591" t="s">
        <v>98</v>
      </c>
      <c r="D2591" t="str">
        <f>HYPERLINK("http://service.sap.com/sap/support/notes/1826596","1826596")</f>
        <v>1826596</v>
      </c>
      <c r="E2591">
        <v>3</v>
      </c>
      <c r="F2591" t="s">
        <v>2858</v>
      </c>
    </row>
    <row r="2592" spans="1:6" x14ac:dyDescent="0.25">
      <c r="A2592" t="s">
        <v>3228</v>
      </c>
      <c r="B2592" t="s">
        <v>97</v>
      </c>
      <c r="C2592" t="s">
        <v>98</v>
      </c>
      <c r="D2592" t="str">
        <f>HYPERLINK("http://service.sap.com/sap/support/notes/1828933","1828933")</f>
        <v>1828933</v>
      </c>
      <c r="E2592">
        <v>2</v>
      </c>
      <c r="F2592" t="s">
        <v>2859</v>
      </c>
    </row>
    <row r="2593" spans="1:6" x14ac:dyDescent="0.25">
      <c r="A2593" t="s">
        <v>3228</v>
      </c>
      <c r="B2593" t="s">
        <v>97</v>
      </c>
      <c r="C2593" t="s">
        <v>98</v>
      </c>
      <c r="D2593" t="str">
        <f>HYPERLINK("http://service.sap.com/sap/support/notes/1829666","1829666")</f>
        <v>1829666</v>
      </c>
      <c r="E2593">
        <v>4</v>
      </c>
      <c r="F2593" t="s">
        <v>2860</v>
      </c>
    </row>
    <row r="2594" spans="1:6" x14ac:dyDescent="0.25">
      <c r="A2594" t="s">
        <v>3228</v>
      </c>
      <c r="B2594" t="s">
        <v>97</v>
      </c>
      <c r="C2594" t="s">
        <v>98</v>
      </c>
      <c r="D2594" t="str">
        <f>HYPERLINK("http://service.sap.com/sap/support/notes/1830951","1830951")</f>
        <v>1830951</v>
      </c>
      <c r="E2594">
        <v>2</v>
      </c>
      <c r="F2594" t="s">
        <v>2861</v>
      </c>
    </row>
    <row r="2595" spans="1:6" x14ac:dyDescent="0.25">
      <c r="A2595" t="s">
        <v>3228</v>
      </c>
      <c r="B2595" t="s">
        <v>97</v>
      </c>
      <c r="C2595" t="s">
        <v>98</v>
      </c>
      <c r="D2595" t="str">
        <f>HYPERLINK("http://service.sap.com/sap/support/notes/1832780","1832780")</f>
        <v>1832780</v>
      </c>
      <c r="E2595">
        <v>1</v>
      </c>
      <c r="F2595" t="s">
        <v>2862</v>
      </c>
    </row>
    <row r="2596" spans="1:6" x14ac:dyDescent="0.25">
      <c r="A2596" t="s">
        <v>3228</v>
      </c>
      <c r="B2596" t="s">
        <v>114</v>
      </c>
      <c r="C2596" t="s">
        <v>115</v>
      </c>
      <c r="D2596" t="str">
        <f>HYPERLINK("http://service.sap.com/sap/support/notes/1752666","1752666")</f>
        <v>1752666</v>
      </c>
      <c r="E2596">
        <v>3</v>
      </c>
      <c r="F2596" t="s">
        <v>2863</v>
      </c>
    </row>
    <row r="2597" spans="1:6" x14ac:dyDescent="0.25">
      <c r="A2597" t="s">
        <v>3228</v>
      </c>
      <c r="B2597" t="s">
        <v>114</v>
      </c>
      <c r="C2597" t="s">
        <v>115</v>
      </c>
      <c r="D2597" t="str">
        <f>HYPERLINK("http://service.sap.com/sap/support/notes/1825054","1825054")</f>
        <v>1825054</v>
      </c>
      <c r="E2597">
        <v>2</v>
      </c>
      <c r="F2597" t="s">
        <v>2864</v>
      </c>
    </row>
    <row r="2598" spans="1:6" x14ac:dyDescent="0.25">
      <c r="A2598" t="s">
        <v>3228</v>
      </c>
      <c r="B2598" t="s">
        <v>114</v>
      </c>
      <c r="C2598" t="s">
        <v>115</v>
      </c>
      <c r="D2598" t="str">
        <f>HYPERLINK("http://service.sap.com/sap/support/notes/1827950","1827950")</f>
        <v>1827950</v>
      </c>
      <c r="E2598">
        <v>1</v>
      </c>
      <c r="F2598" t="s">
        <v>2865</v>
      </c>
    </row>
    <row r="2599" spans="1:6" x14ac:dyDescent="0.25">
      <c r="A2599" t="s">
        <v>3228</v>
      </c>
      <c r="B2599" t="s">
        <v>114</v>
      </c>
      <c r="C2599" t="s">
        <v>115</v>
      </c>
      <c r="D2599" t="str">
        <f>HYPERLINK("http://service.sap.com/sap/support/notes/1829965","1829965")</f>
        <v>1829965</v>
      </c>
      <c r="E2599">
        <v>2</v>
      </c>
      <c r="F2599" t="s">
        <v>2866</v>
      </c>
    </row>
    <row r="2600" spans="1:6" x14ac:dyDescent="0.25">
      <c r="A2600" t="s">
        <v>3228</v>
      </c>
      <c r="B2600" t="s">
        <v>114</v>
      </c>
      <c r="C2600" t="s">
        <v>115</v>
      </c>
      <c r="D2600" t="str">
        <f>HYPERLINK("http://service.sap.com/sap/support/notes/1830695","1830695")</f>
        <v>1830695</v>
      </c>
      <c r="E2600">
        <v>1</v>
      </c>
      <c r="F2600" t="s">
        <v>2867</v>
      </c>
    </row>
    <row r="2601" spans="1:6" x14ac:dyDescent="0.25">
      <c r="A2601" t="s">
        <v>3228</v>
      </c>
      <c r="B2601" t="s">
        <v>114</v>
      </c>
      <c r="C2601" t="s">
        <v>115</v>
      </c>
      <c r="D2601" t="str">
        <f>HYPERLINK("http://service.sap.com/sap/support/notes/1833396","1833396")</f>
        <v>1833396</v>
      </c>
      <c r="E2601">
        <v>1</v>
      </c>
      <c r="F2601" t="s">
        <v>2868</v>
      </c>
    </row>
    <row r="2602" spans="1:6" x14ac:dyDescent="0.25">
      <c r="A2602" t="s">
        <v>3228</v>
      </c>
      <c r="B2602" t="s">
        <v>114</v>
      </c>
      <c r="C2602" t="s">
        <v>115</v>
      </c>
      <c r="D2602" t="str">
        <f>HYPERLINK("http://service.sap.com/sap/support/notes/1834199","1834199")</f>
        <v>1834199</v>
      </c>
      <c r="E2602">
        <v>1</v>
      </c>
      <c r="F2602" t="s">
        <v>2869</v>
      </c>
    </row>
    <row r="2603" spans="1:6" x14ac:dyDescent="0.25">
      <c r="A2603" t="s">
        <v>3228</v>
      </c>
      <c r="B2603" t="s">
        <v>114</v>
      </c>
      <c r="C2603" t="s">
        <v>115</v>
      </c>
      <c r="D2603" t="str">
        <f>HYPERLINK("http://service.sap.com/sap/support/notes/1834274","1834274")</f>
        <v>1834274</v>
      </c>
      <c r="E2603">
        <v>3</v>
      </c>
      <c r="F2603" t="s">
        <v>2870</v>
      </c>
    </row>
    <row r="2604" spans="1:6" x14ac:dyDescent="0.25">
      <c r="A2604" t="s">
        <v>3228</v>
      </c>
      <c r="B2604" t="s">
        <v>114</v>
      </c>
      <c r="C2604" t="s">
        <v>115</v>
      </c>
      <c r="D2604" t="str">
        <f>HYPERLINK("http://service.sap.com/sap/support/notes/1834413","1834413")</f>
        <v>1834413</v>
      </c>
      <c r="E2604">
        <v>1</v>
      </c>
      <c r="F2604" t="s">
        <v>2871</v>
      </c>
    </row>
    <row r="2605" spans="1:6" x14ac:dyDescent="0.25">
      <c r="A2605" t="s">
        <v>3228</v>
      </c>
      <c r="B2605" t="s">
        <v>114</v>
      </c>
      <c r="C2605" t="s">
        <v>115</v>
      </c>
      <c r="D2605" t="str">
        <f>HYPERLINK("http://service.sap.com/sap/support/notes/1834672","1834672")</f>
        <v>1834672</v>
      </c>
      <c r="E2605">
        <v>1</v>
      </c>
      <c r="F2605" t="s">
        <v>2872</v>
      </c>
    </row>
    <row r="2606" spans="1:6" x14ac:dyDescent="0.25">
      <c r="A2606" t="s">
        <v>3228</v>
      </c>
      <c r="B2606" t="s">
        <v>114</v>
      </c>
      <c r="C2606" t="s">
        <v>115</v>
      </c>
      <c r="D2606" t="str">
        <f>HYPERLINK("http://service.sap.com/sap/support/notes/1835352","1835352")</f>
        <v>1835352</v>
      </c>
      <c r="E2606">
        <v>1</v>
      </c>
      <c r="F2606" t="s">
        <v>2873</v>
      </c>
    </row>
    <row r="2607" spans="1:6" x14ac:dyDescent="0.25">
      <c r="A2607" t="s">
        <v>3228</v>
      </c>
      <c r="B2607" t="s">
        <v>114</v>
      </c>
      <c r="C2607" t="s">
        <v>115</v>
      </c>
      <c r="D2607" t="str">
        <f>HYPERLINK("http://service.sap.com/sap/support/notes/1836950","1836950")</f>
        <v>1836950</v>
      </c>
      <c r="E2607">
        <v>2</v>
      </c>
      <c r="F2607" t="s">
        <v>2874</v>
      </c>
    </row>
    <row r="2608" spans="1:6" x14ac:dyDescent="0.25">
      <c r="A2608" t="s">
        <v>3228</v>
      </c>
      <c r="B2608" t="s">
        <v>685</v>
      </c>
      <c r="C2608" t="s">
        <v>686</v>
      </c>
      <c r="D2608" t="str">
        <f>HYPERLINK("http://service.sap.com/sap/support/notes/1833063","1833063")</f>
        <v>1833063</v>
      </c>
      <c r="E2608">
        <v>1</v>
      </c>
      <c r="F2608" t="s">
        <v>2875</v>
      </c>
    </row>
    <row r="2609" spans="1:6" x14ac:dyDescent="0.25">
      <c r="A2609" t="s">
        <v>3228</v>
      </c>
      <c r="B2609" t="s">
        <v>127</v>
      </c>
      <c r="C2609" t="s">
        <v>128</v>
      </c>
      <c r="D2609" t="str">
        <f>HYPERLINK("http://service.sap.com/sap/support/notes/1822226","1822226")</f>
        <v>1822226</v>
      </c>
      <c r="E2609">
        <v>2</v>
      </c>
      <c r="F2609" t="s">
        <v>2876</v>
      </c>
    </row>
    <row r="2610" spans="1:6" x14ac:dyDescent="0.25">
      <c r="A2610" t="s">
        <v>3228</v>
      </c>
      <c r="B2610" t="s">
        <v>127</v>
      </c>
      <c r="C2610" t="s">
        <v>128</v>
      </c>
      <c r="D2610" t="str">
        <f>HYPERLINK("http://service.sap.com/sap/support/notes/1824448","1824448")</f>
        <v>1824448</v>
      </c>
      <c r="E2610">
        <v>2</v>
      </c>
      <c r="F2610" t="s">
        <v>2877</v>
      </c>
    </row>
    <row r="2611" spans="1:6" x14ac:dyDescent="0.25">
      <c r="A2611" t="s">
        <v>3228</v>
      </c>
      <c r="B2611" t="s">
        <v>127</v>
      </c>
      <c r="C2611" t="s">
        <v>128</v>
      </c>
      <c r="D2611" t="str">
        <f>HYPERLINK("http://service.sap.com/sap/support/notes/1827270","1827270")</f>
        <v>1827270</v>
      </c>
      <c r="E2611">
        <v>2</v>
      </c>
      <c r="F2611" t="s">
        <v>2878</v>
      </c>
    </row>
    <row r="2612" spans="1:6" x14ac:dyDescent="0.25">
      <c r="A2612" t="s">
        <v>3228</v>
      </c>
      <c r="B2612" t="s">
        <v>131</v>
      </c>
      <c r="C2612" t="s">
        <v>132</v>
      </c>
      <c r="D2612" t="str">
        <f>HYPERLINK("http://service.sap.com/sap/support/notes/1770208","1770208")</f>
        <v>1770208</v>
      </c>
      <c r="E2612">
        <v>2</v>
      </c>
      <c r="F2612" t="s">
        <v>2879</v>
      </c>
    </row>
    <row r="2613" spans="1:6" x14ac:dyDescent="0.25">
      <c r="A2613" t="s">
        <v>3228</v>
      </c>
      <c r="B2613" t="s">
        <v>131</v>
      </c>
      <c r="C2613" t="s">
        <v>132</v>
      </c>
      <c r="D2613" t="str">
        <f>HYPERLINK("http://service.sap.com/sap/support/notes/1781978","1781978")</f>
        <v>1781978</v>
      </c>
      <c r="E2613">
        <v>3</v>
      </c>
      <c r="F2613" t="s">
        <v>2880</v>
      </c>
    </row>
    <row r="2614" spans="1:6" x14ac:dyDescent="0.25">
      <c r="A2614" t="s">
        <v>3228</v>
      </c>
      <c r="B2614" t="s">
        <v>131</v>
      </c>
      <c r="C2614" t="s">
        <v>132</v>
      </c>
      <c r="D2614" t="str">
        <f>HYPERLINK("http://service.sap.com/sap/support/notes/1793154","1793154")</f>
        <v>1793154</v>
      </c>
      <c r="E2614">
        <v>5</v>
      </c>
      <c r="F2614" t="s">
        <v>2881</v>
      </c>
    </row>
    <row r="2615" spans="1:6" x14ac:dyDescent="0.25">
      <c r="A2615" t="s">
        <v>3228</v>
      </c>
      <c r="B2615" t="s">
        <v>131</v>
      </c>
      <c r="C2615" t="s">
        <v>132</v>
      </c>
      <c r="D2615" t="str">
        <f>HYPERLINK("http://service.sap.com/sap/support/notes/1808304","1808304")</f>
        <v>1808304</v>
      </c>
      <c r="E2615">
        <v>2</v>
      </c>
      <c r="F2615" t="s">
        <v>2882</v>
      </c>
    </row>
    <row r="2616" spans="1:6" x14ac:dyDescent="0.25">
      <c r="A2616" t="s">
        <v>3228</v>
      </c>
      <c r="B2616" t="s">
        <v>131</v>
      </c>
      <c r="C2616" t="s">
        <v>132</v>
      </c>
      <c r="D2616" t="str">
        <f>HYPERLINK("http://service.sap.com/sap/support/notes/1814035","1814035")</f>
        <v>1814035</v>
      </c>
      <c r="E2616">
        <v>2</v>
      </c>
      <c r="F2616" t="s">
        <v>2883</v>
      </c>
    </row>
    <row r="2617" spans="1:6" x14ac:dyDescent="0.25">
      <c r="A2617" t="s">
        <v>3228</v>
      </c>
      <c r="B2617" t="s">
        <v>131</v>
      </c>
      <c r="C2617" t="s">
        <v>132</v>
      </c>
      <c r="D2617" t="str">
        <f>HYPERLINK("http://service.sap.com/sap/support/notes/1821735","1821735")</f>
        <v>1821735</v>
      </c>
      <c r="E2617">
        <v>2</v>
      </c>
      <c r="F2617" t="s">
        <v>2884</v>
      </c>
    </row>
    <row r="2618" spans="1:6" x14ac:dyDescent="0.25">
      <c r="A2618" t="s">
        <v>3228</v>
      </c>
      <c r="B2618" t="s">
        <v>131</v>
      </c>
      <c r="C2618" t="s">
        <v>132</v>
      </c>
      <c r="D2618" t="str">
        <f>HYPERLINK("http://service.sap.com/sap/support/notes/1822878","1822878")</f>
        <v>1822878</v>
      </c>
      <c r="E2618">
        <v>2</v>
      </c>
      <c r="F2618" t="s">
        <v>2885</v>
      </c>
    </row>
    <row r="2619" spans="1:6" x14ac:dyDescent="0.25">
      <c r="A2619" t="s">
        <v>3228</v>
      </c>
      <c r="B2619" t="s">
        <v>131</v>
      </c>
      <c r="C2619" t="s">
        <v>132</v>
      </c>
      <c r="D2619" t="str">
        <f>HYPERLINK("http://service.sap.com/sap/support/notes/1825342","1825342")</f>
        <v>1825342</v>
      </c>
      <c r="E2619">
        <v>1</v>
      </c>
      <c r="F2619" t="s">
        <v>2886</v>
      </c>
    </row>
    <row r="2620" spans="1:6" x14ac:dyDescent="0.25">
      <c r="A2620" t="s">
        <v>3228</v>
      </c>
      <c r="B2620" t="s">
        <v>131</v>
      </c>
      <c r="C2620" t="s">
        <v>132</v>
      </c>
      <c r="D2620" t="str">
        <f>HYPERLINK("http://service.sap.com/sap/support/notes/1826412","1826412")</f>
        <v>1826412</v>
      </c>
      <c r="E2620">
        <v>2</v>
      </c>
      <c r="F2620" t="s">
        <v>2887</v>
      </c>
    </row>
    <row r="2621" spans="1:6" x14ac:dyDescent="0.25">
      <c r="A2621" t="s">
        <v>3228</v>
      </c>
      <c r="B2621" t="s">
        <v>131</v>
      </c>
      <c r="C2621" t="s">
        <v>132</v>
      </c>
      <c r="D2621" t="str">
        <f>HYPERLINK("http://service.sap.com/sap/support/notes/1827426","1827426")</f>
        <v>1827426</v>
      </c>
      <c r="E2621">
        <v>4</v>
      </c>
      <c r="F2621" t="s">
        <v>2888</v>
      </c>
    </row>
    <row r="2622" spans="1:6" x14ac:dyDescent="0.25">
      <c r="A2622" t="s">
        <v>3228</v>
      </c>
      <c r="B2622" t="s">
        <v>131</v>
      </c>
      <c r="C2622" t="s">
        <v>132</v>
      </c>
      <c r="D2622" t="str">
        <f>HYPERLINK("http://service.sap.com/sap/support/notes/1827475","1827475")</f>
        <v>1827475</v>
      </c>
      <c r="E2622">
        <v>2</v>
      </c>
      <c r="F2622" t="s">
        <v>2889</v>
      </c>
    </row>
    <row r="2623" spans="1:6" x14ac:dyDescent="0.25">
      <c r="A2623" t="s">
        <v>3228</v>
      </c>
      <c r="B2623" t="s">
        <v>131</v>
      </c>
      <c r="C2623" t="s">
        <v>132</v>
      </c>
      <c r="D2623" t="str">
        <f>HYPERLINK("http://service.sap.com/sap/support/notes/1827725","1827725")</f>
        <v>1827725</v>
      </c>
      <c r="E2623">
        <v>4</v>
      </c>
      <c r="F2623" t="s">
        <v>2890</v>
      </c>
    </row>
    <row r="2624" spans="1:6" x14ac:dyDescent="0.25">
      <c r="A2624" t="s">
        <v>3228</v>
      </c>
      <c r="B2624" t="s">
        <v>131</v>
      </c>
      <c r="C2624" t="s">
        <v>132</v>
      </c>
      <c r="D2624" t="str">
        <f>HYPERLINK("http://service.sap.com/sap/support/notes/1828132","1828132")</f>
        <v>1828132</v>
      </c>
      <c r="E2624">
        <v>3</v>
      </c>
      <c r="F2624" t="s">
        <v>2891</v>
      </c>
    </row>
    <row r="2625" spans="1:6" x14ac:dyDescent="0.25">
      <c r="A2625" t="s">
        <v>3228</v>
      </c>
      <c r="B2625" t="s">
        <v>131</v>
      </c>
      <c r="C2625" t="s">
        <v>132</v>
      </c>
      <c r="D2625" t="str">
        <f>HYPERLINK("http://service.sap.com/sap/support/notes/1828942","1828942")</f>
        <v>1828942</v>
      </c>
      <c r="E2625">
        <v>3</v>
      </c>
      <c r="F2625" t="s">
        <v>2892</v>
      </c>
    </row>
    <row r="2626" spans="1:6" x14ac:dyDescent="0.25">
      <c r="A2626" t="s">
        <v>3228</v>
      </c>
      <c r="B2626" t="s">
        <v>131</v>
      </c>
      <c r="C2626" t="s">
        <v>132</v>
      </c>
      <c r="D2626" t="str">
        <f>HYPERLINK("http://service.sap.com/sap/support/notes/1829016","1829016")</f>
        <v>1829016</v>
      </c>
      <c r="E2626">
        <v>1</v>
      </c>
      <c r="F2626" t="s">
        <v>2893</v>
      </c>
    </row>
    <row r="2627" spans="1:6" x14ac:dyDescent="0.25">
      <c r="A2627" t="s">
        <v>3228</v>
      </c>
      <c r="B2627" t="s">
        <v>131</v>
      </c>
      <c r="C2627" t="s">
        <v>132</v>
      </c>
      <c r="D2627" t="str">
        <f>HYPERLINK("http://service.sap.com/sap/support/notes/1829094","1829094")</f>
        <v>1829094</v>
      </c>
      <c r="E2627">
        <v>1</v>
      </c>
      <c r="F2627" t="s">
        <v>2894</v>
      </c>
    </row>
    <row r="2628" spans="1:6" x14ac:dyDescent="0.25">
      <c r="A2628" t="s">
        <v>3228</v>
      </c>
      <c r="B2628" t="s">
        <v>131</v>
      </c>
      <c r="C2628" t="s">
        <v>132</v>
      </c>
      <c r="D2628" t="str">
        <f>HYPERLINK("http://service.sap.com/sap/support/notes/1830206","1830206")</f>
        <v>1830206</v>
      </c>
      <c r="E2628">
        <v>2</v>
      </c>
      <c r="F2628" t="s">
        <v>2895</v>
      </c>
    </row>
    <row r="2629" spans="1:6" x14ac:dyDescent="0.25">
      <c r="A2629" t="s">
        <v>3228</v>
      </c>
      <c r="B2629" t="s">
        <v>131</v>
      </c>
      <c r="C2629" t="s">
        <v>132</v>
      </c>
      <c r="D2629" t="str">
        <f>HYPERLINK("http://service.sap.com/sap/support/notes/1830535","1830535")</f>
        <v>1830535</v>
      </c>
      <c r="E2629">
        <v>2</v>
      </c>
      <c r="F2629" t="s">
        <v>2896</v>
      </c>
    </row>
    <row r="2630" spans="1:6" x14ac:dyDescent="0.25">
      <c r="A2630" t="s">
        <v>3228</v>
      </c>
      <c r="B2630" t="s">
        <v>131</v>
      </c>
      <c r="C2630" t="s">
        <v>132</v>
      </c>
      <c r="D2630" t="str">
        <f>HYPERLINK("http://service.sap.com/sap/support/notes/1831112","1831112")</f>
        <v>1831112</v>
      </c>
      <c r="E2630">
        <v>3</v>
      </c>
      <c r="F2630" t="s">
        <v>2897</v>
      </c>
    </row>
    <row r="2631" spans="1:6" x14ac:dyDescent="0.25">
      <c r="A2631" t="s">
        <v>3228</v>
      </c>
      <c r="B2631" t="s">
        <v>131</v>
      </c>
      <c r="C2631" t="s">
        <v>132</v>
      </c>
      <c r="D2631" t="str">
        <f>HYPERLINK("http://service.sap.com/sap/support/notes/1831240","1831240")</f>
        <v>1831240</v>
      </c>
      <c r="E2631">
        <v>12</v>
      </c>
      <c r="F2631" t="s">
        <v>2898</v>
      </c>
    </row>
    <row r="2632" spans="1:6" x14ac:dyDescent="0.25">
      <c r="A2632" t="s">
        <v>3228</v>
      </c>
      <c r="B2632" t="s">
        <v>131</v>
      </c>
      <c r="C2632" t="s">
        <v>132</v>
      </c>
      <c r="D2632" t="str">
        <f>HYPERLINK("http://service.sap.com/sap/support/notes/1831637","1831637")</f>
        <v>1831637</v>
      </c>
      <c r="E2632">
        <v>2</v>
      </c>
      <c r="F2632" t="s">
        <v>2899</v>
      </c>
    </row>
    <row r="2633" spans="1:6" x14ac:dyDescent="0.25">
      <c r="A2633" t="s">
        <v>3228</v>
      </c>
      <c r="B2633" t="s">
        <v>131</v>
      </c>
      <c r="C2633" t="s">
        <v>132</v>
      </c>
      <c r="D2633" t="str">
        <f>HYPERLINK("http://service.sap.com/sap/support/notes/1831693","1831693")</f>
        <v>1831693</v>
      </c>
      <c r="E2633">
        <v>2</v>
      </c>
      <c r="F2633" t="s">
        <v>2900</v>
      </c>
    </row>
    <row r="2634" spans="1:6" x14ac:dyDescent="0.25">
      <c r="A2634" t="s">
        <v>3228</v>
      </c>
      <c r="B2634" t="s">
        <v>131</v>
      </c>
      <c r="C2634" t="s">
        <v>132</v>
      </c>
      <c r="D2634" t="str">
        <f>HYPERLINK("http://service.sap.com/sap/support/notes/1833468","1833468")</f>
        <v>1833468</v>
      </c>
      <c r="E2634">
        <v>2</v>
      </c>
      <c r="F2634" t="s">
        <v>2901</v>
      </c>
    </row>
    <row r="2635" spans="1:6" x14ac:dyDescent="0.25">
      <c r="A2635" t="s">
        <v>3228</v>
      </c>
      <c r="B2635" t="s">
        <v>131</v>
      </c>
      <c r="C2635" t="s">
        <v>132</v>
      </c>
      <c r="D2635" t="str">
        <f>HYPERLINK("http://service.sap.com/sap/support/notes/1834296","1834296")</f>
        <v>1834296</v>
      </c>
      <c r="E2635">
        <v>2</v>
      </c>
      <c r="F2635" t="s">
        <v>2902</v>
      </c>
    </row>
    <row r="2636" spans="1:6" x14ac:dyDescent="0.25">
      <c r="A2636" t="s">
        <v>3228</v>
      </c>
      <c r="B2636" t="s">
        <v>131</v>
      </c>
      <c r="C2636" t="s">
        <v>132</v>
      </c>
      <c r="D2636" t="str">
        <f>HYPERLINK("http://service.sap.com/sap/support/notes/1834882","1834882")</f>
        <v>1834882</v>
      </c>
      <c r="E2636">
        <v>3</v>
      </c>
      <c r="F2636" t="s">
        <v>2903</v>
      </c>
    </row>
    <row r="2637" spans="1:6" x14ac:dyDescent="0.25">
      <c r="A2637" t="s">
        <v>3228</v>
      </c>
      <c r="B2637" t="s">
        <v>131</v>
      </c>
      <c r="C2637" t="s">
        <v>132</v>
      </c>
      <c r="D2637" t="str">
        <f>HYPERLINK("http://service.sap.com/sap/support/notes/1835672","1835672")</f>
        <v>1835672</v>
      </c>
      <c r="E2637">
        <v>3</v>
      </c>
      <c r="F2637" t="s">
        <v>2904</v>
      </c>
    </row>
    <row r="2638" spans="1:6" x14ac:dyDescent="0.25">
      <c r="A2638" t="s">
        <v>3228</v>
      </c>
      <c r="B2638" t="s">
        <v>131</v>
      </c>
      <c r="C2638" t="s">
        <v>132</v>
      </c>
      <c r="D2638" t="str">
        <f>HYPERLINK("http://service.sap.com/sap/support/notes/1836088","1836088")</f>
        <v>1836088</v>
      </c>
      <c r="E2638">
        <v>4</v>
      </c>
      <c r="F2638" t="s">
        <v>2905</v>
      </c>
    </row>
    <row r="2639" spans="1:6" x14ac:dyDescent="0.25">
      <c r="A2639" t="s">
        <v>3228</v>
      </c>
      <c r="B2639" t="s">
        <v>131</v>
      </c>
      <c r="C2639" t="s">
        <v>132</v>
      </c>
      <c r="D2639" t="str">
        <f>HYPERLINK("http://service.sap.com/sap/support/notes/1841296","1841296")</f>
        <v>1841296</v>
      </c>
      <c r="E2639">
        <v>1</v>
      </c>
      <c r="F2639" t="s">
        <v>2906</v>
      </c>
    </row>
    <row r="2640" spans="1:6" x14ac:dyDescent="0.25">
      <c r="A2640" t="s">
        <v>3228</v>
      </c>
      <c r="B2640" t="s">
        <v>144</v>
      </c>
      <c r="C2640" t="s">
        <v>145</v>
      </c>
      <c r="D2640" t="str">
        <f>HYPERLINK("http://service.sap.com/sap/support/notes/1669292","1669292")</f>
        <v>1669292</v>
      </c>
      <c r="E2640">
        <v>4</v>
      </c>
      <c r="F2640" t="s">
        <v>2907</v>
      </c>
    </row>
    <row r="2641" spans="1:6" x14ac:dyDescent="0.25">
      <c r="A2641" t="s">
        <v>3228</v>
      </c>
      <c r="B2641" t="s">
        <v>144</v>
      </c>
      <c r="C2641" t="s">
        <v>145</v>
      </c>
      <c r="D2641" t="str">
        <f>HYPERLINK("http://service.sap.com/sap/support/notes/1791714","1791714")</f>
        <v>1791714</v>
      </c>
      <c r="E2641">
        <v>5</v>
      </c>
      <c r="F2641" t="s">
        <v>2908</v>
      </c>
    </row>
    <row r="2642" spans="1:6" x14ac:dyDescent="0.25">
      <c r="A2642" t="s">
        <v>3228</v>
      </c>
      <c r="B2642" t="s">
        <v>144</v>
      </c>
      <c r="C2642" t="s">
        <v>145</v>
      </c>
      <c r="D2642" t="str">
        <f>HYPERLINK("http://service.sap.com/sap/support/notes/1812914","1812914")</f>
        <v>1812914</v>
      </c>
      <c r="E2642">
        <v>4</v>
      </c>
      <c r="F2642" t="s">
        <v>2909</v>
      </c>
    </row>
    <row r="2643" spans="1:6" x14ac:dyDescent="0.25">
      <c r="A2643" t="s">
        <v>3228</v>
      </c>
      <c r="B2643" t="s">
        <v>144</v>
      </c>
      <c r="C2643" t="s">
        <v>145</v>
      </c>
      <c r="D2643" t="str">
        <f>HYPERLINK("http://service.sap.com/sap/support/notes/1816371","1816371")</f>
        <v>1816371</v>
      </c>
      <c r="E2643">
        <v>2</v>
      </c>
      <c r="F2643" t="s">
        <v>2910</v>
      </c>
    </row>
    <row r="2644" spans="1:6" x14ac:dyDescent="0.25">
      <c r="A2644" t="s">
        <v>3228</v>
      </c>
      <c r="B2644" t="s">
        <v>144</v>
      </c>
      <c r="C2644" t="s">
        <v>145</v>
      </c>
      <c r="D2644" t="str">
        <f>HYPERLINK("http://service.sap.com/sap/support/notes/1819284","1819284")</f>
        <v>1819284</v>
      </c>
      <c r="E2644">
        <v>2</v>
      </c>
      <c r="F2644" t="s">
        <v>2911</v>
      </c>
    </row>
    <row r="2645" spans="1:6" x14ac:dyDescent="0.25">
      <c r="A2645" t="s">
        <v>3228</v>
      </c>
      <c r="B2645" t="s">
        <v>144</v>
      </c>
      <c r="C2645" t="s">
        <v>145</v>
      </c>
      <c r="D2645" t="str">
        <f>HYPERLINK("http://service.sap.com/sap/support/notes/1824924","1824924")</f>
        <v>1824924</v>
      </c>
      <c r="E2645">
        <v>2</v>
      </c>
      <c r="F2645" t="s">
        <v>2912</v>
      </c>
    </row>
    <row r="2646" spans="1:6" x14ac:dyDescent="0.25">
      <c r="A2646" t="s">
        <v>3228</v>
      </c>
      <c r="B2646" t="s">
        <v>144</v>
      </c>
      <c r="C2646" t="s">
        <v>145</v>
      </c>
      <c r="D2646" t="str">
        <f>HYPERLINK("http://service.sap.com/sap/support/notes/1830916","1830916")</f>
        <v>1830916</v>
      </c>
      <c r="E2646">
        <v>3</v>
      </c>
      <c r="F2646" t="s">
        <v>2913</v>
      </c>
    </row>
    <row r="2647" spans="1:6" x14ac:dyDescent="0.25">
      <c r="A2647" t="s">
        <v>3228</v>
      </c>
      <c r="B2647" t="s">
        <v>150</v>
      </c>
      <c r="C2647" t="s">
        <v>151</v>
      </c>
      <c r="D2647" t="str">
        <f>HYPERLINK("http://service.sap.com/sap/support/notes/1749203","1749203")</f>
        <v>1749203</v>
      </c>
      <c r="E2647">
        <v>2</v>
      </c>
      <c r="F2647" t="s">
        <v>1048</v>
      </c>
    </row>
    <row r="2648" spans="1:6" x14ac:dyDescent="0.25">
      <c r="A2648" t="s">
        <v>3228</v>
      </c>
      <c r="B2648" t="s">
        <v>150</v>
      </c>
      <c r="C2648" t="s">
        <v>151</v>
      </c>
      <c r="D2648" t="str">
        <f>HYPERLINK("http://service.sap.com/sap/support/notes/1799917","1799917")</f>
        <v>1799917</v>
      </c>
      <c r="E2648">
        <v>5</v>
      </c>
      <c r="F2648" t="s">
        <v>2914</v>
      </c>
    </row>
    <row r="2649" spans="1:6" x14ac:dyDescent="0.25">
      <c r="A2649" t="s">
        <v>3228</v>
      </c>
      <c r="B2649" t="s">
        <v>150</v>
      </c>
      <c r="C2649" t="s">
        <v>151</v>
      </c>
      <c r="D2649" t="str">
        <f>HYPERLINK("http://service.sap.com/sap/support/notes/1802577","1802577")</f>
        <v>1802577</v>
      </c>
      <c r="E2649">
        <v>2</v>
      </c>
      <c r="F2649" t="s">
        <v>2915</v>
      </c>
    </row>
    <row r="2650" spans="1:6" x14ac:dyDescent="0.25">
      <c r="A2650" t="s">
        <v>3228</v>
      </c>
      <c r="B2650" t="s">
        <v>150</v>
      </c>
      <c r="C2650" t="s">
        <v>151</v>
      </c>
      <c r="D2650" t="str">
        <f>HYPERLINK("http://service.sap.com/sap/support/notes/1815969","1815969")</f>
        <v>1815969</v>
      </c>
      <c r="E2650">
        <v>2</v>
      </c>
      <c r="F2650" t="s">
        <v>2916</v>
      </c>
    </row>
    <row r="2651" spans="1:6" x14ac:dyDescent="0.25">
      <c r="A2651" t="s">
        <v>3228</v>
      </c>
      <c r="B2651" t="s">
        <v>150</v>
      </c>
      <c r="C2651" t="s">
        <v>151</v>
      </c>
      <c r="D2651" t="str">
        <f>HYPERLINK("http://service.sap.com/sap/support/notes/1818280","1818280")</f>
        <v>1818280</v>
      </c>
      <c r="E2651">
        <v>1</v>
      </c>
      <c r="F2651" t="s">
        <v>2917</v>
      </c>
    </row>
    <row r="2652" spans="1:6" x14ac:dyDescent="0.25">
      <c r="A2652" t="s">
        <v>3228</v>
      </c>
      <c r="B2652" t="s">
        <v>155</v>
      </c>
      <c r="C2652" t="s">
        <v>156</v>
      </c>
      <c r="D2652" t="str">
        <f>HYPERLINK("http://service.sap.com/sap/support/notes/1765236","1765236")</f>
        <v>1765236</v>
      </c>
      <c r="E2652">
        <v>2</v>
      </c>
      <c r="F2652" t="s">
        <v>2918</v>
      </c>
    </row>
    <row r="2653" spans="1:6" x14ac:dyDescent="0.25">
      <c r="A2653" t="s">
        <v>3228</v>
      </c>
      <c r="B2653" t="s">
        <v>155</v>
      </c>
      <c r="C2653" t="s">
        <v>156</v>
      </c>
      <c r="D2653" t="str">
        <f>HYPERLINK("http://service.sap.com/sap/support/notes/1785385","1785385")</f>
        <v>1785385</v>
      </c>
      <c r="E2653">
        <v>2</v>
      </c>
      <c r="F2653" t="s">
        <v>2919</v>
      </c>
    </row>
    <row r="2654" spans="1:6" x14ac:dyDescent="0.25">
      <c r="A2654" t="s">
        <v>3228</v>
      </c>
      <c r="B2654" t="s">
        <v>155</v>
      </c>
      <c r="C2654" t="s">
        <v>156</v>
      </c>
      <c r="D2654" t="str">
        <f>HYPERLINK("http://service.sap.com/sap/support/notes/1794148","1794148")</f>
        <v>1794148</v>
      </c>
      <c r="E2654">
        <v>2</v>
      </c>
      <c r="F2654" t="s">
        <v>2920</v>
      </c>
    </row>
    <row r="2655" spans="1:6" x14ac:dyDescent="0.25">
      <c r="A2655" t="s">
        <v>3228</v>
      </c>
      <c r="B2655" t="s">
        <v>155</v>
      </c>
      <c r="C2655" t="s">
        <v>156</v>
      </c>
      <c r="D2655" t="str">
        <f>HYPERLINK("http://service.sap.com/sap/support/notes/1805914","1805914")</f>
        <v>1805914</v>
      </c>
      <c r="E2655">
        <v>2</v>
      </c>
      <c r="F2655" t="s">
        <v>2921</v>
      </c>
    </row>
    <row r="2656" spans="1:6" x14ac:dyDescent="0.25">
      <c r="A2656" t="s">
        <v>3228</v>
      </c>
      <c r="B2656" t="s">
        <v>155</v>
      </c>
      <c r="C2656" t="s">
        <v>156</v>
      </c>
      <c r="D2656" t="str">
        <f>HYPERLINK("http://service.sap.com/sap/support/notes/1817649","1817649")</f>
        <v>1817649</v>
      </c>
      <c r="E2656">
        <v>2</v>
      </c>
      <c r="F2656" t="s">
        <v>2922</v>
      </c>
    </row>
    <row r="2657" spans="1:6" x14ac:dyDescent="0.25">
      <c r="A2657" t="s">
        <v>3228</v>
      </c>
      <c r="B2657" t="s">
        <v>155</v>
      </c>
      <c r="C2657" t="s">
        <v>156</v>
      </c>
      <c r="D2657" t="str">
        <f>HYPERLINK("http://service.sap.com/sap/support/notes/1824289","1824289")</f>
        <v>1824289</v>
      </c>
      <c r="E2657">
        <v>2</v>
      </c>
      <c r="F2657" t="s">
        <v>2923</v>
      </c>
    </row>
    <row r="2658" spans="1:6" x14ac:dyDescent="0.25">
      <c r="A2658" t="s">
        <v>3228</v>
      </c>
      <c r="B2658" t="s">
        <v>155</v>
      </c>
      <c r="C2658" t="s">
        <v>156</v>
      </c>
      <c r="D2658" t="str">
        <f>HYPERLINK("http://service.sap.com/sap/support/notes/1826006","1826006")</f>
        <v>1826006</v>
      </c>
      <c r="E2658">
        <v>1</v>
      </c>
      <c r="F2658" t="s">
        <v>2924</v>
      </c>
    </row>
    <row r="2659" spans="1:6" x14ac:dyDescent="0.25">
      <c r="A2659" t="s">
        <v>3228</v>
      </c>
      <c r="B2659" t="s">
        <v>155</v>
      </c>
      <c r="C2659" t="s">
        <v>156</v>
      </c>
      <c r="D2659" t="str">
        <f>HYPERLINK("http://service.sap.com/sap/support/notes/1828440","1828440")</f>
        <v>1828440</v>
      </c>
      <c r="E2659">
        <v>1</v>
      </c>
      <c r="F2659" t="s">
        <v>2925</v>
      </c>
    </row>
    <row r="2660" spans="1:6" x14ac:dyDescent="0.25">
      <c r="A2660" t="s">
        <v>3228</v>
      </c>
      <c r="B2660" t="s">
        <v>155</v>
      </c>
      <c r="C2660" t="s">
        <v>156</v>
      </c>
      <c r="D2660" t="str">
        <f>HYPERLINK("http://service.sap.com/sap/support/notes/1829379","1829379")</f>
        <v>1829379</v>
      </c>
      <c r="E2660">
        <v>2</v>
      </c>
      <c r="F2660" t="s">
        <v>2926</v>
      </c>
    </row>
    <row r="2661" spans="1:6" x14ac:dyDescent="0.25">
      <c r="A2661" t="s">
        <v>3228</v>
      </c>
      <c r="B2661" t="s">
        <v>155</v>
      </c>
      <c r="C2661" t="s">
        <v>156</v>
      </c>
      <c r="D2661" t="str">
        <f>HYPERLINK("http://service.sap.com/sap/support/notes/1831810","1831810")</f>
        <v>1831810</v>
      </c>
      <c r="E2661">
        <v>1</v>
      </c>
      <c r="F2661" t="s">
        <v>2927</v>
      </c>
    </row>
    <row r="2662" spans="1:6" x14ac:dyDescent="0.25">
      <c r="A2662" t="s">
        <v>3228</v>
      </c>
      <c r="B2662" t="s">
        <v>688</v>
      </c>
      <c r="C2662" t="s">
        <v>689</v>
      </c>
      <c r="D2662" t="str">
        <f>HYPERLINK("http://service.sap.com/sap/support/notes/1826053","1826053")</f>
        <v>1826053</v>
      </c>
      <c r="E2662">
        <v>1</v>
      </c>
      <c r="F2662" t="s">
        <v>2928</v>
      </c>
    </row>
    <row r="2663" spans="1:6" x14ac:dyDescent="0.25">
      <c r="A2663" t="s">
        <v>3228</v>
      </c>
      <c r="B2663" t="s">
        <v>159</v>
      </c>
      <c r="C2663" t="s">
        <v>160</v>
      </c>
      <c r="D2663" t="str">
        <f>HYPERLINK("http://service.sap.com/sap/support/notes/1513007","1513007")</f>
        <v>1513007</v>
      </c>
      <c r="E2663">
        <v>1</v>
      </c>
      <c r="F2663" t="s">
        <v>2929</v>
      </c>
    </row>
    <row r="2664" spans="1:6" x14ac:dyDescent="0.25">
      <c r="A2664" t="s">
        <v>3228</v>
      </c>
      <c r="B2664" t="s">
        <v>159</v>
      </c>
      <c r="C2664" t="s">
        <v>160</v>
      </c>
      <c r="D2664" t="str">
        <f>HYPERLINK("http://service.sap.com/sap/support/notes/1705761","1705761")</f>
        <v>1705761</v>
      </c>
      <c r="E2664">
        <v>3</v>
      </c>
      <c r="F2664" t="s">
        <v>2930</v>
      </c>
    </row>
    <row r="2665" spans="1:6" x14ac:dyDescent="0.25">
      <c r="A2665" t="s">
        <v>3228</v>
      </c>
      <c r="B2665" t="s">
        <v>159</v>
      </c>
      <c r="C2665" t="s">
        <v>160</v>
      </c>
      <c r="D2665" t="str">
        <f>HYPERLINK("http://service.sap.com/sap/support/notes/1706933","1706933")</f>
        <v>1706933</v>
      </c>
      <c r="E2665">
        <v>2</v>
      </c>
      <c r="F2665" t="s">
        <v>2496</v>
      </c>
    </row>
    <row r="2666" spans="1:6" x14ac:dyDescent="0.25">
      <c r="A2666" t="s">
        <v>3228</v>
      </c>
      <c r="B2666" t="s">
        <v>159</v>
      </c>
      <c r="C2666" t="s">
        <v>160</v>
      </c>
      <c r="D2666" t="str">
        <f>HYPERLINK("http://service.sap.com/sap/support/notes/1809059","1809059")</f>
        <v>1809059</v>
      </c>
      <c r="E2666">
        <v>11</v>
      </c>
      <c r="F2666" t="s">
        <v>2931</v>
      </c>
    </row>
    <row r="2667" spans="1:6" x14ac:dyDescent="0.25">
      <c r="A2667" t="s">
        <v>3228</v>
      </c>
      <c r="B2667" t="s">
        <v>159</v>
      </c>
      <c r="C2667" t="s">
        <v>160</v>
      </c>
      <c r="D2667" t="str">
        <f>HYPERLINK("http://service.sap.com/sap/support/notes/1817667","1817667")</f>
        <v>1817667</v>
      </c>
      <c r="E2667">
        <v>4</v>
      </c>
      <c r="F2667" t="s">
        <v>2932</v>
      </c>
    </row>
    <row r="2668" spans="1:6" x14ac:dyDescent="0.25">
      <c r="A2668" t="s">
        <v>3228</v>
      </c>
      <c r="B2668" t="s">
        <v>159</v>
      </c>
      <c r="C2668" t="s">
        <v>160</v>
      </c>
      <c r="D2668" t="str">
        <f>HYPERLINK("http://service.sap.com/sap/support/notes/1824624","1824624")</f>
        <v>1824624</v>
      </c>
      <c r="E2668">
        <v>1</v>
      </c>
      <c r="F2668" t="s">
        <v>2933</v>
      </c>
    </row>
    <row r="2669" spans="1:6" x14ac:dyDescent="0.25">
      <c r="A2669" t="s">
        <v>3228</v>
      </c>
      <c r="B2669" t="s">
        <v>159</v>
      </c>
      <c r="C2669" t="s">
        <v>160</v>
      </c>
      <c r="D2669" t="str">
        <f>HYPERLINK("http://service.sap.com/sap/support/notes/1831133","1831133")</f>
        <v>1831133</v>
      </c>
      <c r="E2669">
        <v>1</v>
      </c>
      <c r="F2669" t="s">
        <v>1691</v>
      </c>
    </row>
    <row r="2670" spans="1:6" x14ac:dyDescent="0.25">
      <c r="A2670" t="s">
        <v>3228</v>
      </c>
      <c r="B2670" t="s">
        <v>165</v>
      </c>
      <c r="C2670" t="s">
        <v>31</v>
      </c>
      <c r="D2670" t="str">
        <f>HYPERLINK("http://service.sap.com/sap/support/notes/1797769","1797769")</f>
        <v>1797769</v>
      </c>
      <c r="E2670">
        <v>2</v>
      </c>
      <c r="F2670" t="s">
        <v>2934</v>
      </c>
    </row>
    <row r="2671" spans="1:6" x14ac:dyDescent="0.25">
      <c r="A2671" t="s">
        <v>3228</v>
      </c>
      <c r="B2671" t="s">
        <v>165</v>
      </c>
      <c r="C2671" t="s">
        <v>31</v>
      </c>
      <c r="D2671" t="str">
        <f>HYPERLINK("http://service.sap.com/sap/support/notes/1799501","1799501")</f>
        <v>1799501</v>
      </c>
      <c r="E2671">
        <v>2</v>
      </c>
      <c r="F2671" t="s">
        <v>2935</v>
      </c>
    </row>
    <row r="2672" spans="1:6" x14ac:dyDescent="0.25">
      <c r="A2672" t="s">
        <v>3228</v>
      </c>
      <c r="B2672" t="s">
        <v>165</v>
      </c>
      <c r="C2672" t="s">
        <v>31</v>
      </c>
      <c r="D2672" t="str">
        <f>HYPERLINK("http://service.sap.com/sap/support/notes/1804286","1804286")</f>
        <v>1804286</v>
      </c>
      <c r="E2672">
        <v>2</v>
      </c>
      <c r="F2672" t="s">
        <v>2936</v>
      </c>
    </row>
    <row r="2673" spans="1:6" x14ac:dyDescent="0.25">
      <c r="A2673" t="s">
        <v>3228</v>
      </c>
      <c r="B2673" t="s">
        <v>165</v>
      </c>
      <c r="C2673" t="s">
        <v>31</v>
      </c>
      <c r="D2673" t="str">
        <f>HYPERLINK("http://service.sap.com/sap/support/notes/1826684","1826684")</f>
        <v>1826684</v>
      </c>
      <c r="E2673">
        <v>3</v>
      </c>
      <c r="F2673" t="s">
        <v>2937</v>
      </c>
    </row>
    <row r="2674" spans="1:6" x14ac:dyDescent="0.25">
      <c r="A2674" t="s">
        <v>3228</v>
      </c>
      <c r="B2674" t="s">
        <v>165</v>
      </c>
      <c r="C2674" t="s">
        <v>31</v>
      </c>
      <c r="D2674" t="str">
        <f>HYPERLINK("http://service.sap.com/sap/support/notes/1832144","1832144")</f>
        <v>1832144</v>
      </c>
      <c r="E2674">
        <v>6</v>
      </c>
      <c r="F2674" t="s">
        <v>2938</v>
      </c>
    </row>
    <row r="2675" spans="1:6" x14ac:dyDescent="0.25">
      <c r="A2675" t="s">
        <v>3228</v>
      </c>
      <c r="B2675" t="s">
        <v>169</v>
      </c>
      <c r="C2675" t="s">
        <v>34</v>
      </c>
      <c r="D2675" t="str">
        <f>HYPERLINK("http://service.sap.com/sap/support/notes/1829288","1829288")</f>
        <v>1829288</v>
      </c>
      <c r="E2675">
        <v>2</v>
      </c>
      <c r="F2675" t="s">
        <v>2939</v>
      </c>
    </row>
    <row r="2676" spans="1:6" x14ac:dyDescent="0.25">
      <c r="A2676" t="s">
        <v>3228</v>
      </c>
      <c r="B2676" t="s">
        <v>175</v>
      </c>
      <c r="C2676" t="s">
        <v>176</v>
      </c>
      <c r="D2676" t="str">
        <f>HYPERLINK("http://service.sap.com/sap/support/notes/1834058","1834058")</f>
        <v>1834058</v>
      </c>
      <c r="E2676">
        <v>1</v>
      </c>
      <c r="F2676" t="s">
        <v>2940</v>
      </c>
    </row>
    <row r="2677" spans="1:6" x14ac:dyDescent="0.25">
      <c r="A2677" t="s">
        <v>3228</v>
      </c>
      <c r="B2677" t="s">
        <v>177</v>
      </c>
      <c r="C2677" t="s">
        <v>178</v>
      </c>
      <c r="D2677" t="str">
        <f>HYPERLINK("http://service.sap.com/sap/support/notes/1827339","1827339")</f>
        <v>1827339</v>
      </c>
      <c r="E2677">
        <v>3</v>
      </c>
      <c r="F2677" t="s">
        <v>2941</v>
      </c>
    </row>
    <row r="2678" spans="1:6" x14ac:dyDescent="0.25">
      <c r="A2678" t="s">
        <v>3228</v>
      </c>
      <c r="B2678" t="s">
        <v>180</v>
      </c>
      <c r="C2678" t="s">
        <v>181</v>
      </c>
      <c r="D2678" t="str">
        <f>HYPERLINK("http://service.sap.com/sap/support/notes/1824125","1824125")</f>
        <v>1824125</v>
      </c>
      <c r="E2678">
        <v>1</v>
      </c>
      <c r="F2678" t="s">
        <v>2942</v>
      </c>
    </row>
    <row r="2679" spans="1:6" x14ac:dyDescent="0.25">
      <c r="A2679" t="s">
        <v>3228</v>
      </c>
      <c r="B2679" t="s">
        <v>180</v>
      </c>
      <c r="C2679" t="s">
        <v>181</v>
      </c>
      <c r="D2679" t="str">
        <f>HYPERLINK("http://service.sap.com/sap/support/notes/1831588","1831588")</f>
        <v>1831588</v>
      </c>
      <c r="E2679">
        <v>3</v>
      </c>
      <c r="F2679" t="s">
        <v>2943</v>
      </c>
    </row>
    <row r="2680" spans="1:6" x14ac:dyDescent="0.25">
      <c r="A2680" t="s">
        <v>3228</v>
      </c>
      <c r="B2680" t="s">
        <v>180</v>
      </c>
      <c r="C2680" t="s">
        <v>181</v>
      </c>
      <c r="D2680" t="str">
        <f>HYPERLINK("http://service.sap.com/sap/support/notes/1832704","1832704")</f>
        <v>1832704</v>
      </c>
      <c r="E2680">
        <v>2</v>
      </c>
      <c r="F2680" t="s">
        <v>2944</v>
      </c>
    </row>
    <row r="2681" spans="1:6" x14ac:dyDescent="0.25">
      <c r="A2681" t="s">
        <v>3228</v>
      </c>
      <c r="B2681" t="s">
        <v>183</v>
      </c>
      <c r="C2681" t="s">
        <v>184</v>
      </c>
    </row>
    <row r="2682" spans="1:6" x14ac:dyDescent="0.25">
      <c r="A2682" t="s">
        <v>3228</v>
      </c>
      <c r="B2682" t="s">
        <v>576</v>
      </c>
      <c r="C2682" t="s">
        <v>577</v>
      </c>
      <c r="D2682" t="str">
        <f>HYPERLINK("http://service.sap.com/sap/support/notes/1829768","1829768")</f>
        <v>1829768</v>
      </c>
      <c r="E2682">
        <v>4</v>
      </c>
      <c r="F2682" t="s">
        <v>2945</v>
      </c>
    </row>
    <row r="2683" spans="1:6" x14ac:dyDescent="0.25">
      <c r="A2683" t="s">
        <v>3228</v>
      </c>
      <c r="B2683" t="s">
        <v>576</v>
      </c>
      <c r="C2683" t="s">
        <v>577</v>
      </c>
      <c r="D2683" t="str">
        <f>HYPERLINK("http://service.sap.com/sap/support/notes/1835064","1835064")</f>
        <v>1835064</v>
      </c>
      <c r="E2683">
        <v>1</v>
      </c>
      <c r="F2683" t="s">
        <v>2946</v>
      </c>
    </row>
    <row r="2684" spans="1:6" x14ac:dyDescent="0.25">
      <c r="A2684" t="s">
        <v>3228</v>
      </c>
      <c r="B2684" t="s">
        <v>1522</v>
      </c>
      <c r="C2684" t="s">
        <v>1523</v>
      </c>
      <c r="D2684" t="str">
        <f>HYPERLINK("http://service.sap.com/sap/support/notes/1828701","1828701")</f>
        <v>1828701</v>
      </c>
      <c r="E2684">
        <v>1</v>
      </c>
      <c r="F2684" t="s">
        <v>2947</v>
      </c>
    </row>
    <row r="2685" spans="1:6" x14ac:dyDescent="0.25">
      <c r="A2685" t="s">
        <v>3228</v>
      </c>
      <c r="B2685" t="s">
        <v>1522</v>
      </c>
      <c r="C2685" t="s">
        <v>1523</v>
      </c>
      <c r="D2685" t="str">
        <f>HYPERLINK("http://service.sap.com/sap/support/notes/1829813","1829813")</f>
        <v>1829813</v>
      </c>
      <c r="E2685">
        <v>1</v>
      </c>
      <c r="F2685" t="s">
        <v>2948</v>
      </c>
    </row>
    <row r="2686" spans="1:6" x14ac:dyDescent="0.25">
      <c r="A2686" t="s">
        <v>3228</v>
      </c>
      <c r="B2686" t="s">
        <v>185</v>
      </c>
      <c r="C2686" t="s">
        <v>186</v>
      </c>
      <c r="D2686" t="str">
        <f>HYPERLINK("http://service.sap.com/sap/support/notes/1826522","1826522")</f>
        <v>1826522</v>
      </c>
      <c r="E2686">
        <v>1</v>
      </c>
      <c r="F2686" t="s">
        <v>2949</v>
      </c>
    </row>
    <row r="2687" spans="1:6" x14ac:dyDescent="0.25">
      <c r="A2687" t="s">
        <v>3228</v>
      </c>
      <c r="B2687" t="s">
        <v>185</v>
      </c>
      <c r="C2687" t="s">
        <v>186</v>
      </c>
      <c r="D2687" t="str">
        <f>HYPERLINK("http://service.sap.com/sap/support/notes/1827922","1827922")</f>
        <v>1827922</v>
      </c>
      <c r="E2687">
        <v>2</v>
      </c>
      <c r="F2687" t="s">
        <v>2950</v>
      </c>
    </row>
    <row r="2688" spans="1:6" x14ac:dyDescent="0.25">
      <c r="A2688" t="s">
        <v>3228</v>
      </c>
      <c r="B2688" t="s">
        <v>191</v>
      </c>
      <c r="C2688" t="s">
        <v>192</v>
      </c>
      <c r="D2688" t="str">
        <f>HYPERLINK("http://service.sap.com/sap/support/notes/1827443","1827443")</f>
        <v>1827443</v>
      </c>
      <c r="E2688">
        <v>3</v>
      </c>
      <c r="F2688" t="s">
        <v>2951</v>
      </c>
    </row>
    <row r="2689" spans="1:6" x14ac:dyDescent="0.25">
      <c r="A2689" t="s">
        <v>3228</v>
      </c>
      <c r="B2689" t="s">
        <v>195</v>
      </c>
      <c r="C2689" t="s">
        <v>196</v>
      </c>
    </row>
    <row r="2690" spans="1:6" x14ac:dyDescent="0.25">
      <c r="A2690" t="s">
        <v>3228</v>
      </c>
      <c r="B2690" t="s">
        <v>197</v>
      </c>
      <c r="C2690" t="s">
        <v>198</v>
      </c>
      <c r="D2690" t="str">
        <f>HYPERLINK("http://service.sap.com/sap/support/notes/1836216","1836216")</f>
        <v>1836216</v>
      </c>
      <c r="E2690">
        <v>1</v>
      </c>
      <c r="F2690" t="s">
        <v>2952</v>
      </c>
    </row>
    <row r="2691" spans="1:6" x14ac:dyDescent="0.25">
      <c r="A2691" t="s">
        <v>3228</v>
      </c>
      <c r="B2691" t="s">
        <v>666</v>
      </c>
      <c r="C2691" t="s">
        <v>667</v>
      </c>
      <c r="D2691" t="str">
        <f>HYPERLINK("http://service.sap.com/sap/support/notes/1796337","1796337")</f>
        <v>1796337</v>
      </c>
      <c r="E2691">
        <v>4</v>
      </c>
      <c r="F2691" t="s">
        <v>2953</v>
      </c>
    </row>
    <row r="2692" spans="1:6" x14ac:dyDescent="0.25">
      <c r="A2692" t="s">
        <v>3228</v>
      </c>
      <c r="B2692" t="s">
        <v>666</v>
      </c>
      <c r="C2692" t="s">
        <v>667</v>
      </c>
      <c r="D2692" t="str">
        <f>HYPERLINK("http://service.sap.com/sap/support/notes/1799712","1799712")</f>
        <v>1799712</v>
      </c>
      <c r="E2692">
        <v>9</v>
      </c>
      <c r="F2692" t="s">
        <v>2954</v>
      </c>
    </row>
    <row r="2693" spans="1:6" x14ac:dyDescent="0.25">
      <c r="A2693" t="s">
        <v>3228</v>
      </c>
      <c r="B2693" t="s">
        <v>666</v>
      </c>
      <c r="C2693" t="s">
        <v>667</v>
      </c>
      <c r="D2693" t="str">
        <f>HYPERLINK("http://service.sap.com/sap/support/notes/1803132","1803132")</f>
        <v>1803132</v>
      </c>
      <c r="E2693">
        <v>3</v>
      </c>
      <c r="F2693" t="s">
        <v>2955</v>
      </c>
    </row>
    <row r="2694" spans="1:6" x14ac:dyDescent="0.25">
      <c r="A2694" t="s">
        <v>3228</v>
      </c>
      <c r="B2694" t="s">
        <v>201</v>
      </c>
      <c r="C2694" t="s">
        <v>202</v>
      </c>
      <c r="D2694" t="str">
        <f>HYPERLINK("http://service.sap.com/sap/support/notes/1827515","1827515")</f>
        <v>1827515</v>
      </c>
      <c r="E2694">
        <v>1</v>
      </c>
      <c r="F2694" t="s">
        <v>2956</v>
      </c>
    </row>
    <row r="2695" spans="1:6" x14ac:dyDescent="0.25">
      <c r="A2695" t="s">
        <v>3228</v>
      </c>
      <c r="B2695" t="s">
        <v>201</v>
      </c>
      <c r="C2695" t="s">
        <v>202</v>
      </c>
      <c r="D2695" t="str">
        <f>HYPERLINK("http://service.sap.com/sap/support/notes/1830013","1830013")</f>
        <v>1830013</v>
      </c>
      <c r="E2695">
        <v>1</v>
      </c>
      <c r="F2695" t="s">
        <v>2957</v>
      </c>
    </row>
    <row r="2696" spans="1:6" x14ac:dyDescent="0.25">
      <c r="A2696" t="s">
        <v>3228</v>
      </c>
      <c r="B2696" t="s">
        <v>204</v>
      </c>
      <c r="C2696" t="s">
        <v>205</v>
      </c>
      <c r="D2696" t="str">
        <f>HYPERLINK("http://service.sap.com/sap/support/notes/1813630","1813630")</f>
        <v>1813630</v>
      </c>
      <c r="E2696">
        <v>1</v>
      </c>
      <c r="F2696" t="s">
        <v>2958</v>
      </c>
    </row>
    <row r="2697" spans="1:6" x14ac:dyDescent="0.25">
      <c r="A2697" t="s">
        <v>3228</v>
      </c>
      <c r="B2697" t="s">
        <v>204</v>
      </c>
      <c r="C2697" t="s">
        <v>205</v>
      </c>
      <c r="D2697" t="str">
        <f>HYPERLINK("http://service.sap.com/sap/support/notes/1830097","1830097")</f>
        <v>1830097</v>
      </c>
      <c r="E2697">
        <v>1</v>
      </c>
      <c r="F2697" t="s">
        <v>2959</v>
      </c>
    </row>
    <row r="2698" spans="1:6" x14ac:dyDescent="0.25">
      <c r="A2698" t="s">
        <v>3228</v>
      </c>
      <c r="B2698" t="s">
        <v>204</v>
      </c>
      <c r="C2698" t="s">
        <v>205</v>
      </c>
      <c r="D2698" t="str">
        <f>HYPERLINK("http://service.sap.com/sap/support/notes/1832769","1832769")</f>
        <v>1832769</v>
      </c>
      <c r="E2698">
        <v>1</v>
      </c>
      <c r="F2698" t="s">
        <v>2960</v>
      </c>
    </row>
    <row r="2699" spans="1:6" x14ac:dyDescent="0.25">
      <c r="A2699" t="s">
        <v>3228</v>
      </c>
      <c r="B2699" t="s">
        <v>211</v>
      </c>
      <c r="C2699" t="s">
        <v>128</v>
      </c>
      <c r="D2699" t="str">
        <f>HYPERLINK("http://service.sap.com/sap/support/notes/1822890","1822890")</f>
        <v>1822890</v>
      </c>
      <c r="E2699">
        <v>4</v>
      </c>
      <c r="F2699" t="s">
        <v>2961</v>
      </c>
    </row>
    <row r="2700" spans="1:6" x14ac:dyDescent="0.25">
      <c r="A2700" t="s">
        <v>3228</v>
      </c>
      <c r="B2700" t="s">
        <v>211</v>
      </c>
      <c r="C2700" t="s">
        <v>128</v>
      </c>
      <c r="D2700" t="str">
        <f>HYPERLINK("http://service.sap.com/sap/support/notes/1826933","1826933")</f>
        <v>1826933</v>
      </c>
      <c r="E2700">
        <v>1</v>
      </c>
      <c r="F2700" t="s">
        <v>2962</v>
      </c>
    </row>
    <row r="2701" spans="1:6" x14ac:dyDescent="0.25">
      <c r="A2701" t="s">
        <v>3228</v>
      </c>
      <c r="B2701" t="s">
        <v>211</v>
      </c>
      <c r="C2701" t="s">
        <v>128</v>
      </c>
      <c r="D2701" t="str">
        <f>HYPERLINK("http://service.sap.com/sap/support/notes/1827107","1827107")</f>
        <v>1827107</v>
      </c>
      <c r="E2701">
        <v>2</v>
      </c>
      <c r="F2701" t="s">
        <v>2963</v>
      </c>
    </row>
    <row r="2702" spans="1:6" x14ac:dyDescent="0.25">
      <c r="A2702" t="s">
        <v>3228</v>
      </c>
      <c r="B2702" t="s">
        <v>211</v>
      </c>
      <c r="C2702" t="s">
        <v>128</v>
      </c>
      <c r="D2702" t="str">
        <f>HYPERLINK("http://service.sap.com/sap/support/notes/1832747","1832747")</f>
        <v>1832747</v>
      </c>
      <c r="E2702">
        <v>2</v>
      </c>
      <c r="F2702" t="s">
        <v>2964</v>
      </c>
    </row>
    <row r="2703" spans="1:6" x14ac:dyDescent="0.25">
      <c r="A2703" t="s">
        <v>3228</v>
      </c>
      <c r="B2703" t="s">
        <v>218</v>
      </c>
      <c r="C2703" t="s">
        <v>219</v>
      </c>
      <c r="D2703" t="str">
        <f>HYPERLINK("http://service.sap.com/sap/support/notes/1769195","1769195")</f>
        <v>1769195</v>
      </c>
      <c r="E2703">
        <v>1</v>
      </c>
      <c r="F2703" t="s">
        <v>2965</v>
      </c>
    </row>
    <row r="2704" spans="1:6" x14ac:dyDescent="0.25">
      <c r="A2704" t="s">
        <v>3228</v>
      </c>
      <c r="B2704" t="s">
        <v>221</v>
      </c>
      <c r="C2704" t="s">
        <v>222</v>
      </c>
      <c r="D2704" t="str">
        <f>HYPERLINK("http://service.sap.com/sap/support/notes/1815204","1815204")</f>
        <v>1815204</v>
      </c>
      <c r="E2704">
        <v>3</v>
      </c>
      <c r="F2704" t="s">
        <v>2966</v>
      </c>
    </row>
    <row r="2705" spans="1:6" x14ac:dyDescent="0.25">
      <c r="A2705" t="s">
        <v>3228</v>
      </c>
      <c r="B2705" t="s">
        <v>221</v>
      </c>
      <c r="C2705" t="s">
        <v>222</v>
      </c>
      <c r="D2705" t="str">
        <f>HYPERLINK("http://service.sap.com/sap/support/notes/1820749","1820749")</f>
        <v>1820749</v>
      </c>
      <c r="E2705">
        <v>2</v>
      </c>
      <c r="F2705" t="s">
        <v>2967</v>
      </c>
    </row>
    <row r="2706" spans="1:6" x14ac:dyDescent="0.25">
      <c r="A2706" t="s">
        <v>3228</v>
      </c>
      <c r="B2706" t="s">
        <v>221</v>
      </c>
      <c r="C2706" t="s">
        <v>222</v>
      </c>
      <c r="D2706" t="str">
        <f>HYPERLINK("http://service.sap.com/sap/support/notes/1821723","1821723")</f>
        <v>1821723</v>
      </c>
      <c r="E2706">
        <v>2</v>
      </c>
      <c r="F2706" t="s">
        <v>2968</v>
      </c>
    </row>
    <row r="2707" spans="1:6" x14ac:dyDescent="0.25">
      <c r="A2707" t="s">
        <v>3228</v>
      </c>
      <c r="B2707" t="s">
        <v>221</v>
      </c>
      <c r="C2707" t="s">
        <v>222</v>
      </c>
      <c r="D2707" t="str">
        <f>HYPERLINK("http://service.sap.com/sap/support/notes/1825707","1825707")</f>
        <v>1825707</v>
      </c>
      <c r="E2707">
        <v>2</v>
      </c>
      <c r="F2707" t="s">
        <v>2969</v>
      </c>
    </row>
    <row r="2708" spans="1:6" x14ac:dyDescent="0.25">
      <c r="A2708" t="s">
        <v>3228</v>
      </c>
      <c r="B2708" t="s">
        <v>221</v>
      </c>
      <c r="C2708" t="s">
        <v>222</v>
      </c>
      <c r="D2708" t="str">
        <f>HYPERLINK("http://service.sap.com/sap/support/notes/1830704","1830704")</f>
        <v>1830704</v>
      </c>
      <c r="E2708">
        <v>2</v>
      </c>
      <c r="F2708" t="s">
        <v>2970</v>
      </c>
    </row>
    <row r="2709" spans="1:6" x14ac:dyDescent="0.25">
      <c r="A2709" t="s">
        <v>3228</v>
      </c>
      <c r="B2709" t="s">
        <v>224</v>
      </c>
      <c r="C2709" t="s">
        <v>156</v>
      </c>
    </row>
    <row r="2710" spans="1:6" x14ac:dyDescent="0.25">
      <c r="A2710" t="s">
        <v>3228</v>
      </c>
      <c r="B2710" t="s">
        <v>225</v>
      </c>
      <c r="C2710" t="s">
        <v>226</v>
      </c>
      <c r="D2710" t="str">
        <f>HYPERLINK("http://service.sap.com/sap/support/notes/1826991","1826991")</f>
        <v>1826991</v>
      </c>
      <c r="E2710">
        <v>9</v>
      </c>
      <c r="F2710" t="s">
        <v>2971</v>
      </c>
    </row>
    <row r="2711" spans="1:6" x14ac:dyDescent="0.25">
      <c r="A2711" t="s">
        <v>3228</v>
      </c>
      <c r="B2711" t="s">
        <v>225</v>
      </c>
      <c r="C2711" t="s">
        <v>226</v>
      </c>
      <c r="D2711" t="str">
        <f>HYPERLINK("http://service.sap.com/sap/support/notes/1828263","1828263")</f>
        <v>1828263</v>
      </c>
      <c r="E2711">
        <v>2</v>
      </c>
      <c r="F2711" t="s">
        <v>2972</v>
      </c>
    </row>
    <row r="2712" spans="1:6" x14ac:dyDescent="0.25">
      <c r="A2712" t="s">
        <v>3228</v>
      </c>
      <c r="B2712" t="s">
        <v>225</v>
      </c>
      <c r="C2712" t="s">
        <v>226</v>
      </c>
      <c r="D2712" t="str">
        <f>HYPERLINK("http://service.sap.com/sap/support/notes/1831704","1831704")</f>
        <v>1831704</v>
      </c>
      <c r="E2712">
        <v>1</v>
      </c>
      <c r="F2712" t="s">
        <v>2973</v>
      </c>
    </row>
    <row r="2713" spans="1:6" x14ac:dyDescent="0.25">
      <c r="A2713" t="s">
        <v>3228</v>
      </c>
      <c r="B2713" t="s">
        <v>225</v>
      </c>
      <c r="C2713" t="s">
        <v>226</v>
      </c>
      <c r="D2713" t="str">
        <f>HYPERLINK("http://service.sap.com/sap/support/notes/1837687","1837687")</f>
        <v>1837687</v>
      </c>
      <c r="E2713">
        <v>1</v>
      </c>
      <c r="F2713" t="s">
        <v>2974</v>
      </c>
    </row>
    <row r="2714" spans="1:6" x14ac:dyDescent="0.25">
      <c r="A2714" t="s">
        <v>3228</v>
      </c>
      <c r="B2714" t="s">
        <v>589</v>
      </c>
      <c r="C2714" t="s">
        <v>590</v>
      </c>
      <c r="D2714" t="str">
        <f>HYPERLINK("http://service.sap.com/sap/support/notes/1797679","1797679")</f>
        <v>1797679</v>
      </c>
      <c r="E2714">
        <v>5</v>
      </c>
      <c r="F2714" t="s">
        <v>2975</v>
      </c>
    </row>
    <row r="2715" spans="1:6" x14ac:dyDescent="0.25">
      <c r="A2715" t="s">
        <v>3228</v>
      </c>
      <c r="B2715" t="s">
        <v>589</v>
      </c>
      <c r="C2715" t="s">
        <v>590</v>
      </c>
      <c r="D2715" t="str">
        <f>HYPERLINK("http://service.sap.com/sap/support/notes/1808023","1808023")</f>
        <v>1808023</v>
      </c>
      <c r="E2715">
        <v>2</v>
      </c>
      <c r="F2715" t="s">
        <v>2976</v>
      </c>
    </row>
    <row r="2716" spans="1:6" x14ac:dyDescent="0.25">
      <c r="A2716" t="s">
        <v>3228</v>
      </c>
      <c r="B2716" t="s">
        <v>229</v>
      </c>
      <c r="C2716" t="s">
        <v>230</v>
      </c>
      <c r="D2716" t="str">
        <f>HYPERLINK("http://service.sap.com/sap/support/notes/1749081","1749081")</f>
        <v>1749081</v>
      </c>
      <c r="E2716">
        <v>4</v>
      </c>
      <c r="F2716" t="s">
        <v>2977</v>
      </c>
    </row>
    <row r="2717" spans="1:6" x14ac:dyDescent="0.25">
      <c r="A2717" t="s">
        <v>3228</v>
      </c>
      <c r="B2717" t="s">
        <v>229</v>
      </c>
      <c r="C2717" t="s">
        <v>230</v>
      </c>
      <c r="D2717" t="str">
        <f>HYPERLINK("http://service.sap.com/sap/support/notes/1773170","1773170")</f>
        <v>1773170</v>
      </c>
      <c r="E2717">
        <v>1</v>
      </c>
      <c r="F2717" t="s">
        <v>1184</v>
      </c>
    </row>
    <row r="2718" spans="1:6" x14ac:dyDescent="0.25">
      <c r="A2718" t="s">
        <v>3228</v>
      </c>
      <c r="B2718" t="s">
        <v>229</v>
      </c>
      <c r="C2718" t="s">
        <v>230</v>
      </c>
      <c r="D2718" t="str">
        <f>HYPERLINK("http://service.sap.com/sap/support/notes/1782610","1782610")</f>
        <v>1782610</v>
      </c>
      <c r="E2718">
        <v>7</v>
      </c>
      <c r="F2718" t="s">
        <v>2978</v>
      </c>
    </row>
    <row r="2719" spans="1:6" x14ac:dyDescent="0.25">
      <c r="A2719" t="s">
        <v>3228</v>
      </c>
      <c r="B2719" t="s">
        <v>229</v>
      </c>
      <c r="C2719" t="s">
        <v>230</v>
      </c>
      <c r="D2719" t="str">
        <f>HYPERLINK("http://service.sap.com/sap/support/notes/1786872","1786872")</f>
        <v>1786872</v>
      </c>
      <c r="E2719">
        <v>2</v>
      </c>
      <c r="F2719" t="s">
        <v>2979</v>
      </c>
    </row>
    <row r="2720" spans="1:6" x14ac:dyDescent="0.25">
      <c r="A2720" t="s">
        <v>3228</v>
      </c>
      <c r="B2720" t="s">
        <v>229</v>
      </c>
      <c r="C2720" t="s">
        <v>230</v>
      </c>
      <c r="D2720" t="str">
        <f>HYPERLINK("http://service.sap.com/sap/support/notes/1795100","1795100")</f>
        <v>1795100</v>
      </c>
      <c r="E2720">
        <v>2</v>
      </c>
      <c r="F2720" t="s">
        <v>2980</v>
      </c>
    </row>
    <row r="2721" spans="1:6" x14ac:dyDescent="0.25">
      <c r="A2721" t="s">
        <v>3228</v>
      </c>
      <c r="B2721" t="s">
        <v>229</v>
      </c>
      <c r="C2721" t="s">
        <v>230</v>
      </c>
      <c r="D2721" t="str">
        <f>HYPERLINK("http://service.sap.com/sap/support/notes/1800206","1800206")</f>
        <v>1800206</v>
      </c>
      <c r="E2721">
        <v>2</v>
      </c>
      <c r="F2721" t="s">
        <v>2981</v>
      </c>
    </row>
    <row r="2722" spans="1:6" x14ac:dyDescent="0.25">
      <c r="A2722" t="s">
        <v>3228</v>
      </c>
      <c r="B2722" t="s">
        <v>229</v>
      </c>
      <c r="C2722" t="s">
        <v>230</v>
      </c>
      <c r="D2722" t="str">
        <f>HYPERLINK("http://service.sap.com/sap/support/notes/1804841","1804841")</f>
        <v>1804841</v>
      </c>
      <c r="E2722">
        <v>2</v>
      </c>
      <c r="F2722" t="s">
        <v>2982</v>
      </c>
    </row>
    <row r="2723" spans="1:6" x14ac:dyDescent="0.25">
      <c r="A2723" t="s">
        <v>3228</v>
      </c>
      <c r="B2723" t="s">
        <v>229</v>
      </c>
      <c r="C2723" t="s">
        <v>230</v>
      </c>
      <c r="D2723" t="str">
        <f>HYPERLINK("http://service.sap.com/sap/support/notes/1805120","1805120")</f>
        <v>1805120</v>
      </c>
      <c r="E2723">
        <v>5</v>
      </c>
      <c r="F2723" t="s">
        <v>2983</v>
      </c>
    </row>
    <row r="2724" spans="1:6" x14ac:dyDescent="0.25">
      <c r="A2724" t="s">
        <v>3228</v>
      </c>
      <c r="B2724" t="s">
        <v>229</v>
      </c>
      <c r="C2724" t="s">
        <v>230</v>
      </c>
      <c r="D2724" t="str">
        <f>HYPERLINK("http://service.sap.com/sap/support/notes/1806161","1806161")</f>
        <v>1806161</v>
      </c>
      <c r="E2724">
        <v>2</v>
      </c>
      <c r="F2724" t="s">
        <v>2984</v>
      </c>
    </row>
    <row r="2725" spans="1:6" x14ac:dyDescent="0.25">
      <c r="A2725" t="s">
        <v>3228</v>
      </c>
      <c r="B2725" t="s">
        <v>229</v>
      </c>
      <c r="C2725" t="s">
        <v>230</v>
      </c>
      <c r="D2725" t="str">
        <f>HYPERLINK("http://service.sap.com/sap/support/notes/1812902","1812902")</f>
        <v>1812902</v>
      </c>
      <c r="E2725">
        <v>2</v>
      </c>
      <c r="F2725" t="s">
        <v>2985</v>
      </c>
    </row>
    <row r="2726" spans="1:6" x14ac:dyDescent="0.25">
      <c r="A2726" t="s">
        <v>3228</v>
      </c>
      <c r="B2726" t="s">
        <v>229</v>
      </c>
      <c r="C2726" t="s">
        <v>230</v>
      </c>
      <c r="D2726" t="str">
        <f>HYPERLINK("http://service.sap.com/sap/support/notes/1815104","1815104")</f>
        <v>1815104</v>
      </c>
      <c r="E2726">
        <v>1</v>
      </c>
      <c r="F2726" t="s">
        <v>2986</v>
      </c>
    </row>
    <row r="2727" spans="1:6" x14ac:dyDescent="0.25">
      <c r="A2727" t="s">
        <v>3228</v>
      </c>
      <c r="B2727" t="s">
        <v>229</v>
      </c>
      <c r="C2727" t="s">
        <v>230</v>
      </c>
      <c r="D2727" t="str">
        <f>HYPERLINK("http://service.sap.com/sap/support/notes/1817061","1817061")</f>
        <v>1817061</v>
      </c>
      <c r="E2727">
        <v>5</v>
      </c>
      <c r="F2727" t="s">
        <v>2987</v>
      </c>
    </row>
    <row r="2728" spans="1:6" x14ac:dyDescent="0.25">
      <c r="A2728" t="s">
        <v>3228</v>
      </c>
      <c r="B2728" t="s">
        <v>229</v>
      </c>
      <c r="C2728" t="s">
        <v>230</v>
      </c>
      <c r="D2728" t="str">
        <f>HYPERLINK("http://service.sap.com/sap/support/notes/1817498","1817498")</f>
        <v>1817498</v>
      </c>
      <c r="E2728">
        <v>1</v>
      </c>
      <c r="F2728" t="s">
        <v>2988</v>
      </c>
    </row>
    <row r="2729" spans="1:6" x14ac:dyDescent="0.25">
      <c r="A2729" t="s">
        <v>3228</v>
      </c>
      <c r="B2729" t="s">
        <v>229</v>
      </c>
      <c r="C2729" t="s">
        <v>230</v>
      </c>
      <c r="D2729" t="str">
        <f>HYPERLINK("http://service.sap.com/sap/support/notes/1819959","1819959")</f>
        <v>1819959</v>
      </c>
      <c r="E2729">
        <v>2</v>
      </c>
      <c r="F2729" t="s">
        <v>2989</v>
      </c>
    </row>
    <row r="2730" spans="1:6" x14ac:dyDescent="0.25">
      <c r="A2730" t="s">
        <v>3228</v>
      </c>
      <c r="B2730" t="s">
        <v>229</v>
      </c>
      <c r="C2730" t="s">
        <v>230</v>
      </c>
      <c r="D2730" t="str">
        <f>HYPERLINK("http://service.sap.com/sap/support/notes/1819986","1819986")</f>
        <v>1819986</v>
      </c>
      <c r="E2730">
        <v>2</v>
      </c>
      <c r="F2730" t="s">
        <v>2990</v>
      </c>
    </row>
    <row r="2731" spans="1:6" x14ac:dyDescent="0.25">
      <c r="A2731" t="s">
        <v>3228</v>
      </c>
      <c r="B2731" t="s">
        <v>229</v>
      </c>
      <c r="C2731" t="s">
        <v>230</v>
      </c>
      <c r="D2731" t="str">
        <f>HYPERLINK("http://service.sap.com/sap/support/notes/1820447","1820447")</f>
        <v>1820447</v>
      </c>
      <c r="E2731">
        <v>4</v>
      </c>
      <c r="F2731" t="s">
        <v>2991</v>
      </c>
    </row>
    <row r="2732" spans="1:6" x14ac:dyDescent="0.25">
      <c r="A2732" t="s">
        <v>3228</v>
      </c>
      <c r="B2732" t="s">
        <v>229</v>
      </c>
      <c r="C2732" t="s">
        <v>230</v>
      </c>
      <c r="D2732" t="str">
        <f>HYPERLINK("http://service.sap.com/sap/support/notes/1821531","1821531")</f>
        <v>1821531</v>
      </c>
      <c r="E2732">
        <v>2</v>
      </c>
      <c r="F2732" t="s">
        <v>2992</v>
      </c>
    </row>
    <row r="2733" spans="1:6" x14ac:dyDescent="0.25">
      <c r="A2733" t="s">
        <v>3228</v>
      </c>
      <c r="B2733" t="s">
        <v>229</v>
      </c>
      <c r="C2733" t="s">
        <v>230</v>
      </c>
      <c r="D2733" t="str">
        <f>HYPERLINK("http://service.sap.com/sap/support/notes/1822158","1822158")</f>
        <v>1822158</v>
      </c>
      <c r="E2733">
        <v>3</v>
      </c>
      <c r="F2733" t="s">
        <v>2993</v>
      </c>
    </row>
    <row r="2734" spans="1:6" x14ac:dyDescent="0.25">
      <c r="A2734" t="s">
        <v>3228</v>
      </c>
      <c r="B2734" t="s">
        <v>229</v>
      </c>
      <c r="C2734" t="s">
        <v>230</v>
      </c>
      <c r="D2734" t="str">
        <f>HYPERLINK("http://service.sap.com/sap/support/notes/1823243","1823243")</f>
        <v>1823243</v>
      </c>
      <c r="E2734">
        <v>5</v>
      </c>
      <c r="F2734" t="s">
        <v>2994</v>
      </c>
    </row>
    <row r="2735" spans="1:6" x14ac:dyDescent="0.25">
      <c r="A2735" t="s">
        <v>3228</v>
      </c>
      <c r="B2735" t="s">
        <v>229</v>
      </c>
      <c r="C2735" t="s">
        <v>230</v>
      </c>
      <c r="D2735" t="str">
        <f>HYPERLINK("http://service.sap.com/sap/support/notes/1824311","1824311")</f>
        <v>1824311</v>
      </c>
      <c r="E2735">
        <v>3</v>
      </c>
      <c r="F2735" t="s">
        <v>2995</v>
      </c>
    </row>
    <row r="2736" spans="1:6" x14ac:dyDescent="0.25">
      <c r="A2736" t="s">
        <v>3228</v>
      </c>
      <c r="B2736" t="s">
        <v>229</v>
      </c>
      <c r="C2736" t="s">
        <v>230</v>
      </c>
      <c r="D2736" t="str">
        <f>HYPERLINK("http://service.sap.com/sap/support/notes/1824822","1824822")</f>
        <v>1824822</v>
      </c>
      <c r="E2736">
        <v>2</v>
      </c>
      <c r="F2736" t="s">
        <v>2996</v>
      </c>
    </row>
    <row r="2737" spans="1:6" x14ac:dyDescent="0.25">
      <c r="A2737" t="s">
        <v>3228</v>
      </c>
      <c r="B2737" t="s">
        <v>229</v>
      </c>
      <c r="C2737" t="s">
        <v>230</v>
      </c>
      <c r="D2737" t="str">
        <f>HYPERLINK("http://service.sap.com/sap/support/notes/1826535","1826535")</f>
        <v>1826535</v>
      </c>
      <c r="E2737">
        <v>1</v>
      </c>
      <c r="F2737" t="s">
        <v>2997</v>
      </c>
    </row>
    <row r="2738" spans="1:6" x14ac:dyDescent="0.25">
      <c r="A2738" t="s">
        <v>3228</v>
      </c>
      <c r="B2738" t="s">
        <v>229</v>
      </c>
      <c r="C2738" t="s">
        <v>230</v>
      </c>
      <c r="D2738" t="str">
        <f>HYPERLINK("http://service.sap.com/sap/support/notes/1826602","1826602")</f>
        <v>1826602</v>
      </c>
      <c r="E2738">
        <v>2</v>
      </c>
      <c r="F2738" t="s">
        <v>2998</v>
      </c>
    </row>
    <row r="2739" spans="1:6" x14ac:dyDescent="0.25">
      <c r="A2739" t="s">
        <v>3228</v>
      </c>
      <c r="B2739" t="s">
        <v>229</v>
      </c>
      <c r="C2739" t="s">
        <v>230</v>
      </c>
      <c r="D2739" t="str">
        <f>HYPERLINK("http://service.sap.com/sap/support/notes/1826662","1826662")</f>
        <v>1826662</v>
      </c>
      <c r="E2739">
        <v>3</v>
      </c>
      <c r="F2739" t="s">
        <v>2999</v>
      </c>
    </row>
    <row r="2740" spans="1:6" x14ac:dyDescent="0.25">
      <c r="A2740" t="s">
        <v>3228</v>
      </c>
      <c r="B2740" t="s">
        <v>229</v>
      </c>
      <c r="C2740" t="s">
        <v>230</v>
      </c>
      <c r="D2740" t="str">
        <f>HYPERLINK("http://service.sap.com/sap/support/notes/1826723","1826723")</f>
        <v>1826723</v>
      </c>
      <c r="E2740">
        <v>4</v>
      </c>
      <c r="F2740" t="s">
        <v>3000</v>
      </c>
    </row>
    <row r="2741" spans="1:6" x14ac:dyDescent="0.25">
      <c r="A2741" t="s">
        <v>3228</v>
      </c>
      <c r="B2741" t="s">
        <v>229</v>
      </c>
      <c r="C2741" t="s">
        <v>230</v>
      </c>
      <c r="D2741" t="str">
        <f>HYPERLINK("http://service.sap.com/sap/support/notes/1827193","1827193")</f>
        <v>1827193</v>
      </c>
      <c r="E2741">
        <v>3</v>
      </c>
      <c r="F2741" t="s">
        <v>3001</v>
      </c>
    </row>
    <row r="2742" spans="1:6" x14ac:dyDescent="0.25">
      <c r="A2742" t="s">
        <v>3228</v>
      </c>
      <c r="B2742" t="s">
        <v>229</v>
      </c>
      <c r="C2742" t="s">
        <v>230</v>
      </c>
      <c r="D2742" t="str">
        <f>HYPERLINK("http://service.sap.com/sap/support/notes/1827210","1827210")</f>
        <v>1827210</v>
      </c>
      <c r="E2742">
        <v>3</v>
      </c>
      <c r="F2742" t="s">
        <v>3002</v>
      </c>
    </row>
    <row r="2743" spans="1:6" x14ac:dyDescent="0.25">
      <c r="A2743" t="s">
        <v>3228</v>
      </c>
      <c r="B2743" t="s">
        <v>229</v>
      </c>
      <c r="C2743" t="s">
        <v>230</v>
      </c>
      <c r="D2743" t="str">
        <f>HYPERLINK("http://service.sap.com/sap/support/notes/1827218","1827218")</f>
        <v>1827218</v>
      </c>
      <c r="E2743">
        <v>2</v>
      </c>
      <c r="F2743" t="s">
        <v>3003</v>
      </c>
    </row>
    <row r="2744" spans="1:6" x14ac:dyDescent="0.25">
      <c r="A2744" t="s">
        <v>3228</v>
      </c>
      <c r="B2744" t="s">
        <v>229</v>
      </c>
      <c r="C2744" t="s">
        <v>230</v>
      </c>
      <c r="D2744" t="str">
        <f>HYPERLINK("http://service.sap.com/sap/support/notes/1827816","1827816")</f>
        <v>1827816</v>
      </c>
      <c r="E2744">
        <v>3</v>
      </c>
      <c r="F2744" t="s">
        <v>3004</v>
      </c>
    </row>
    <row r="2745" spans="1:6" x14ac:dyDescent="0.25">
      <c r="A2745" t="s">
        <v>3228</v>
      </c>
      <c r="B2745" t="s">
        <v>229</v>
      </c>
      <c r="C2745" t="s">
        <v>230</v>
      </c>
      <c r="D2745" t="str">
        <f>HYPERLINK("http://service.sap.com/sap/support/notes/1827868","1827868")</f>
        <v>1827868</v>
      </c>
      <c r="E2745">
        <v>3</v>
      </c>
      <c r="F2745" t="s">
        <v>3005</v>
      </c>
    </row>
    <row r="2746" spans="1:6" x14ac:dyDescent="0.25">
      <c r="A2746" t="s">
        <v>3228</v>
      </c>
      <c r="B2746" t="s">
        <v>229</v>
      </c>
      <c r="C2746" t="s">
        <v>230</v>
      </c>
      <c r="D2746" t="str">
        <f>HYPERLINK("http://service.sap.com/sap/support/notes/1829084","1829084")</f>
        <v>1829084</v>
      </c>
      <c r="E2746">
        <v>3</v>
      </c>
      <c r="F2746" t="s">
        <v>3006</v>
      </c>
    </row>
    <row r="2747" spans="1:6" x14ac:dyDescent="0.25">
      <c r="A2747" t="s">
        <v>3228</v>
      </c>
      <c r="B2747" t="s">
        <v>229</v>
      </c>
      <c r="C2747" t="s">
        <v>230</v>
      </c>
      <c r="D2747" t="str">
        <f>HYPERLINK("http://service.sap.com/sap/support/notes/1829609","1829609")</f>
        <v>1829609</v>
      </c>
      <c r="E2747">
        <v>4</v>
      </c>
      <c r="F2747" t="s">
        <v>3007</v>
      </c>
    </row>
    <row r="2748" spans="1:6" x14ac:dyDescent="0.25">
      <c r="A2748" t="s">
        <v>3228</v>
      </c>
      <c r="B2748" t="s">
        <v>229</v>
      </c>
      <c r="C2748" t="s">
        <v>230</v>
      </c>
      <c r="D2748" t="str">
        <f>HYPERLINK("http://service.sap.com/sap/support/notes/1829630","1829630")</f>
        <v>1829630</v>
      </c>
      <c r="E2748">
        <v>3</v>
      </c>
      <c r="F2748" t="s">
        <v>3008</v>
      </c>
    </row>
    <row r="2749" spans="1:6" x14ac:dyDescent="0.25">
      <c r="A2749" t="s">
        <v>3228</v>
      </c>
      <c r="B2749" t="s">
        <v>229</v>
      </c>
      <c r="C2749" t="s">
        <v>230</v>
      </c>
      <c r="D2749" t="str">
        <f>HYPERLINK("http://service.sap.com/sap/support/notes/1830489","1830489")</f>
        <v>1830489</v>
      </c>
      <c r="E2749">
        <v>3</v>
      </c>
      <c r="F2749" t="s">
        <v>3009</v>
      </c>
    </row>
    <row r="2750" spans="1:6" x14ac:dyDescent="0.25">
      <c r="A2750" t="s">
        <v>3228</v>
      </c>
      <c r="B2750" t="s">
        <v>229</v>
      </c>
      <c r="C2750" t="s">
        <v>230</v>
      </c>
      <c r="D2750" t="str">
        <f>HYPERLINK("http://service.sap.com/sap/support/notes/1833577","1833577")</f>
        <v>1833577</v>
      </c>
      <c r="E2750">
        <v>3</v>
      </c>
      <c r="F2750" t="s">
        <v>3010</v>
      </c>
    </row>
    <row r="2751" spans="1:6" x14ac:dyDescent="0.25">
      <c r="A2751" t="s">
        <v>3228</v>
      </c>
      <c r="B2751" t="s">
        <v>229</v>
      </c>
      <c r="C2751" t="s">
        <v>230</v>
      </c>
      <c r="D2751" t="str">
        <f>HYPERLINK("http://service.sap.com/sap/support/notes/1834050","1834050")</f>
        <v>1834050</v>
      </c>
      <c r="E2751">
        <v>2</v>
      </c>
      <c r="F2751" t="s">
        <v>3011</v>
      </c>
    </row>
    <row r="2752" spans="1:6" x14ac:dyDescent="0.25">
      <c r="A2752" t="s">
        <v>3228</v>
      </c>
      <c r="B2752" t="s">
        <v>229</v>
      </c>
      <c r="C2752" t="s">
        <v>230</v>
      </c>
      <c r="D2752" t="str">
        <f>HYPERLINK("http://service.sap.com/sap/support/notes/1834068","1834068")</f>
        <v>1834068</v>
      </c>
      <c r="E2752">
        <v>2</v>
      </c>
      <c r="F2752" t="s">
        <v>3012</v>
      </c>
    </row>
    <row r="2753" spans="1:6" x14ac:dyDescent="0.25">
      <c r="A2753" t="s">
        <v>3228</v>
      </c>
      <c r="B2753" t="s">
        <v>229</v>
      </c>
      <c r="C2753" t="s">
        <v>230</v>
      </c>
      <c r="D2753" t="str">
        <f>HYPERLINK("http://service.sap.com/sap/support/notes/1834643","1834643")</f>
        <v>1834643</v>
      </c>
      <c r="E2753">
        <v>1</v>
      </c>
      <c r="F2753" t="s">
        <v>3013</v>
      </c>
    </row>
    <row r="2754" spans="1:6" x14ac:dyDescent="0.25">
      <c r="A2754" t="s">
        <v>3228</v>
      </c>
      <c r="B2754" t="s">
        <v>229</v>
      </c>
      <c r="C2754" t="s">
        <v>230</v>
      </c>
      <c r="D2754" t="str">
        <f>HYPERLINK("http://service.sap.com/sap/support/notes/1834982","1834982")</f>
        <v>1834982</v>
      </c>
      <c r="E2754">
        <v>3</v>
      </c>
      <c r="F2754" t="s">
        <v>3014</v>
      </c>
    </row>
    <row r="2755" spans="1:6" x14ac:dyDescent="0.25">
      <c r="A2755" t="s">
        <v>3228</v>
      </c>
      <c r="B2755" t="s">
        <v>229</v>
      </c>
      <c r="C2755" t="s">
        <v>230</v>
      </c>
      <c r="D2755" t="str">
        <f>HYPERLINK("http://service.sap.com/sap/support/notes/1835183","1835183")</f>
        <v>1835183</v>
      </c>
      <c r="E2755">
        <v>3</v>
      </c>
      <c r="F2755" t="s">
        <v>3015</v>
      </c>
    </row>
    <row r="2756" spans="1:6" x14ac:dyDescent="0.25">
      <c r="A2756" t="s">
        <v>3228</v>
      </c>
      <c r="B2756" t="s">
        <v>229</v>
      </c>
      <c r="C2756" t="s">
        <v>230</v>
      </c>
      <c r="D2756" t="str">
        <f>HYPERLINK("http://service.sap.com/sap/support/notes/1835572","1835572")</f>
        <v>1835572</v>
      </c>
      <c r="E2756">
        <v>2</v>
      </c>
      <c r="F2756" t="s">
        <v>3016</v>
      </c>
    </row>
    <row r="2757" spans="1:6" x14ac:dyDescent="0.25">
      <c r="A2757" t="s">
        <v>3228</v>
      </c>
      <c r="B2757" t="s">
        <v>229</v>
      </c>
      <c r="C2757" t="s">
        <v>230</v>
      </c>
      <c r="D2757" t="str">
        <f>HYPERLINK("http://service.sap.com/sap/support/notes/1836851","1836851")</f>
        <v>1836851</v>
      </c>
      <c r="E2757">
        <v>2</v>
      </c>
      <c r="F2757" t="s">
        <v>3017</v>
      </c>
    </row>
    <row r="2758" spans="1:6" x14ac:dyDescent="0.25">
      <c r="A2758" t="s">
        <v>3228</v>
      </c>
      <c r="B2758" t="s">
        <v>229</v>
      </c>
      <c r="C2758" t="s">
        <v>230</v>
      </c>
      <c r="D2758" t="str">
        <f>HYPERLINK("http://service.sap.com/sap/support/notes/1836879","1836879")</f>
        <v>1836879</v>
      </c>
      <c r="E2758">
        <v>2</v>
      </c>
      <c r="F2758" t="s">
        <v>3018</v>
      </c>
    </row>
    <row r="2759" spans="1:6" x14ac:dyDescent="0.25">
      <c r="A2759" t="s">
        <v>3228</v>
      </c>
      <c r="B2759" t="s">
        <v>229</v>
      </c>
      <c r="C2759" t="s">
        <v>230</v>
      </c>
      <c r="D2759" t="str">
        <f>HYPERLINK("http://service.sap.com/sap/support/notes/1837464","1837464")</f>
        <v>1837464</v>
      </c>
      <c r="E2759">
        <v>3</v>
      </c>
      <c r="F2759" t="s">
        <v>3019</v>
      </c>
    </row>
    <row r="2760" spans="1:6" x14ac:dyDescent="0.25">
      <c r="A2760" t="s">
        <v>3228</v>
      </c>
      <c r="B2760" t="s">
        <v>229</v>
      </c>
      <c r="C2760" t="s">
        <v>230</v>
      </c>
      <c r="D2760" t="str">
        <f>HYPERLINK("http://service.sap.com/sap/support/notes/1837788","1837788")</f>
        <v>1837788</v>
      </c>
      <c r="E2760">
        <v>2</v>
      </c>
      <c r="F2760" t="s">
        <v>3020</v>
      </c>
    </row>
    <row r="2761" spans="1:6" x14ac:dyDescent="0.25">
      <c r="A2761" t="s">
        <v>3228</v>
      </c>
      <c r="B2761" t="s">
        <v>260</v>
      </c>
      <c r="C2761" t="s">
        <v>37</v>
      </c>
      <c r="D2761" t="str">
        <f>HYPERLINK("http://service.sap.com/sap/support/notes/1831339","1831339")</f>
        <v>1831339</v>
      </c>
      <c r="E2761">
        <v>1</v>
      </c>
      <c r="F2761" t="s">
        <v>3021</v>
      </c>
    </row>
    <row r="2762" spans="1:6" x14ac:dyDescent="0.25">
      <c r="A2762" t="s">
        <v>3228</v>
      </c>
      <c r="B2762" t="s">
        <v>263</v>
      </c>
      <c r="C2762" t="s">
        <v>41</v>
      </c>
      <c r="D2762" t="str">
        <f>HYPERLINK("http://service.sap.com/sap/support/notes/1818186","1818186")</f>
        <v>1818186</v>
      </c>
      <c r="E2762">
        <v>2</v>
      </c>
      <c r="F2762" t="s">
        <v>3022</v>
      </c>
    </row>
    <row r="2763" spans="1:6" x14ac:dyDescent="0.25">
      <c r="A2763" t="s">
        <v>3228</v>
      </c>
      <c r="B2763" t="s">
        <v>263</v>
      </c>
      <c r="C2763" t="s">
        <v>41</v>
      </c>
      <c r="D2763" t="str">
        <f>HYPERLINK("http://service.sap.com/sap/support/notes/1819201","1819201")</f>
        <v>1819201</v>
      </c>
      <c r="E2763">
        <v>2</v>
      </c>
      <c r="F2763" t="s">
        <v>3023</v>
      </c>
    </row>
    <row r="2764" spans="1:6" x14ac:dyDescent="0.25">
      <c r="A2764" t="s">
        <v>3228</v>
      </c>
      <c r="B2764" t="s">
        <v>263</v>
      </c>
      <c r="C2764" t="s">
        <v>41</v>
      </c>
      <c r="D2764" t="str">
        <f>HYPERLINK("http://service.sap.com/sap/support/notes/1824110","1824110")</f>
        <v>1824110</v>
      </c>
      <c r="E2764">
        <v>2</v>
      </c>
      <c r="F2764" t="s">
        <v>3024</v>
      </c>
    </row>
    <row r="2765" spans="1:6" x14ac:dyDescent="0.25">
      <c r="A2765" t="s">
        <v>3228</v>
      </c>
      <c r="B2765" t="s">
        <v>263</v>
      </c>
      <c r="C2765" t="s">
        <v>41</v>
      </c>
      <c r="D2765" t="str">
        <f>HYPERLINK("http://service.sap.com/sap/support/notes/1824299","1824299")</f>
        <v>1824299</v>
      </c>
      <c r="E2765">
        <v>3</v>
      </c>
      <c r="F2765" t="s">
        <v>3025</v>
      </c>
    </row>
    <row r="2766" spans="1:6" x14ac:dyDescent="0.25">
      <c r="A2766" t="s">
        <v>3228</v>
      </c>
      <c r="B2766" t="s">
        <v>263</v>
      </c>
      <c r="C2766" t="s">
        <v>41</v>
      </c>
      <c r="D2766" t="str">
        <f>HYPERLINK("http://service.sap.com/sap/support/notes/1824555","1824555")</f>
        <v>1824555</v>
      </c>
      <c r="E2766">
        <v>1</v>
      </c>
      <c r="F2766" t="s">
        <v>3026</v>
      </c>
    </row>
    <row r="2767" spans="1:6" x14ac:dyDescent="0.25">
      <c r="A2767" t="s">
        <v>3228</v>
      </c>
      <c r="B2767" t="s">
        <v>263</v>
      </c>
      <c r="C2767" t="s">
        <v>41</v>
      </c>
      <c r="D2767" t="str">
        <f>HYPERLINK("http://service.sap.com/sap/support/notes/1826447","1826447")</f>
        <v>1826447</v>
      </c>
      <c r="E2767">
        <v>2</v>
      </c>
      <c r="F2767" t="s">
        <v>3027</v>
      </c>
    </row>
    <row r="2768" spans="1:6" x14ac:dyDescent="0.25">
      <c r="A2768" t="s">
        <v>3228</v>
      </c>
      <c r="B2768" t="s">
        <v>263</v>
      </c>
      <c r="C2768" t="s">
        <v>41</v>
      </c>
      <c r="D2768" t="str">
        <f>HYPERLINK("http://service.sap.com/sap/support/notes/1827554","1827554")</f>
        <v>1827554</v>
      </c>
      <c r="E2768">
        <v>1</v>
      </c>
      <c r="F2768" t="s">
        <v>3028</v>
      </c>
    </row>
    <row r="2769" spans="1:6" x14ac:dyDescent="0.25">
      <c r="A2769" t="s">
        <v>3228</v>
      </c>
      <c r="B2769" t="s">
        <v>263</v>
      </c>
      <c r="C2769" t="s">
        <v>41</v>
      </c>
      <c r="D2769" t="str">
        <f>HYPERLINK("http://service.sap.com/sap/support/notes/1829053","1829053")</f>
        <v>1829053</v>
      </c>
      <c r="E2769">
        <v>3</v>
      </c>
      <c r="F2769" t="s">
        <v>3029</v>
      </c>
    </row>
    <row r="2770" spans="1:6" x14ac:dyDescent="0.25">
      <c r="A2770" t="s">
        <v>3228</v>
      </c>
      <c r="B2770" t="s">
        <v>263</v>
      </c>
      <c r="C2770" t="s">
        <v>41</v>
      </c>
      <c r="D2770" t="str">
        <f>HYPERLINK("http://service.sap.com/sap/support/notes/1830747","1830747")</f>
        <v>1830747</v>
      </c>
      <c r="E2770">
        <v>2</v>
      </c>
      <c r="F2770" t="s">
        <v>3030</v>
      </c>
    </row>
    <row r="2771" spans="1:6" x14ac:dyDescent="0.25">
      <c r="A2771" t="s">
        <v>3228</v>
      </c>
      <c r="B2771" t="s">
        <v>263</v>
      </c>
      <c r="C2771" t="s">
        <v>41</v>
      </c>
      <c r="D2771" t="str">
        <f>HYPERLINK("http://service.sap.com/sap/support/notes/1831087","1831087")</f>
        <v>1831087</v>
      </c>
      <c r="E2771">
        <v>2</v>
      </c>
      <c r="F2771" t="s">
        <v>3031</v>
      </c>
    </row>
    <row r="2772" spans="1:6" x14ac:dyDescent="0.25">
      <c r="A2772" t="s">
        <v>3228</v>
      </c>
      <c r="B2772" t="s">
        <v>263</v>
      </c>
      <c r="C2772" t="s">
        <v>41</v>
      </c>
      <c r="D2772" t="str">
        <f>HYPERLINK("http://service.sap.com/sap/support/notes/1831648","1831648")</f>
        <v>1831648</v>
      </c>
      <c r="E2772">
        <v>1</v>
      </c>
      <c r="F2772" t="s">
        <v>3032</v>
      </c>
    </row>
    <row r="2773" spans="1:6" x14ac:dyDescent="0.25">
      <c r="A2773" t="s">
        <v>3228</v>
      </c>
      <c r="B2773" t="s">
        <v>263</v>
      </c>
      <c r="C2773" t="s">
        <v>41</v>
      </c>
      <c r="D2773" t="str">
        <f>HYPERLINK("http://service.sap.com/sap/support/notes/1833973","1833973")</f>
        <v>1833973</v>
      </c>
      <c r="E2773">
        <v>2</v>
      </c>
      <c r="F2773" t="s">
        <v>3033</v>
      </c>
    </row>
    <row r="2774" spans="1:6" x14ac:dyDescent="0.25">
      <c r="A2774" t="s">
        <v>3228</v>
      </c>
      <c r="B2774" t="s">
        <v>263</v>
      </c>
      <c r="C2774" t="s">
        <v>41</v>
      </c>
      <c r="D2774" t="str">
        <f>HYPERLINK("http://service.sap.com/sap/support/notes/1834819","1834819")</f>
        <v>1834819</v>
      </c>
      <c r="E2774">
        <v>2</v>
      </c>
      <c r="F2774" t="s">
        <v>3034</v>
      </c>
    </row>
    <row r="2775" spans="1:6" x14ac:dyDescent="0.25">
      <c r="A2775" t="s">
        <v>3228</v>
      </c>
      <c r="B2775" t="s">
        <v>263</v>
      </c>
      <c r="C2775" t="s">
        <v>41</v>
      </c>
      <c r="D2775" t="str">
        <f>HYPERLINK("http://service.sap.com/sap/support/notes/1835629","1835629")</f>
        <v>1835629</v>
      </c>
      <c r="E2775">
        <v>2</v>
      </c>
      <c r="F2775" t="s">
        <v>3035</v>
      </c>
    </row>
    <row r="2776" spans="1:6" x14ac:dyDescent="0.25">
      <c r="A2776" t="s">
        <v>3228</v>
      </c>
      <c r="B2776" t="s">
        <v>263</v>
      </c>
      <c r="C2776" t="s">
        <v>41</v>
      </c>
      <c r="D2776" t="str">
        <f>HYPERLINK("http://service.sap.com/sap/support/notes/1835836","1835836")</f>
        <v>1835836</v>
      </c>
      <c r="E2776">
        <v>1</v>
      </c>
      <c r="F2776" t="s">
        <v>3036</v>
      </c>
    </row>
    <row r="2777" spans="1:6" x14ac:dyDescent="0.25">
      <c r="A2777" t="s">
        <v>3228</v>
      </c>
      <c r="B2777" t="s">
        <v>263</v>
      </c>
      <c r="C2777" t="s">
        <v>41</v>
      </c>
      <c r="D2777" t="str">
        <f>HYPERLINK("http://service.sap.com/sap/support/notes/1836648","1836648")</f>
        <v>1836648</v>
      </c>
      <c r="E2777">
        <v>3</v>
      </c>
      <c r="F2777" t="s">
        <v>3037</v>
      </c>
    </row>
    <row r="2778" spans="1:6" x14ac:dyDescent="0.25">
      <c r="A2778" t="s">
        <v>3228</v>
      </c>
      <c r="B2778" t="s">
        <v>263</v>
      </c>
      <c r="C2778" t="s">
        <v>41</v>
      </c>
      <c r="D2778" t="str">
        <f>HYPERLINK("http://service.sap.com/sap/support/notes/1837158","1837158")</f>
        <v>1837158</v>
      </c>
      <c r="E2778">
        <v>1</v>
      </c>
      <c r="F2778" t="s">
        <v>3038</v>
      </c>
    </row>
    <row r="2779" spans="1:6" x14ac:dyDescent="0.25">
      <c r="A2779" t="s">
        <v>3228</v>
      </c>
      <c r="B2779" t="s">
        <v>263</v>
      </c>
      <c r="C2779" t="s">
        <v>41</v>
      </c>
      <c r="D2779" t="str">
        <f>HYPERLINK("http://service.sap.com/sap/support/notes/1837928","1837928")</f>
        <v>1837928</v>
      </c>
      <c r="E2779">
        <v>2</v>
      </c>
      <c r="F2779" t="s">
        <v>3039</v>
      </c>
    </row>
    <row r="2780" spans="1:6" x14ac:dyDescent="0.25">
      <c r="A2780" t="s">
        <v>3228</v>
      </c>
      <c r="B2780" t="s">
        <v>704</v>
      </c>
      <c r="C2780" t="s">
        <v>128</v>
      </c>
      <c r="D2780" t="str">
        <f>HYPERLINK("http://service.sap.com/sap/support/notes/1804848","1804848")</f>
        <v>1804848</v>
      </c>
      <c r="E2780">
        <v>4</v>
      </c>
      <c r="F2780" t="s">
        <v>3040</v>
      </c>
    </row>
    <row r="2781" spans="1:6" x14ac:dyDescent="0.25">
      <c r="A2781" t="s">
        <v>3228</v>
      </c>
      <c r="B2781" t="s">
        <v>286</v>
      </c>
      <c r="C2781" t="s">
        <v>287</v>
      </c>
      <c r="D2781" t="str">
        <f>HYPERLINK("http://service.sap.com/sap/support/notes/1624220","1624220")</f>
        <v>1624220</v>
      </c>
      <c r="E2781">
        <v>16</v>
      </c>
      <c r="F2781" t="s">
        <v>705</v>
      </c>
    </row>
    <row r="2782" spans="1:6" x14ac:dyDescent="0.25">
      <c r="A2782" t="s">
        <v>3228</v>
      </c>
      <c r="B2782" t="s">
        <v>286</v>
      </c>
      <c r="C2782" t="s">
        <v>287</v>
      </c>
      <c r="D2782" t="str">
        <f>HYPERLINK("http://service.sap.com/sap/support/notes/1816185","1816185")</f>
        <v>1816185</v>
      </c>
      <c r="E2782">
        <v>1</v>
      </c>
      <c r="F2782" t="s">
        <v>3041</v>
      </c>
    </row>
    <row r="2783" spans="1:6" x14ac:dyDescent="0.25">
      <c r="A2783" t="s">
        <v>3228</v>
      </c>
      <c r="B2783" t="s">
        <v>286</v>
      </c>
      <c r="C2783" t="s">
        <v>287</v>
      </c>
      <c r="D2783" t="str">
        <f>HYPERLINK("http://service.sap.com/sap/support/notes/1820577","1820577")</f>
        <v>1820577</v>
      </c>
      <c r="E2783">
        <v>4</v>
      </c>
      <c r="F2783" t="s">
        <v>2648</v>
      </c>
    </row>
    <row r="2784" spans="1:6" x14ac:dyDescent="0.25">
      <c r="A2784" t="s">
        <v>3228</v>
      </c>
      <c r="B2784" t="s">
        <v>286</v>
      </c>
      <c r="C2784" t="s">
        <v>287</v>
      </c>
      <c r="D2784" t="str">
        <f>HYPERLINK("http://service.sap.com/sap/support/notes/1825292","1825292")</f>
        <v>1825292</v>
      </c>
      <c r="E2784">
        <v>1</v>
      </c>
      <c r="F2784" t="s">
        <v>3042</v>
      </c>
    </row>
    <row r="2785" spans="1:6" x14ac:dyDescent="0.25">
      <c r="A2785" t="s">
        <v>3228</v>
      </c>
      <c r="B2785" t="s">
        <v>286</v>
      </c>
      <c r="C2785" t="s">
        <v>287</v>
      </c>
      <c r="D2785" t="str">
        <f>HYPERLINK("http://service.sap.com/sap/support/notes/1826515","1826515")</f>
        <v>1826515</v>
      </c>
      <c r="E2785">
        <v>2</v>
      </c>
      <c r="F2785" t="s">
        <v>2653</v>
      </c>
    </row>
    <row r="2786" spans="1:6" x14ac:dyDescent="0.25">
      <c r="A2786" t="s">
        <v>3228</v>
      </c>
      <c r="B2786" t="s">
        <v>286</v>
      </c>
      <c r="C2786" t="s">
        <v>287</v>
      </c>
      <c r="D2786" t="str">
        <f>HYPERLINK("http://service.sap.com/sap/support/notes/1826701","1826701")</f>
        <v>1826701</v>
      </c>
      <c r="E2786">
        <v>2</v>
      </c>
      <c r="F2786" t="s">
        <v>3043</v>
      </c>
    </row>
    <row r="2787" spans="1:6" x14ac:dyDescent="0.25">
      <c r="A2787" t="s">
        <v>3228</v>
      </c>
      <c r="B2787" t="s">
        <v>286</v>
      </c>
      <c r="C2787" t="s">
        <v>287</v>
      </c>
      <c r="D2787" t="str">
        <f>HYPERLINK("http://service.sap.com/sap/support/notes/1827202","1827202")</f>
        <v>1827202</v>
      </c>
      <c r="E2787">
        <v>1</v>
      </c>
      <c r="F2787" t="s">
        <v>3044</v>
      </c>
    </row>
    <row r="2788" spans="1:6" x14ac:dyDescent="0.25">
      <c r="A2788" t="s">
        <v>3228</v>
      </c>
      <c r="B2788" t="s">
        <v>286</v>
      </c>
      <c r="C2788" t="s">
        <v>287</v>
      </c>
      <c r="D2788" t="str">
        <f>HYPERLINK("http://service.sap.com/sap/support/notes/1827839","1827839")</f>
        <v>1827839</v>
      </c>
      <c r="E2788">
        <v>2</v>
      </c>
      <c r="F2788" t="s">
        <v>3045</v>
      </c>
    </row>
    <row r="2789" spans="1:6" x14ac:dyDescent="0.25">
      <c r="A2789" t="s">
        <v>3228</v>
      </c>
      <c r="B2789" t="s">
        <v>286</v>
      </c>
      <c r="C2789" t="s">
        <v>287</v>
      </c>
      <c r="D2789" t="str">
        <f>HYPERLINK("http://service.sap.com/sap/support/notes/1828430","1828430")</f>
        <v>1828430</v>
      </c>
      <c r="E2789">
        <v>1</v>
      </c>
      <c r="F2789" t="s">
        <v>3046</v>
      </c>
    </row>
    <row r="2790" spans="1:6" x14ac:dyDescent="0.25">
      <c r="A2790" t="s">
        <v>3228</v>
      </c>
      <c r="B2790" t="s">
        <v>286</v>
      </c>
      <c r="C2790" t="s">
        <v>287</v>
      </c>
      <c r="D2790" t="str">
        <f>HYPERLINK("http://service.sap.com/sap/support/notes/1828503","1828503")</f>
        <v>1828503</v>
      </c>
      <c r="E2790">
        <v>1</v>
      </c>
      <c r="F2790" t="s">
        <v>3047</v>
      </c>
    </row>
    <row r="2791" spans="1:6" x14ac:dyDescent="0.25">
      <c r="A2791" t="s">
        <v>3228</v>
      </c>
      <c r="B2791" t="s">
        <v>286</v>
      </c>
      <c r="C2791" t="s">
        <v>287</v>
      </c>
      <c r="D2791" t="str">
        <f>HYPERLINK("http://service.sap.com/sap/support/notes/1828506","1828506")</f>
        <v>1828506</v>
      </c>
      <c r="E2791">
        <v>1</v>
      </c>
      <c r="F2791" t="s">
        <v>3048</v>
      </c>
    </row>
    <row r="2792" spans="1:6" x14ac:dyDescent="0.25">
      <c r="A2792" t="s">
        <v>3228</v>
      </c>
      <c r="B2792" t="s">
        <v>286</v>
      </c>
      <c r="C2792" t="s">
        <v>287</v>
      </c>
      <c r="D2792" t="str">
        <f>HYPERLINK("http://service.sap.com/sap/support/notes/1828510","1828510")</f>
        <v>1828510</v>
      </c>
      <c r="E2792">
        <v>1</v>
      </c>
      <c r="F2792" t="s">
        <v>3049</v>
      </c>
    </row>
    <row r="2793" spans="1:6" x14ac:dyDescent="0.25">
      <c r="A2793" t="s">
        <v>3228</v>
      </c>
      <c r="B2793" t="s">
        <v>286</v>
      </c>
      <c r="C2793" t="s">
        <v>287</v>
      </c>
      <c r="D2793" t="str">
        <f>HYPERLINK("http://service.sap.com/sap/support/notes/1828832","1828832")</f>
        <v>1828832</v>
      </c>
      <c r="E2793">
        <v>1</v>
      </c>
      <c r="F2793" t="s">
        <v>3050</v>
      </c>
    </row>
    <row r="2794" spans="1:6" x14ac:dyDescent="0.25">
      <c r="A2794" t="s">
        <v>3228</v>
      </c>
      <c r="B2794" t="s">
        <v>286</v>
      </c>
      <c r="C2794" t="s">
        <v>287</v>
      </c>
      <c r="D2794" t="str">
        <f>HYPERLINK("http://service.sap.com/sap/support/notes/1829333","1829333")</f>
        <v>1829333</v>
      </c>
      <c r="E2794">
        <v>1</v>
      </c>
      <c r="F2794" t="s">
        <v>3051</v>
      </c>
    </row>
    <row r="2795" spans="1:6" x14ac:dyDescent="0.25">
      <c r="A2795" t="s">
        <v>3228</v>
      </c>
      <c r="B2795" t="s">
        <v>286</v>
      </c>
      <c r="C2795" t="s">
        <v>287</v>
      </c>
      <c r="D2795" t="str">
        <f>HYPERLINK("http://service.sap.com/sap/support/notes/1829449","1829449")</f>
        <v>1829449</v>
      </c>
      <c r="E2795">
        <v>2</v>
      </c>
      <c r="F2795" t="s">
        <v>3052</v>
      </c>
    </row>
    <row r="2796" spans="1:6" x14ac:dyDescent="0.25">
      <c r="A2796" t="s">
        <v>3228</v>
      </c>
      <c r="B2796" t="s">
        <v>286</v>
      </c>
      <c r="C2796" t="s">
        <v>287</v>
      </c>
      <c r="D2796" t="str">
        <f>HYPERLINK("http://service.sap.com/sap/support/notes/1829765","1829765")</f>
        <v>1829765</v>
      </c>
      <c r="E2796">
        <v>1</v>
      </c>
      <c r="F2796" t="s">
        <v>3053</v>
      </c>
    </row>
    <row r="2797" spans="1:6" x14ac:dyDescent="0.25">
      <c r="A2797" t="s">
        <v>3228</v>
      </c>
      <c r="B2797" t="s">
        <v>286</v>
      </c>
      <c r="C2797" t="s">
        <v>287</v>
      </c>
      <c r="D2797" t="str">
        <f>HYPERLINK("http://service.sap.com/sap/support/notes/1830244","1830244")</f>
        <v>1830244</v>
      </c>
      <c r="E2797">
        <v>2</v>
      </c>
      <c r="F2797" t="s">
        <v>3054</v>
      </c>
    </row>
    <row r="2798" spans="1:6" x14ac:dyDescent="0.25">
      <c r="A2798" t="s">
        <v>3228</v>
      </c>
      <c r="B2798" t="s">
        <v>286</v>
      </c>
      <c r="C2798" t="s">
        <v>287</v>
      </c>
      <c r="D2798" t="str">
        <f>HYPERLINK("http://service.sap.com/sap/support/notes/1831063","1831063")</f>
        <v>1831063</v>
      </c>
      <c r="E2798">
        <v>2</v>
      </c>
      <c r="F2798" t="s">
        <v>3055</v>
      </c>
    </row>
    <row r="2799" spans="1:6" x14ac:dyDescent="0.25">
      <c r="A2799" t="s">
        <v>3228</v>
      </c>
      <c r="B2799" t="s">
        <v>286</v>
      </c>
      <c r="C2799" t="s">
        <v>287</v>
      </c>
      <c r="D2799" t="str">
        <f>HYPERLINK("http://service.sap.com/sap/support/notes/1831694","1831694")</f>
        <v>1831694</v>
      </c>
      <c r="E2799">
        <v>2</v>
      </c>
      <c r="F2799" t="s">
        <v>3056</v>
      </c>
    </row>
    <row r="2800" spans="1:6" x14ac:dyDescent="0.25">
      <c r="A2800" t="s">
        <v>3228</v>
      </c>
      <c r="B2800" t="s">
        <v>286</v>
      </c>
      <c r="C2800" t="s">
        <v>287</v>
      </c>
      <c r="D2800" t="str">
        <f>HYPERLINK("http://service.sap.com/sap/support/notes/1831760","1831760")</f>
        <v>1831760</v>
      </c>
      <c r="E2800">
        <v>1</v>
      </c>
      <c r="F2800" t="s">
        <v>3057</v>
      </c>
    </row>
    <row r="2801" spans="1:6" x14ac:dyDescent="0.25">
      <c r="A2801" t="s">
        <v>3228</v>
      </c>
      <c r="B2801" t="s">
        <v>286</v>
      </c>
      <c r="C2801" t="s">
        <v>287</v>
      </c>
      <c r="D2801" t="str">
        <f>HYPERLINK("http://service.sap.com/sap/support/notes/1832670","1832670")</f>
        <v>1832670</v>
      </c>
      <c r="E2801">
        <v>1</v>
      </c>
      <c r="F2801" t="s">
        <v>3058</v>
      </c>
    </row>
    <row r="2802" spans="1:6" x14ac:dyDescent="0.25">
      <c r="A2802" t="s">
        <v>3228</v>
      </c>
      <c r="B2802" t="s">
        <v>286</v>
      </c>
      <c r="C2802" t="s">
        <v>287</v>
      </c>
      <c r="D2802" t="str">
        <f>HYPERLINK("http://service.sap.com/sap/support/notes/1835606","1835606")</f>
        <v>1835606</v>
      </c>
      <c r="E2802">
        <v>3</v>
      </c>
      <c r="F2802" t="s">
        <v>3059</v>
      </c>
    </row>
    <row r="2803" spans="1:6" x14ac:dyDescent="0.25">
      <c r="A2803" t="s">
        <v>3228</v>
      </c>
      <c r="B2803" t="s">
        <v>286</v>
      </c>
      <c r="C2803" t="s">
        <v>287</v>
      </c>
      <c r="D2803" t="str">
        <f>HYPERLINK("http://service.sap.com/sap/support/notes/1836058","1836058")</f>
        <v>1836058</v>
      </c>
      <c r="E2803">
        <v>1</v>
      </c>
      <c r="F2803" t="s">
        <v>3060</v>
      </c>
    </row>
    <row r="2804" spans="1:6" x14ac:dyDescent="0.25">
      <c r="A2804" t="s">
        <v>3228</v>
      </c>
      <c r="B2804" t="s">
        <v>286</v>
      </c>
      <c r="C2804" t="s">
        <v>287</v>
      </c>
      <c r="D2804" t="str">
        <f>HYPERLINK("http://service.sap.com/sap/support/notes/1836562","1836562")</f>
        <v>1836562</v>
      </c>
      <c r="E2804">
        <v>1</v>
      </c>
      <c r="F2804" t="s">
        <v>3061</v>
      </c>
    </row>
    <row r="2805" spans="1:6" x14ac:dyDescent="0.25">
      <c r="A2805" t="s">
        <v>3228</v>
      </c>
      <c r="B2805" t="s">
        <v>286</v>
      </c>
      <c r="C2805" t="s">
        <v>287</v>
      </c>
      <c r="D2805" t="str">
        <f>HYPERLINK("http://service.sap.com/sap/support/notes/1836763","1836763")</f>
        <v>1836763</v>
      </c>
      <c r="E2805">
        <v>1</v>
      </c>
      <c r="F2805" t="s">
        <v>3062</v>
      </c>
    </row>
    <row r="2806" spans="1:6" x14ac:dyDescent="0.25">
      <c r="A2806" t="s">
        <v>3228</v>
      </c>
      <c r="B2806" t="s">
        <v>286</v>
      </c>
      <c r="C2806" t="s">
        <v>287</v>
      </c>
      <c r="D2806" t="str">
        <f>HYPERLINK("http://service.sap.com/sap/support/notes/1837961","1837961")</f>
        <v>1837961</v>
      </c>
      <c r="E2806">
        <v>1</v>
      </c>
      <c r="F2806" t="s">
        <v>3063</v>
      </c>
    </row>
    <row r="2807" spans="1:6" x14ac:dyDescent="0.25">
      <c r="A2807" t="s">
        <v>3228</v>
      </c>
      <c r="B2807" t="s">
        <v>292</v>
      </c>
      <c r="C2807" t="s">
        <v>196</v>
      </c>
    </row>
    <row r="2808" spans="1:6" x14ac:dyDescent="0.25">
      <c r="A2808" t="s">
        <v>3228</v>
      </c>
      <c r="B2808" t="s">
        <v>293</v>
      </c>
      <c r="C2808" t="s">
        <v>294</v>
      </c>
      <c r="D2808" t="str">
        <f>HYPERLINK("http://service.sap.com/sap/support/notes/1756480","1756480")</f>
        <v>1756480</v>
      </c>
      <c r="E2808">
        <v>3</v>
      </c>
      <c r="F2808" t="s">
        <v>3064</v>
      </c>
    </row>
    <row r="2809" spans="1:6" x14ac:dyDescent="0.25">
      <c r="A2809" t="s">
        <v>3228</v>
      </c>
      <c r="B2809" t="s">
        <v>306</v>
      </c>
      <c r="C2809" t="s">
        <v>307</v>
      </c>
      <c r="D2809" t="str">
        <f>HYPERLINK("http://service.sap.com/sap/support/notes/1826150","1826150")</f>
        <v>1826150</v>
      </c>
      <c r="E2809">
        <v>1</v>
      </c>
      <c r="F2809" t="s">
        <v>3065</v>
      </c>
    </row>
    <row r="2810" spans="1:6" x14ac:dyDescent="0.25">
      <c r="A2810" t="s">
        <v>3228</v>
      </c>
      <c r="B2810" t="s">
        <v>306</v>
      </c>
      <c r="C2810" t="s">
        <v>307</v>
      </c>
      <c r="D2810" t="str">
        <f>HYPERLINK("http://service.sap.com/sap/support/notes/1828607","1828607")</f>
        <v>1828607</v>
      </c>
      <c r="E2810">
        <v>3</v>
      </c>
      <c r="F2810" t="s">
        <v>3066</v>
      </c>
    </row>
    <row r="2811" spans="1:6" x14ac:dyDescent="0.25">
      <c r="A2811" t="s">
        <v>3228</v>
      </c>
      <c r="B2811" t="s">
        <v>306</v>
      </c>
      <c r="C2811" t="s">
        <v>307</v>
      </c>
      <c r="D2811" t="str">
        <f>HYPERLINK("http://service.sap.com/sap/support/notes/1833650","1833650")</f>
        <v>1833650</v>
      </c>
      <c r="E2811">
        <v>2</v>
      </c>
      <c r="F2811" t="s">
        <v>3067</v>
      </c>
    </row>
    <row r="2812" spans="1:6" x14ac:dyDescent="0.25">
      <c r="A2812" t="s">
        <v>3228</v>
      </c>
      <c r="B2812" t="s">
        <v>313</v>
      </c>
      <c r="C2812" t="s">
        <v>314</v>
      </c>
    </row>
    <row r="2813" spans="1:6" x14ac:dyDescent="0.25">
      <c r="A2813" t="s">
        <v>3228</v>
      </c>
      <c r="B2813" t="s">
        <v>668</v>
      </c>
      <c r="C2813" t="s">
        <v>156</v>
      </c>
    </row>
    <row r="2814" spans="1:6" x14ac:dyDescent="0.25">
      <c r="A2814" t="s">
        <v>3228</v>
      </c>
      <c r="B2814" t="s">
        <v>669</v>
      </c>
      <c r="C2814" t="s">
        <v>303</v>
      </c>
      <c r="D2814" t="str">
        <f>HYPERLINK("http://service.sap.com/sap/support/notes/1821167","1821167")</f>
        <v>1821167</v>
      </c>
      <c r="E2814">
        <v>4</v>
      </c>
      <c r="F2814" t="s">
        <v>3068</v>
      </c>
    </row>
    <row r="2815" spans="1:6" x14ac:dyDescent="0.25">
      <c r="A2815" t="s">
        <v>3228</v>
      </c>
      <c r="B2815" t="s">
        <v>669</v>
      </c>
      <c r="C2815" t="s">
        <v>303</v>
      </c>
      <c r="D2815" t="str">
        <f>HYPERLINK("http://service.sap.com/sap/support/notes/1828753","1828753")</f>
        <v>1828753</v>
      </c>
      <c r="E2815">
        <v>1</v>
      </c>
      <c r="F2815" t="s">
        <v>3069</v>
      </c>
    </row>
    <row r="2816" spans="1:6" x14ac:dyDescent="0.25">
      <c r="A2816" t="s">
        <v>3228</v>
      </c>
      <c r="B2816" t="s">
        <v>319</v>
      </c>
      <c r="C2816" t="s">
        <v>320</v>
      </c>
      <c r="D2816" t="str">
        <f>HYPERLINK("http://service.sap.com/sap/support/notes/1799853","1799853")</f>
        <v>1799853</v>
      </c>
      <c r="E2816">
        <v>4</v>
      </c>
      <c r="F2816" t="s">
        <v>3070</v>
      </c>
    </row>
    <row r="2817" spans="1:6" x14ac:dyDescent="0.25">
      <c r="A2817" t="s">
        <v>3228</v>
      </c>
      <c r="B2817" t="s">
        <v>319</v>
      </c>
      <c r="C2817" t="s">
        <v>320</v>
      </c>
      <c r="D2817" t="str">
        <f>HYPERLINK("http://service.sap.com/sap/support/notes/1804958","1804958")</f>
        <v>1804958</v>
      </c>
      <c r="E2817">
        <v>4</v>
      </c>
      <c r="F2817" t="s">
        <v>3071</v>
      </c>
    </row>
    <row r="2818" spans="1:6" x14ac:dyDescent="0.25">
      <c r="A2818" t="s">
        <v>3228</v>
      </c>
      <c r="B2818" t="s">
        <v>319</v>
      </c>
      <c r="C2818" t="s">
        <v>320</v>
      </c>
      <c r="D2818" t="str">
        <f>HYPERLINK("http://service.sap.com/sap/support/notes/1812451","1812451")</f>
        <v>1812451</v>
      </c>
      <c r="E2818">
        <v>4</v>
      </c>
      <c r="F2818" t="s">
        <v>3072</v>
      </c>
    </row>
    <row r="2819" spans="1:6" x14ac:dyDescent="0.25">
      <c r="A2819" t="s">
        <v>3228</v>
      </c>
      <c r="B2819" t="s">
        <v>319</v>
      </c>
      <c r="C2819" t="s">
        <v>320</v>
      </c>
      <c r="D2819" t="str">
        <f>HYPERLINK("http://service.sap.com/sap/support/notes/1813041","1813041")</f>
        <v>1813041</v>
      </c>
      <c r="E2819">
        <v>3</v>
      </c>
      <c r="F2819" t="s">
        <v>3073</v>
      </c>
    </row>
    <row r="2820" spans="1:6" x14ac:dyDescent="0.25">
      <c r="A2820" t="s">
        <v>3228</v>
      </c>
      <c r="B2820" t="s">
        <v>319</v>
      </c>
      <c r="C2820" t="s">
        <v>320</v>
      </c>
      <c r="D2820" t="str">
        <f>HYPERLINK("http://service.sap.com/sap/support/notes/1816695","1816695")</f>
        <v>1816695</v>
      </c>
      <c r="E2820">
        <v>2</v>
      </c>
      <c r="F2820" t="s">
        <v>3074</v>
      </c>
    </row>
    <row r="2821" spans="1:6" x14ac:dyDescent="0.25">
      <c r="A2821" t="s">
        <v>3228</v>
      </c>
      <c r="B2821" t="s">
        <v>319</v>
      </c>
      <c r="C2821" t="s">
        <v>320</v>
      </c>
      <c r="D2821" t="str">
        <f>HYPERLINK("http://service.sap.com/sap/support/notes/1820772","1820772")</f>
        <v>1820772</v>
      </c>
      <c r="E2821">
        <v>3</v>
      </c>
      <c r="F2821" t="s">
        <v>3075</v>
      </c>
    </row>
    <row r="2822" spans="1:6" x14ac:dyDescent="0.25">
      <c r="A2822" t="s">
        <v>3228</v>
      </c>
      <c r="B2822" t="s">
        <v>319</v>
      </c>
      <c r="C2822" t="s">
        <v>320</v>
      </c>
      <c r="D2822" t="str">
        <f>HYPERLINK("http://service.sap.com/sap/support/notes/1821452","1821452")</f>
        <v>1821452</v>
      </c>
      <c r="E2822">
        <v>2</v>
      </c>
      <c r="F2822" t="s">
        <v>3076</v>
      </c>
    </row>
    <row r="2823" spans="1:6" x14ac:dyDescent="0.25">
      <c r="A2823" t="s">
        <v>3228</v>
      </c>
      <c r="B2823" t="s">
        <v>319</v>
      </c>
      <c r="C2823" t="s">
        <v>320</v>
      </c>
      <c r="D2823" t="str">
        <f>HYPERLINK("http://service.sap.com/sap/support/notes/1826422","1826422")</f>
        <v>1826422</v>
      </c>
      <c r="E2823">
        <v>1</v>
      </c>
      <c r="F2823" t="s">
        <v>3077</v>
      </c>
    </row>
    <row r="2824" spans="1:6" x14ac:dyDescent="0.25">
      <c r="A2824" t="s">
        <v>3228</v>
      </c>
      <c r="B2824" t="s">
        <v>319</v>
      </c>
      <c r="C2824" t="s">
        <v>320</v>
      </c>
      <c r="D2824" t="str">
        <f>HYPERLINK("http://service.sap.com/sap/support/notes/1829292","1829292")</f>
        <v>1829292</v>
      </c>
      <c r="E2824">
        <v>2</v>
      </c>
      <c r="F2824" t="s">
        <v>3078</v>
      </c>
    </row>
    <row r="2825" spans="1:6" x14ac:dyDescent="0.25">
      <c r="A2825" t="s">
        <v>3228</v>
      </c>
      <c r="B2825" t="s">
        <v>319</v>
      </c>
      <c r="C2825" t="s">
        <v>320</v>
      </c>
      <c r="D2825" t="str">
        <f>HYPERLINK("http://service.sap.com/sap/support/notes/1829618","1829618")</f>
        <v>1829618</v>
      </c>
      <c r="E2825">
        <v>5</v>
      </c>
      <c r="F2825" t="s">
        <v>3079</v>
      </c>
    </row>
    <row r="2826" spans="1:6" x14ac:dyDescent="0.25">
      <c r="A2826" t="s">
        <v>3228</v>
      </c>
      <c r="B2826" t="s">
        <v>327</v>
      </c>
      <c r="C2826" t="s">
        <v>328</v>
      </c>
      <c r="D2826" t="str">
        <f>HYPERLINK("http://service.sap.com/sap/support/notes/1820229","1820229")</f>
        <v>1820229</v>
      </c>
      <c r="E2826">
        <v>2</v>
      </c>
      <c r="F2826" t="s">
        <v>3080</v>
      </c>
    </row>
    <row r="2827" spans="1:6" x14ac:dyDescent="0.25">
      <c r="A2827" t="s">
        <v>3228</v>
      </c>
      <c r="B2827" t="s">
        <v>327</v>
      </c>
      <c r="C2827" t="s">
        <v>328</v>
      </c>
      <c r="D2827" t="str">
        <f>HYPERLINK("http://service.sap.com/sap/support/notes/1825331","1825331")</f>
        <v>1825331</v>
      </c>
      <c r="E2827">
        <v>2</v>
      </c>
      <c r="F2827" t="s">
        <v>3081</v>
      </c>
    </row>
    <row r="2828" spans="1:6" x14ac:dyDescent="0.25">
      <c r="A2828" t="s">
        <v>3228</v>
      </c>
      <c r="B2828" t="s">
        <v>327</v>
      </c>
      <c r="C2828" t="s">
        <v>328</v>
      </c>
      <c r="D2828" t="str">
        <f>HYPERLINK("http://service.sap.com/sap/support/notes/1827034","1827034")</f>
        <v>1827034</v>
      </c>
      <c r="E2828">
        <v>1</v>
      </c>
      <c r="F2828" t="s">
        <v>3082</v>
      </c>
    </row>
    <row r="2829" spans="1:6" x14ac:dyDescent="0.25">
      <c r="A2829" t="s">
        <v>3228</v>
      </c>
      <c r="B2829" t="s">
        <v>327</v>
      </c>
      <c r="C2829" t="s">
        <v>328</v>
      </c>
      <c r="D2829" t="str">
        <f>HYPERLINK("http://service.sap.com/sap/support/notes/1827257","1827257")</f>
        <v>1827257</v>
      </c>
      <c r="E2829">
        <v>3</v>
      </c>
      <c r="F2829" t="s">
        <v>3083</v>
      </c>
    </row>
    <row r="2830" spans="1:6" x14ac:dyDescent="0.25">
      <c r="A2830" t="s">
        <v>3228</v>
      </c>
      <c r="B2830" t="s">
        <v>327</v>
      </c>
      <c r="C2830" t="s">
        <v>328</v>
      </c>
      <c r="D2830" t="str">
        <f>HYPERLINK("http://service.sap.com/sap/support/notes/1829745","1829745")</f>
        <v>1829745</v>
      </c>
      <c r="E2830">
        <v>1</v>
      </c>
      <c r="F2830" t="s">
        <v>3084</v>
      </c>
    </row>
    <row r="2831" spans="1:6" x14ac:dyDescent="0.25">
      <c r="A2831" t="s">
        <v>3228</v>
      </c>
      <c r="B2831" t="s">
        <v>327</v>
      </c>
      <c r="C2831" t="s">
        <v>328</v>
      </c>
      <c r="D2831" t="str">
        <f>HYPERLINK("http://service.sap.com/sap/support/notes/1833354","1833354")</f>
        <v>1833354</v>
      </c>
      <c r="E2831">
        <v>1</v>
      </c>
      <c r="F2831" t="s">
        <v>3085</v>
      </c>
    </row>
    <row r="2832" spans="1:6" x14ac:dyDescent="0.25">
      <c r="A2832" t="s">
        <v>3228</v>
      </c>
      <c r="B2832" t="s">
        <v>594</v>
      </c>
      <c r="C2832" t="s">
        <v>128</v>
      </c>
      <c r="D2832" t="str">
        <f>HYPERLINK("http://service.sap.com/sap/support/notes/1784099","1784099")</f>
        <v>1784099</v>
      </c>
      <c r="E2832">
        <v>1</v>
      </c>
      <c r="F2832" t="s">
        <v>3086</v>
      </c>
    </row>
    <row r="2833" spans="1:6" x14ac:dyDescent="0.25">
      <c r="A2833" t="s">
        <v>3228</v>
      </c>
      <c r="B2833" t="s">
        <v>594</v>
      </c>
      <c r="C2833" t="s">
        <v>128</v>
      </c>
      <c r="D2833" t="str">
        <f>HYPERLINK("http://service.sap.com/sap/support/notes/1824363","1824363")</f>
        <v>1824363</v>
      </c>
      <c r="E2833">
        <v>1</v>
      </c>
      <c r="F2833" t="s">
        <v>3087</v>
      </c>
    </row>
    <row r="2834" spans="1:6" x14ac:dyDescent="0.25">
      <c r="A2834" t="s">
        <v>3228</v>
      </c>
      <c r="B2834" t="s">
        <v>337</v>
      </c>
      <c r="C2834" t="s">
        <v>48</v>
      </c>
      <c r="D2834" t="str">
        <f>HYPERLINK("http://service.sap.com/sap/support/notes/1813073","1813073")</f>
        <v>1813073</v>
      </c>
      <c r="E2834">
        <v>3</v>
      </c>
      <c r="F2834" t="s">
        <v>3088</v>
      </c>
    </row>
    <row r="2835" spans="1:6" x14ac:dyDescent="0.25">
      <c r="A2835" t="s">
        <v>3228</v>
      </c>
      <c r="B2835" t="s">
        <v>337</v>
      </c>
      <c r="C2835" t="s">
        <v>48</v>
      </c>
      <c r="D2835" t="str">
        <f>HYPERLINK("http://service.sap.com/sap/support/notes/1827931","1827931")</f>
        <v>1827931</v>
      </c>
      <c r="E2835">
        <v>1</v>
      </c>
      <c r="F2835" t="s">
        <v>3089</v>
      </c>
    </row>
    <row r="2836" spans="1:6" x14ac:dyDescent="0.25">
      <c r="A2836" t="s">
        <v>3228</v>
      </c>
      <c r="B2836" t="s">
        <v>337</v>
      </c>
      <c r="C2836" t="s">
        <v>48</v>
      </c>
      <c r="D2836" t="str">
        <f>HYPERLINK("http://service.sap.com/sap/support/notes/1828583","1828583")</f>
        <v>1828583</v>
      </c>
      <c r="E2836">
        <v>1</v>
      </c>
      <c r="F2836" t="s">
        <v>3090</v>
      </c>
    </row>
    <row r="2837" spans="1:6" x14ac:dyDescent="0.25">
      <c r="A2837" t="s">
        <v>3228</v>
      </c>
      <c r="B2837" t="s">
        <v>3091</v>
      </c>
      <c r="C2837" t="s">
        <v>156</v>
      </c>
    </row>
    <row r="2838" spans="1:6" x14ac:dyDescent="0.25">
      <c r="A2838" t="s">
        <v>3228</v>
      </c>
      <c r="B2838" t="s">
        <v>3092</v>
      </c>
      <c r="C2838" t="s">
        <v>3093</v>
      </c>
      <c r="D2838" t="str">
        <f>HYPERLINK("http://service.sap.com/sap/support/notes/1818373","1818373")</f>
        <v>1818373</v>
      </c>
      <c r="E2838">
        <v>7</v>
      </c>
      <c r="F2838" t="s">
        <v>3094</v>
      </c>
    </row>
    <row r="2839" spans="1:6" x14ac:dyDescent="0.25">
      <c r="A2839" t="s">
        <v>3228</v>
      </c>
      <c r="B2839" t="s">
        <v>3092</v>
      </c>
      <c r="C2839" t="s">
        <v>3093</v>
      </c>
      <c r="D2839" t="str">
        <f>HYPERLINK("http://service.sap.com/sap/support/notes/1830098","1830098")</f>
        <v>1830098</v>
      </c>
      <c r="E2839">
        <v>1</v>
      </c>
      <c r="F2839" t="s">
        <v>3095</v>
      </c>
    </row>
    <row r="2840" spans="1:6" x14ac:dyDescent="0.25">
      <c r="A2840" t="s">
        <v>3228</v>
      </c>
      <c r="B2840" t="s">
        <v>340</v>
      </c>
      <c r="C2840" t="s">
        <v>52</v>
      </c>
      <c r="D2840" t="str">
        <f>HYPERLINK("http://service.sap.com/sap/support/notes/1811880","1811880")</f>
        <v>1811880</v>
      </c>
      <c r="E2840">
        <v>6</v>
      </c>
      <c r="F2840" t="s">
        <v>3096</v>
      </c>
    </row>
    <row r="2841" spans="1:6" x14ac:dyDescent="0.25">
      <c r="A2841" t="s">
        <v>3228</v>
      </c>
      <c r="B2841" t="s">
        <v>340</v>
      </c>
      <c r="C2841" t="s">
        <v>52</v>
      </c>
      <c r="D2841" t="str">
        <f>HYPERLINK("http://service.sap.com/sap/support/notes/1823872","1823872")</f>
        <v>1823872</v>
      </c>
      <c r="E2841">
        <v>2</v>
      </c>
      <c r="F2841" t="s">
        <v>2689</v>
      </c>
    </row>
    <row r="2842" spans="1:6" x14ac:dyDescent="0.25">
      <c r="A2842" t="s">
        <v>3228</v>
      </c>
      <c r="B2842" t="s">
        <v>340</v>
      </c>
      <c r="C2842" t="s">
        <v>52</v>
      </c>
      <c r="D2842" t="str">
        <f>HYPERLINK("http://service.sap.com/sap/support/notes/1826333","1826333")</f>
        <v>1826333</v>
      </c>
      <c r="E2842">
        <v>1</v>
      </c>
      <c r="F2842" t="s">
        <v>3097</v>
      </c>
    </row>
    <row r="2843" spans="1:6" x14ac:dyDescent="0.25">
      <c r="A2843" t="s">
        <v>3228</v>
      </c>
      <c r="B2843" t="s">
        <v>340</v>
      </c>
      <c r="C2843" t="s">
        <v>52</v>
      </c>
      <c r="D2843" t="str">
        <f>HYPERLINK("http://service.sap.com/sap/support/notes/1826783","1826783")</f>
        <v>1826783</v>
      </c>
      <c r="E2843">
        <v>1</v>
      </c>
      <c r="F2843" t="s">
        <v>3098</v>
      </c>
    </row>
    <row r="2844" spans="1:6" x14ac:dyDescent="0.25">
      <c r="A2844" t="s">
        <v>3228</v>
      </c>
      <c r="B2844" t="s">
        <v>340</v>
      </c>
      <c r="C2844" t="s">
        <v>52</v>
      </c>
      <c r="D2844" t="str">
        <f>HYPERLINK("http://service.sap.com/sap/support/notes/1826889","1826889")</f>
        <v>1826889</v>
      </c>
      <c r="E2844">
        <v>1</v>
      </c>
      <c r="F2844" t="s">
        <v>3099</v>
      </c>
    </row>
    <row r="2845" spans="1:6" x14ac:dyDescent="0.25">
      <c r="A2845" t="s">
        <v>3228</v>
      </c>
      <c r="B2845" t="s">
        <v>340</v>
      </c>
      <c r="C2845" t="s">
        <v>52</v>
      </c>
      <c r="D2845" t="str">
        <f>HYPERLINK("http://service.sap.com/sap/support/notes/1831602","1831602")</f>
        <v>1831602</v>
      </c>
      <c r="E2845">
        <v>4</v>
      </c>
      <c r="F2845" t="s">
        <v>3100</v>
      </c>
    </row>
    <row r="2846" spans="1:6" x14ac:dyDescent="0.25">
      <c r="A2846" t="s">
        <v>3228</v>
      </c>
      <c r="B2846" t="s">
        <v>340</v>
      </c>
      <c r="C2846" t="s">
        <v>52</v>
      </c>
      <c r="D2846" t="str">
        <f>HYPERLINK("http://service.sap.com/sap/support/notes/1832423","1832423")</f>
        <v>1832423</v>
      </c>
      <c r="E2846">
        <v>3</v>
      </c>
      <c r="F2846" t="s">
        <v>3101</v>
      </c>
    </row>
    <row r="2847" spans="1:6" x14ac:dyDescent="0.25">
      <c r="A2847" t="s">
        <v>3228</v>
      </c>
      <c r="B2847" t="s">
        <v>340</v>
      </c>
      <c r="C2847" t="s">
        <v>52</v>
      </c>
      <c r="D2847" t="str">
        <f>HYPERLINK("http://service.sap.com/sap/support/notes/1833018","1833018")</f>
        <v>1833018</v>
      </c>
      <c r="E2847">
        <v>2</v>
      </c>
      <c r="F2847" t="s">
        <v>3102</v>
      </c>
    </row>
    <row r="2848" spans="1:6" x14ac:dyDescent="0.25">
      <c r="A2848" t="s">
        <v>3228</v>
      </c>
      <c r="B2848" t="s">
        <v>340</v>
      </c>
      <c r="C2848" t="s">
        <v>52</v>
      </c>
      <c r="D2848" t="str">
        <f>HYPERLINK("http://service.sap.com/sap/support/notes/1837505","1837505")</f>
        <v>1837505</v>
      </c>
      <c r="E2848">
        <v>2</v>
      </c>
      <c r="F2848" t="s">
        <v>3103</v>
      </c>
    </row>
    <row r="2849" spans="1:6" x14ac:dyDescent="0.25">
      <c r="A2849" t="s">
        <v>3228</v>
      </c>
      <c r="B2849" t="s">
        <v>344</v>
      </c>
      <c r="C2849" t="s">
        <v>345</v>
      </c>
      <c r="D2849" t="str">
        <f>HYPERLINK("http://service.sap.com/sap/support/notes/1799251","1799251")</f>
        <v>1799251</v>
      </c>
      <c r="E2849">
        <v>4</v>
      </c>
      <c r="F2849" t="s">
        <v>3104</v>
      </c>
    </row>
    <row r="2850" spans="1:6" x14ac:dyDescent="0.25">
      <c r="A2850" t="s">
        <v>3228</v>
      </c>
      <c r="B2850" t="s">
        <v>344</v>
      </c>
      <c r="C2850" t="s">
        <v>345</v>
      </c>
      <c r="D2850" t="str">
        <f>HYPERLINK("http://service.sap.com/sap/support/notes/1801952","1801952")</f>
        <v>1801952</v>
      </c>
      <c r="E2850">
        <v>2</v>
      </c>
      <c r="F2850" t="s">
        <v>3105</v>
      </c>
    </row>
    <row r="2851" spans="1:6" x14ac:dyDescent="0.25">
      <c r="A2851" t="s">
        <v>3228</v>
      </c>
      <c r="B2851" t="s">
        <v>344</v>
      </c>
      <c r="C2851" t="s">
        <v>345</v>
      </c>
      <c r="D2851" t="str">
        <f>HYPERLINK("http://service.sap.com/sap/support/notes/1804289","1804289")</f>
        <v>1804289</v>
      </c>
      <c r="E2851">
        <v>4</v>
      </c>
      <c r="F2851" t="s">
        <v>3106</v>
      </c>
    </row>
    <row r="2852" spans="1:6" x14ac:dyDescent="0.25">
      <c r="A2852" t="s">
        <v>3228</v>
      </c>
      <c r="B2852" t="s">
        <v>344</v>
      </c>
      <c r="C2852" t="s">
        <v>345</v>
      </c>
      <c r="D2852" t="str">
        <f>HYPERLINK("http://service.sap.com/sap/support/notes/1804613","1804613")</f>
        <v>1804613</v>
      </c>
      <c r="E2852">
        <v>5</v>
      </c>
      <c r="F2852" t="s">
        <v>3107</v>
      </c>
    </row>
    <row r="2853" spans="1:6" x14ac:dyDescent="0.25">
      <c r="A2853" t="s">
        <v>3228</v>
      </c>
      <c r="B2853" t="s">
        <v>344</v>
      </c>
      <c r="C2853" t="s">
        <v>345</v>
      </c>
      <c r="D2853" t="str">
        <f>HYPERLINK("http://service.sap.com/sap/support/notes/1831090","1831090")</f>
        <v>1831090</v>
      </c>
      <c r="E2853">
        <v>3</v>
      </c>
      <c r="F2853" t="s">
        <v>3108</v>
      </c>
    </row>
    <row r="2854" spans="1:6" x14ac:dyDescent="0.25">
      <c r="A2854" t="s">
        <v>3228</v>
      </c>
      <c r="B2854" t="s">
        <v>344</v>
      </c>
      <c r="C2854" t="s">
        <v>345</v>
      </c>
      <c r="D2854" t="str">
        <f>HYPERLINK("http://service.sap.com/sap/support/notes/1831562","1831562")</f>
        <v>1831562</v>
      </c>
      <c r="E2854">
        <v>4</v>
      </c>
      <c r="F2854" t="s">
        <v>3109</v>
      </c>
    </row>
    <row r="2855" spans="1:6" x14ac:dyDescent="0.25">
      <c r="A2855" t="s">
        <v>3228</v>
      </c>
      <c r="B2855" t="s">
        <v>350</v>
      </c>
      <c r="C2855" t="s">
        <v>351</v>
      </c>
      <c r="D2855" t="str">
        <f>HYPERLINK("http://service.sap.com/sap/support/notes/1810907","1810907")</f>
        <v>1810907</v>
      </c>
      <c r="E2855">
        <v>2</v>
      </c>
      <c r="F2855" t="s">
        <v>2698</v>
      </c>
    </row>
    <row r="2856" spans="1:6" x14ac:dyDescent="0.25">
      <c r="A2856" t="s">
        <v>3228</v>
      </c>
      <c r="B2856" t="s">
        <v>350</v>
      </c>
      <c r="C2856" t="s">
        <v>351</v>
      </c>
      <c r="D2856" t="str">
        <f>HYPERLINK("http://service.sap.com/sap/support/notes/1812115","1812115")</f>
        <v>1812115</v>
      </c>
      <c r="E2856">
        <v>1</v>
      </c>
      <c r="F2856" t="s">
        <v>3110</v>
      </c>
    </row>
    <row r="2857" spans="1:6" x14ac:dyDescent="0.25">
      <c r="A2857" t="s">
        <v>3228</v>
      </c>
      <c r="B2857" t="s">
        <v>350</v>
      </c>
      <c r="C2857" t="s">
        <v>351</v>
      </c>
      <c r="D2857" t="str">
        <f>HYPERLINK("http://service.sap.com/sap/support/notes/1818385","1818385")</f>
        <v>1818385</v>
      </c>
      <c r="E2857">
        <v>2</v>
      </c>
      <c r="F2857" t="s">
        <v>3111</v>
      </c>
    </row>
    <row r="2858" spans="1:6" x14ac:dyDescent="0.25">
      <c r="A2858" t="s">
        <v>3228</v>
      </c>
      <c r="B2858" t="s">
        <v>350</v>
      </c>
      <c r="C2858" t="s">
        <v>351</v>
      </c>
      <c r="D2858" t="str">
        <f>HYPERLINK("http://service.sap.com/sap/support/notes/1824962","1824962")</f>
        <v>1824962</v>
      </c>
      <c r="E2858">
        <v>3</v>
      </c>
      <c r="F2858" t="s">
        <v>3112</v>
      </c>
    </row>
    <row r="2859" spans="1:6" x14ac:dyDescent="0.25">
      <c r="A2859" t="s">
        <v>3228</v>
      </c>
      <c r="B2859" t="s">
        <v>350</v>
      </c>
      <c r="C2859" t="s">
        <v>351</v>
      </c>
      <c r="D2859" t="str">
        <f>HYPERLINK("http://service.sap.com/sap/support/notes/1825548","1825548")</f>
        <v>1825548</v>
      </c>
      <c r="E2859">
        <v>2</v>
      </c>
      <c r="F2859" t="s">
        <v>3113</v>
      </c>
    </row>
    <row r="2860" spans="1:6" x14ac:dyDescent="0.25">
      <c r="A2860" t="s">
        <v>3228</v>
      </c>
      <c r="B2860" t="s">
        <v>350</v>
      </c>
      <c r="C2860" t="s">
        <v>351</v>
      </c>
      <c r="D2860" t="str">
        <f>HYPERLINK("http://service.sap.com/sap/support/notes/1826516","1826516")</f>
        <v>1826516</v>
      </c>
      <c r="E2860">
        <v>1</v>
      </c>
      <c r="F2860" t="s">
        <v>3114</v>
      </c>
    </row>
    <row r="2861" spans="1:6" x14ac:dyDescent="0.25">
      <c r="A2861" t="s">
        <v>3228</v>
      </c>
      <c r="B2861" t="s">
        <v>350</v>
      </c>
      <c r="C2861" t="s">
        <v>351</v>
      </c>
      <c r="D2861" t="str">
        <f>HYPERLINK("http://service.sap.com/sap/support/notes/1826702","1826702")</f>
        <v>1826702</v>
      </c>
      <c r="E2861">
        <v>1</v>
      </c>
      <c r="F2861" t="s">
        <v>3115</v>
      </c>
    </row>
    <row r="2862" spans="1:6" x14ac:dyDescent="0.25">
      <c r="A2862" t="s">
        <v>3228</v>
      </c>
      <c r="B2862" t="s">
        <v>350</v>
      </c>
      <c r="C2862" t="s">
        <v>351</v>
      </c>
      <c r="D2862" t="str">
        <f>HYPERLINK("http://service.sap.com/sap/support/notes/1826828","1826828")</f>
        <v>1826828</v>
      </c>
      <c r="E2862">
        <v>1</v>
      </c>
      <c r="F2862" t="s">
        <v>3116</v>
      </c>
    </row>
    <row r="2863" spans="1:6" x14ac:dyDescent="0.25">
      <c r="A2863" t="s">
        <v>3228</v>
      </c>
      <c r="B2863" t="s">
        <v>350</v>
      </c>
      <c r="C2863" t="s">
        <v>351</v>
      </c>
      <c r="D2863" t="str">
        <f>HYPERLINK("http://service.sap.com/sap/support/notes/1833608","1833608")</f>
        <v>1833608</v>
      </c>
      <c r="E2863">
        <v>1</v>
      </c>
      <c r="F2863" t="s">
        <v>3117</v>
      </c>
    </row>
    <row r="2864" spans="1:6" x14ac:dyDescent="0.25">
      <c r="A2864" t="s">
        <v>3228</v>
      </c>
      <c r="B2864" t="s">
        <v>350</v>
      </c>
      <c r="C2864" t="s">
        <v>351</v>
      </c>
      <c r="D2864" t="str">
        <f>HYPERLINK("http://service.sap.com/sap/support/notes/1836426","1836426")</f>
        <v>1836426</v>
      </c>
      <c r="E2864">
        <v>2</v>
      </c>
      <c r="F2864" t="s">
        <v>3118</v>
      </c>
    </row>
    <row r="2865" spans="1:6" x14ac:dyDescent="0.25">
      <c r="A2865" t="s">
        <v>3228</v>
      </c>
      <c r="B2865" t="s">
        <v>356</v>
      </c>
      <c r="C2865" t="s">
        <v>55</v>
      </c>
      <c r="D2865" t="str">
        <f>HYPERLINK("http://service.sap.com/sap/support/notes/1817956","1817956")</f>
        <v>1817956</v>
      </c>
      <c r="E2865">
        <v>1</v>
      </c>
      <c r="F2865" t="s">
        <v>3119</v>
      </c>
    </row>
    <row r="2866" spans="1:6" x14ac:dyDescent="0.25">
      <c r="A2866" t="s">
        <v>3228</v>
      </c>
      <c r="B2866" t="s">
        <v>356</v>
      </c>
      <c r="C2866" t="s">
        <v>55</v>
      </c>
      <c r="D2866" t="str">
        <f>HYPERLINK("http://service.sap.com/sap/support/notes/1821254","1821254")</f>
        <v>1821254</v>
      </c>
      <c r="F2866" t="s">
        <v>3120</v>
      </c>
    </row>
    <row r="2867" spans="1:6" x14ac:dyDescent="0.25">
      <c r="A2867" t="s">
        <v>3228</v>
      </c>
      <c r="B2867" t="s">
        <v>356</v>
      </c>
      <c r="C2867" t="s">
        <v>55</v>
      </c>
      <c r="D2867" t="str">
        <f>HYPERLINK("http://service.sap.com/sap/support/notes/1822326","1822326")</f>
        <v>1822326</v>
      </c>
      <c r="E2867">
        <v>3</v>
      </c>
      <c r="F2867" t="s">
        <v>3121</v>
      </c>
    </row>
    <row r="2868" spans="1:6" x14ac:dyDescent="0.25">
      <c r="A2868" t="s">
        <v>3228</v>
      </c>
      <c r="B2868" t="s">
        <v>356</v>
      </c>
      <c r="C2868" t="s">
        <v>55</v>
      </c>
      <c r="D2868" t="str">
        <f>HYPERLINK("http://service.sap.com/sap/support/notes/1826373","1826373")</f>
        <v>1826373</v>
      </c>
      <c r="E2868">
        <v>2</v>
      </c>
      <c r="F2868" t="s">
        <v>3122</v>
      </c>
    </row>
    <row r="2869" spans="1:6" x14ac:dyDescent="0.25">
      <c r="A2869" t="s">
        <v>3228</v>
      </c>
      <c r="B2869" t="s">
        <v>356</v>
      </c>
      <c r="C2869" t="s">
        <v>55</v>
      </c>
      <c r="D2869" t="str">
        <f>HYPERLINK("http://service.sap.com/sap/support/notes/1830033","1830033")</f>
        <v>1830033</v>
      </c>
      <c r="E2869">
        <v>3</v>
      </c>
      <c r="F2869" t="s">
        <v>3123</v>
      </c>
    </row>
    <row r="2870" spans="1:6" x14ac:dyDescent="0.25">
      <c r="A2870" t="s">
        <v>3228</v>
      </c>
      <c r="B2870" t="s">
        <v>356</v>
      </c>
      <c r="C2870" t="s">
        <v>55</v>
      </c>
      <c r="D2870" t="str">
        <f>HYPERLINK("http://service.sap.com/sap/support/notes/1830036","1830036")</f>
        <v>1830036</v>
      </c>
      <c r="E2870">
        <v>3</v>
      </c>
      <c r="F2870" t="s">
        <v>3124</v>
      </c>
    </row>
    <row r="2871" spans="1:6" x14ac:dyDescent="0.25">
      <c r="A2871" t="s">
        <v>3228</v>
      </c>
      <c r="B2871" t="s">
        <v>3125</v>
      </c>
      <c r="C2871" t="s">
        <v>636</v>
      </c>
      <c r="D2871" t="str">
        <f>HYPERLINK("http://service.sap.com/sap/support/notes/1778658","1778658")</f>
        <v>1778658</v>
      </c>
      <c r="E2871">
        <v>3</v>
      </c>
      <c r="F2871" t="s">
        <v>3126</v>
      </c>
    </row>
    <row r="2872" spans="1:6" x14ac:dyDescent="0.25">
      <c r="A2872" t="s">
        <v>3228</v>
      </c>
      <c r="B2872" t="s">
        <v>362</v>
      </c>
      <c r="C2872" t="s">
        <v>363</v>
      </c>
      <c r="D2872" t="str">
        <f>HYPERLINK("http://service.sap.com/sap/support/notes/1820880","1820880")</f>
        <v>1820880</v>
      </c>
      <c r="E2872">
        <v>6</v>
      </c>
      <c r="F2872" t="s">
        <v>3127</v>
      </c>
    </row>
    <row r="2873" spans="1:6" x14ac:dyDescent="0.25">
      <c r="A2873" t="s">
        <v>3228</v>
      </c>
      <c r="B2873" t="s">
        <v>362</v>
      </c>
      <c r="C2873" t="s">
        <v>363</v>
      </c>
      <c r="D2873" t="str">
        <f>HYPERLINK("http://service.sap.com/sap/support/notes/1823545","1823545")</f>
        <v>1823545</v>
      </c>
      <c r="E2873">
        <v>1</v>
      </c>
      <c r="F2873" t="s">
        <v>3128</v>
      </c>
    </row>
    <row r="2874" spans="1:6" x14ac:dyDescent="0.25">
      <c r="A2874" t="s">
        <v>3228</v>
      </c>
      <c r="B2874" t="s">
        <v>362</v>
      </c>
      <c r="C2874" t="s">
        <v>363</v>
      </c>
      <c r="D2874" t="str">
        <f>HYPERLINK("http://service.sap.com/sap/support/notes/1828214","1828214")</f>
        <v>1828214</v>
      </c>
      <c r="E2874">
        <v>4</v>
      </c>
      <c r="F2874" t="s">
        <v>3129</v>
      </c>
    </row>
    <row r="2875" spans="1:6" x14ac:dyDescent="0.25">
      <c r="A2875" t="s">
        <v>3228</v>
      </c>
      <c r="B2875" t="s">
        <v>362</v>
      </c>
      <c r="C2875" t="s">
        <v>363</v>
      </c>
      <c r="D2875" t="str">
        <f>HYPERLINK("http://service.sap.com/sap/support/notes/1828712","1828712")</f>
        <v>1828712</v>
      </c>
      <c r="E2875">
        <v>2</v>
      </c>
      <c r="F2875" t="s">
        <v>3130</v>
      </c>
    </row>
    <row r="2876" spans="1:6" x14ac:dyDescent="0.25">
      <c r="A2876" t="s">
        <v>3228</v>
      </c>
      <c r="B2876" t="s">
        <v>362</v>
      </c>
      <c r="C2876" t="s">
        <v>363</v>
      </c>
      <c r="D2876" t="str">
        <f>HYPERLINK("http://service.sap.com/sap/support/notes/1828731","1828731")</f>
        <v>1828731</v>
      </c>
      <c r="E2876">
        <v>2</v>
      </c>
      <c r="F2876" t="s">
        <v>3131</v>
      </c>
    </row>
    <row r="2877" spans="1:6" x14ac:dyDescent="0.25">
      <c r="A2877" t="s">
        <v>3228</v>
      </c>
      <c r="B2877" t="s">
        <v>362</v>
      </c>
      <c r="C2877" t="s">
        <v>363</v>
      </c>
      <c r="D2877" t="str">
        <f>HYPERLINK("http://service.sap.com/sap/support/notes/1828732","1828732")</f>
        <v>1828732</v>
      </c>
      <c r="E2877">
        <v>2</v>
      </c>
      <c r="F2877" t="s">
        <v>3132</v>
      </c>
    </row>
    <row r="2878" spans="1:6" x14ac:dyDescent="0.25">
      <c r="A2878" t="s">
        <v>3228</v>
      </c>
      <c r="B2878" t="s">
        <v>362</v>
      </c>
      <c r="C2878" t="s">
        <v>363</v>
      </c>
      <c r="D2878" t="str">
        <f>HYPERLINK("http://service.sap.com/sap/support/notes/1829029","1829029")</f>
        <v>1829029</v>
      </c>
      <c r="E2878">
        <v>1</v>
      </c>
      <c r="F2878" t="s">
        <v>3133</v>
      </c>
    </row>
    <row r="2879" spans="1:6" x14ac:dyDescent="0.25">
      <c r="A2879" t="s">
        <v>3228</v>
      </c>
      <c r="B2879" t="s">
        <v>362</v>
      </c>
      <c r="C2879" t="s">
        <v>363</v>
      </c>
      <c r="D2879" t="str">
        <f>HYPERLINK("http://service.sap.com/sap/support/notes/1829627","1829627")</f>
        <v>1829627</v>
      </c>
      <c r="E2879">
        <v>4</v>
      </c>
      <c r="F2879" t="s">
        <v>3134</v>
      </c>
    </row>
    <row r="2880" spans="1:6" x14ac:dyDescent="0.25">
      <c r="A2880" t="s">
        <v>3228</v>
      </c>
      <c r="B2880" t="s">
        <v>362</v>
      </c>
      <c r="C2880" t="s">
        <v>363</v>
      </c>
      <c r="D2880" t="str">
        <f>HYPERLINK("http://service.sap.com/sap/support/notes/1830242","1830242")</f>
        <v>1830242</v>
      </c>
      <c r="E2880">
        <v>2</v>
      </c>
      <c r="F2880" t="s">
        <v>3135</v>
      </c>
    </row>
    <row r="2881" spans="1:6" x14ac:dyDescent="0.25">
      <c r="A2881" t="s">
        <v>3228</v>
      </c>
      <c r="B2881" t="s">
        <v>362</v>
      </c>
      <c r="C2881" t="s">
        <v>363</v>
      </c>
      <c r="D2881" t="str">
        <f>HYPERLINK("http://service.sap.com/sap/support/notes/1830690","1830690")</f>
        <v>1830690</v>
      </c>
      <c r="E2881">
        <v>2</v>
      </c>
      <c r="F2881" t="s">
        <v>3136</v>
      </c>
    </row>
    <row r="2882" spans="1:6" x14ac:dyDescent="0.25">
      <c r="A2882" t="s">
        <v>3228</v>
      </c>
      <c r="B2882" t="s">
        <v>362</v>
      </c>
      <c r="C2882" t="s">
        <v>363</v>
      </c>
      <c r="D2882" t="str">
        <f>HYPERLINK("http://service.sap.com/sap/support/notes/1833214","1833214")</f>
        <v>1833214</v>
      </c>
      <c r="E2882">
        <v>2</v>
      </c>
      <c r="F2882" t="s">
        <v>3137</v>
      </c>
    </row>
    <row r="2883" spans="1:6" x14ac:dyDescent="0.25">
      <c r="A2883" t="s">
        <v>3228</v>
      </c>
      <c r="B2883" t="s">
        <v>362</v>
      </c>
      <c r="C2883" t="s">
        <v>363</v>
      </c>
      <c r="D2883" t="str">
        <f>HYPERLINK("http://service.sap.com/sap/support/notes/1834494","1834494")</f>
        <v>1834494</v>
      </c>
      <c r="E2883">
        <v>2</v>
      </c>
      <c r="F2883" t="s">
        <v>3138</v>
      </c>
    </row>
    <row r="2884" spans="1:6" x14ac:dyDescent="0.25">
      <c r="A2884" t="s">
        <v>3228</v>
      </c>
      <c r="B2884" t="s">
        <v>362</v>
      </c>
      <c r="C2884" t="s">
        <v>363</v>
      </c>
      <c r="D2884" t="str">
        <f>HYPERLINK("http://service.sap.com/sap/support/notes/1834902","1834902")</f>
        <v>1834902</v>
      </c>
      <c r="E2884">
        <v>1</v>
      </c>
      <c r="F2884" t="s">
        <v>3139</v>
      </c>
    </row>
    <row r="2885" spans="1:6" x14ac:dyDescent="0.25">
      <c r="A2885" t="s">
        <v>3228</v>
      </c>
      <c r="B2885" t="s">
        <v>362</v>
      </c>
      <c r="C2885" t="s">
        <v>363</v>
      </c>
      <c r="D2885" t="str">
        <f>HYPERLINK("http://service.sap.com/sap/support/notes/1835870","1835870")</f>
        <v>1835870</v>
      </c>
      <c r="E2885">
        <v>2</v>
      </c>
      <c r="F2885" t="s">
        <v>3140</v>
      </c>
    </row>
    <row r="2886" spans="1:6" x14ac:dyDescent="0.25">
      <c r="A2886" t="s">
        <v>3228</v>
      </c>
      <c r="B2886" t="s">
        <v>362</v>
      </c>
      <c r="C2886" t="s">
        <v>363</v>
      </c>
      <c r="D2886" t="str">
        <f>HYPERLINK("http://service.sap.com/sap/support/notes/1836475","1836475")</f>
        <v>1836475</v>
      </c>
      <c r="E2886">
        <v>1</v>
      </c>
      <c r="F2886" t="s">
        <v>3141</v>
      </c>
    </row>
    <row r="2887" spans="1:6" x14ac:dyDescent="0.25">
      <c r="A2887" t="s">
        <v>3228</v>
      </c>
      <c r="B2887" t="s">
        <v>379</v>
      </c>
      <c r="C2887" t="s">
        <v>380</v>
      </c>
      <c r="D2887" t="str">
        <f>HYPERLINK("http://service.sap.com/sap/support/notes/1834002","1834002")</f>
        <v>1834002</v>
      </c>
      <c r="E2887">
        <v>2</v>
      </c>
      <c r="F2887" t="s">
        <v>3142</v>
      </c>
    </row>
    <row r="2888" spans="1:6" x14ac:dyDescent="0.25">
      <c r="A2888" t="s">
        <v>3228</v>
      </c>
      <c r="B2888" t="s">
        <v>379</v>
      </c>
      <c r="C2888" t="s">
        <v>380</v>
      </c>
      <c r="D2888" t="str">
        <f>HYPERLINK("http://service.sap.com/sap/support/notes/1836642","1836642")</f>
        <v>1836642</v>
      </c>
      <c r="E2888">
        <v>2</v>
      </c>
      <c r="F2888" t="s">
        <v>3143</v>
      </c>
    </row>
    <row r="2889" spans="1:6" x14ac:dyDescent="0.25">
      <c r="A2889" t="s">
        <v>3228</v>
      </c>
      <c r="B2889" t="s">
        <v>384</v>
      </c>
      <c r="C2889" t="s">
        <v>385</v>
      </c>
      <c r="D2889" t="str">
        <f>HYPERLINK("http://service.sap.com/sap/support/notes/1724017","1724017")</f>
        <v>1724017</v>
      </c>
      <c r="E2889">
        <v>1</v>
      </c>
      <c r="F2889" t="s">
        <v>387</v>
      </c>
    </row>
    <row r="2890" spans="1:6" x14ac:dyDescent="0.25">
      <c r="A2890" t="s">
        <v>3228</v>
      </c>
      <c r="B2890" t="s">
        <v>395</v>
      </c>
      <c r="C2890" t="s">
        <v>396</v>
      </c>
      <c r="D2890" t="str">
        <f>HYPERLINK("http://service.sap.com/sap/support/notes/1829443","1829443")</f>
        <v>1829443</v>
      </c>
      <c r="E2890">
        <v>1</v>
      </c>
      <c r="F2890" t="s">
        <v>3144</v>
      </c>
    </row>
    <row r="2891" spans="1:6" x14ac:dyDescent="0.25">
      <c r="A2891" t="s">
        <v>3228</v>
      </c>
      <c r="B2891" t="s">
        <v>395</v>
      </c>
      <c r="C2891" t="s">
        <v>396</v>
      </c>
      <c r="D2891" t="str">
        <f>HYPERLINK("http://service.sap.com/sap/support/notes/1832002","1832002")</f>
        <v>1832002</v>
      </c>
      <c r="E2891">
        <v>1</v>
      </c>
      <c r="F2891" t="s">
        <v>3145</v>
      </c>
    </row>
    <row r="2892" spans="1:6" x14ac:dyDescent="0.25">
      <c r="A2892" t="s">
        <v>3228</v>
      </c>
      <c r="B2892" t="s">
        <v>395</v>
      </c>
      <c r="C2892" t="s">
        <v>396</v>
      </c>
      <c r="D2892" t="str">
        <f>HYPERLINK("http://service.sap.com/sap/support/notes/1833073","1833073")</f>
        <v>1833073</v>
      </c>
      <c r="E2892">
        <v>1</v>
      </c>
      <c r="F2892" t="s">
        <v>3146</v>
      </c>
    </row>
    <row r="2893" spans="1:6" x14ac:dyDescent="0.25">
      <c r="A2893" t="s">
        <v>3228</v>
      </c>
      <c r="B2893" t="s">
        <v>395</v>
      </c>
      <c r="C2893" t="s">
        <v>396</v>
      </c>
      <c r="D2893" t="str">
        <f>HYPERLINK("http://service.sap.com/sap/support/notes/1833646","1833646")</f>
        <v>1833646</v>
      </c>
      <c r="E2893">
        <v>1</v>
      </c>
      <c r="F2893" t="s">
        <v>3147</v>
      </c>
    </row>
    <row r="2894" spans="1:6" x14ac:dyDescent="0.25">
      <c r="A2894" t="s">
        <v>3228</v>
      </c>
      <c r="B2894" t="s">
        <v>395</v>
      </c>
      <c r="C2894" t="s">
        <v>396</v>
      </c>
      <c r="D2894" t="str">
        <f>HYPERLINK("http://service.sap.com/sap/support/notes/1833727","1833727")</f>
        <v>1833727</v>
      </c>
      <c r="E2894">
        <v>1</v>
      </c>
      <c r="F2894" t="s">
        <v>3148</v>
      </c>
    </row>
    <row r="2895" spans="1:6" x14ac:dyDescent="0.25">
      <c r="A2895" t="s">
        <v>3228</v>
      </c>
      <c r="B2895" t="s">
        <v>406</v>
      </c>
      <c r="C2895" t="s">
        <v>407</v>
      </c>
      <c r="D2895" t="str">
        <f>HYPERLINK("http://service.sap.com/sap/support/notes/1789196","1789196")</f>
        <v>1789196</v>
      </c>
      <c r="E2895">
        <v>6</v>
      </c>
      <c r="F2895" t="s">
        <v>3149</v>
      </c>
    </row>
    <row r="2896" spans="1:6" x14ac:dyDescent="0.25">
      <c r="A2896" t="s">
        <v>3228</v>
      </c>
      <c r="B2896" t="s">
        <v>406</v>
      </c>
      <c r="C2896" t="s">
        <v>407</v>
      </c>
      <c r="D2896" t="str">
        <f>HYPERLINK("http://service.sap.com/sap/support/notes/1821036","1821036")</f>
        <v>1821036</v>
      </c>
      <c r="E2896">
        <v>8</v>
      </c>
      <c r="F2896" t="s">
        <v>3150</v>
      </c>
    </row>
    <row r="2897" spans="1:6" x14ac:dyDescent="0.25">
      <c r="A2897" t="s">
        <v>3228</v>
      </c>
      <c r="B2897" t="s">
        <v>406</v>
      </c>
      <c r="C2897" t="s">
        <v>407</v>
      </c>
      <c r="D2897" t="str">
        <f>HYPERLINK("http://service.sap.com/sap/support/notes/1824312","1824312")</f>
        <v>1824312</v>
      </c>
      <c r="E2897">
        <v>9</v>
      </c>
      <c r="F2897" t="s">
        <v>3151</v>
      </c>
    </row>
    <row r="2898" spans="1:6" x14ac:dyDescent="0.25">
      <c r="A2898" t="s">
        <v>3228</v>
      </c>
      <c r="B2898" t="s">
        <v>406</v>
      </c>
      <c r="C2898" t="s">
        <v>407</v>
      </c>
      <c r="D2898" t="str">
        <f>HYPERLINK("http://service.sap.com/sap/support/notes/1827125","1827125")</f>
        <v>1827125</v>
      </c>
      <c r="E2898">
        <v>11</v>
      </c>
      <c r="F2898" t="s">
        <v>3152</v>
      </c>
    </row>
    <row r="2899" spans="1:6" x14ac:dyDescent="0.25">
      <c r="A2899" t="s">
        <v>3228</v>
      </c>
      <c r="B2899" t="s">
        <v>406</v>
      </c>
      <c r="C2899" t="s">
        <v>407</v>
      </c>
      <c r="D2899" t="str">
        <f>HYPERLINK("http://service.sap.com/sap/support/notes/1828460","1828460")</f>
        <v>1828460</v>
      </c>
      <c r="E2899">
        <v>2</v>
      </c>
      <c r="F2899" t="s">
        <v>3153</v>
      </c>
    </row>
    <row r="2900" spans="1:6" x14ac:dyDescent="0.25">
      <c r="A2900" t="s">
        <v>3228</v>
      </c>
      <c r="B2900" t="s">
        <v>406</v>
      </c>
      <c r="C2900" t="s">
        <v>407</v>
      </c>
      <c r="D2900" t="str">
        <f>HYPERLINK("http://service.sap.com/sap/support/notes/1828515","1828515")</f>
        <v>1828515</v>
      </c>
      <c r="E2900">
        <v>11</v>
      </c>
      <c r="F2900" t="s">
        <v>3154</v>
      </c>
    </row>
    <row r="2901" spans="1:6" x14ac:dyDescent="0.25">
      <c r="A2901" t="s">
        <v>3228</v>
      </c>
      <c r="B2901" t="s">
        <v>423</v>
      </c>
      <c r="C2901" t="s">
        <v>424</v>
      </c>
      <c r="D2901" t="str">
        <f>HYPERLINK("http://service.sap.com/sap/support/notes/1819486","1819486")</f>
        <v>1819486</v>
      </c>
      <c r="E2901">
        <v>3</v>
      </c>
      <c r="F2901" t="s">
        <v>3155</v>
      </c>
    </row>
    <row r="2902" spans="1:6" x14ac:dyDescent="0.25">
      <c r="A2902" t="s">
        <v>3228</v>
      </c>
      <c r="B2902" t="s">
        <v>423</v>
      </c>
      <c r="C2902" t="s">
        <v>424</v>
      </c>
      <c r="D2902" t="str">
        <f>HYPERLINK("http://service.sap.com/sap/support/notes/1824975","1824975")</f>
        <v>1824975</v>
      </c>
      <c r="E2902">
        <v>1</v>
      </c>
      <c r="F2902" t="s">
        <v>3156</v>
      </c>
    </row>
    <row r="2903" spans="1:6" x14ac:dyDescent="0.25">
      <c r="A2903" t="s">
        <v>3228</v>
      </c>
      <c r="B2903" t="s">
        <v>423</v>
      </c>
      <c r="C2903" t="s">
        <v>424</v>
      </c>
      <c r="D2903" t="str">
        <f>HYPERLINK("http://service.sap.com/sap/support/notes/1826401","1826401")</f>
        <v>1826401</v>
      </c>
      <c r="E2903">
        <v>3</v>
      </c>
      <c r="F2903" t="s">
        <v>3157</v>
      </c>
    </row>
    <row r="2904" spans="1:6" x14ac:dyDescent="0.25">
      <c r="A2904" t="s">
        <v>3228</v>
      </c>
      <c r="B2904" t="s">
        <v>423</v>
      </c>
      <c r="C2904" t="s">
        <v>424</v>
      </c>
      <c r="D2904" t="str">
        <f>HYPERLINK("http://service.sap.com/sap/support/notes/1827800","1827800")</f>
        <v>1827800</v>
      </c>
      <c r="E2904">
        <v>1</v>
      </c>
      <c r="F2904" t="s">
        <v>3158</v>
      </c>
    </row>
    <row r="2905" spans="1:6" x14ac:dyDescent="0.25">
      <c r="A2905" t="s">
        <v>3228</v>
      </c>
      <c r="B2905" t="s">
        <v>423</v>
      </c>
      <c r="C2905" t="s">
        <v>424</v>
      </c>
      <c r="D2905" t="str">
        <f>HYPERLINK("http://service.sap.com/sap/support/notes/1828620","1828620")</f>
        <v>1828620</v>
      </c>
      <c r="E2905">
        <v>2</v>
      </c>
      <c r="F2905" t="s">
        <v>3159</v>
      </c>
    </row>
    <row r="2906" spans="1:6" x14ac:dyDescent="0.25">
      <c r="A2906" t="s">
        <v>3228</v>
      </c>
      <c r="B2906" t="s">
        <v>423</v>
      </c>
      <c r="C2906" t="s">
        <v>424</v>
      </c>
      <c r="D2906" t="str">
        <f>HYPERLINK("http://service.sap.com/sap/support/notes/1829463","1829463")</f>
        <v>1829463</v>
      </c>
      <c r="E2906">
        <v>2</v>
      </c>
      <c r="F2906" t="s">
        <v>3160</v>
      </c>
    </row>
    <row r="2907" spans="1:6" x14ac:dyDescent="0.25">
      <c r="A2907" t="s">
        <v>3228</v>
      </c>
      <c r="B2907" t="s">
        <v>423</v>
      </c>
      <c r="C2907" t="s">
        <v>424</v>
      </c>
      <c r="D2907" t="str">
        <f>HYPERLINK("http://service.sap.com/sap/support/notes/1829561","1829561")</f>
        <v>1829561</v>
      </c>
      <c r="E2907">
        <v>5</v>
      </c>
      <c r="F2907" t="s">
        <v>3161</v>
      </c>
    </row>
    <row r="2908" spans="1:6" x14ac:dyDescent="0.25">
      <c r="A2908" t="s">
        <v>3228</v>
      </c>
      <c r="B2908" t="s">
        <v>423</v>
      </c>
      <c r="C2908" t="s">
        <v>424</v>
      </c>
      <c r="D2908" t="str">
        <f>HYPERLINK("http://service.sap.com/sap/support/notes/1829564","1829564")</f>
        <v>1829564</v>
      </c>
      <c r="E2908">
        <v>2</v>
      </c>
      <c r="F2908" t="s">
        <v>3162</v>
      </c>
    </row>
    <row r="2909" spans="1:6" x14ac:dyDescent="0.25">
      <c r="A2909" t="s">
        <v>3228</v>
      </c>
      <c r="B2909" t="s">
        <v>423</v>
      </c>
      <c r="C2909" t="s">
        <v>424</v>
      </c>
      <c r="D2909" t="str">
        <f>HYPERLINK("http://service.sap.com/sap/support/notes/1830512","1830512")</f>
        <v>1830512</v>
      </c>
      <c r="E2909">
        <v>8</v>
      </c>
      <c r="F2909" t="s">
        <v>3163</v>
      </c>
    </row>
    <row r="2910" spans="1:6" x14ac:dyDescent="0.25">
      <c r="A2910" t="s">
        <v>3228</v>
      </c>
      <c r="B2910" t="s">
        <v>423</v>
      </c>
      <c r="C2910" t="s">
        <v>424</v>
      </c>
      <c r="D2910" t="str">
        <f>HYPERLINK("http://service.sap.com/sap/support/notes/1830748","1830748")</f>
        <v>1830748</v>
      </c>
      <c r="E2910">
        <v>1</v>
      </c>
      <c r="F2910" t="s">
        <v>3164</v>
      </c>
    </row>
    <row r="2911" spans="1:6" x14ac:dyDescent="0.25">
      <c r="A2911" t="s">
        <v>3228</v>
      </c>
      <c r="B2911" t="s">
        <v>423</v>
      </c>
      <c r="C2911" t="s">
        <v>424</v>
      </c>
      <c r="D2911" t="str">
        <f>HYPERLINK("http://service.sap.com/sap/support/notes/1830982","1830982")</f>
        <v>1830982</v>
      </c>
      <c r="E2911">
        <v>2</v>
      </c>
      <c r="F2911" t="s">
        <v>3165</v>
      </c>
    </row>
    <row r="2912" spans="1:6" x14ac:dyDescent="0.25">
      <c r="A2912" t="s">
        <v>3228</v>
      </c>
      <c r="B2912" t="s">
        <v>423</v>
      </c>
      <c r="C2912" t="s">
        <v>424</v>
      </c>
      <c r="D2912" t="str">
        <f>HYPERLINK("http://service.sap.com/sap/support/notes/1831708","1831708")</f>
        <v>1831708</v>
      </c>
      <c r="E2912">
        <v>1</v>
      </c>
      <c r="F2912" t="s">
        <v>3166</v>
      </c>
    </row>
    <row r="2913" spans="1:6" x14ac:dyDescent="0.25">
      <c r="A2913" t="s">
        <v>3228</v>
      </c>
      <c r="B2913" t="s">
        <v>423</v>
      </c>
      <c r="C2913" t="s">
        <v>424</v>
      </c>
      <c r="D2913" t="str">
        <f>HYPERLINK("http://service.sap.com/sap/support/notes/1834970","1834970")</f>
        <v>1834970</v>
      </c>
      <c r="E2913">
        <v>2</v>
      </c>
      <c r="F2913" t="s">
        <v>3167</v>
      </c>
    </row>
    <row r="2914" spans="1:6" x14ac:dyDescent="0.25">
      <c r="A2914" t="s">
        <v>3228</v>
      </c>
      <c r="B2914" t="s">
        <v>430</v>
      </c>
      <c r="C2914" t="s">
        <v>431</v>
      </c>
      <c r="D2914" t="str">
        <f>HYPERLINK("http://service.sap.com/sap/support/notes/1811117","1811117")</f>
        <v>1811117</v>
      </c>
      <c r="E2914">
        <v>2</v>
      </c>
      <c r="F2914" t="s">
        <v>3168</v>
      </c>
    </row>
    <row r="2915" spans="1:6" x14ac:dyDescent="0.25">
      <c r="A2915" t="s">
        <v>3228</v>
      </c>
      <c r="B2915" t="s">
        <v>430</v>
      </c>
      <c r="C2915" t="s">
        <v>431</v>
      </c>
      <c r="D2915" t="str">
        <f>HYPERLINK("http://service.sap.com/sap/support/notes/1814476","1814476")</f>
        <v>1814476</v>
      </c>
      <c r="E2915">
        <v>2</v>
      </c>
      <c r="F2915" t="s">
        <v>3169</v>
      </c>
    </row>
    <row r="2916" spans="1:6" x14ac:dyDescent="0.25">
      <c r="A2916" t="s">
        <v>3228</v>
      </c>
      <c r="B2916" t="s">
        <v>430</v>
      </c>
      <c r="C2916" t="s">
        <v>431</v>
      </c>
      <c r="D2916" t="str">
        <f>HYPERLINK("http://service.sap.com/sap/support/notes/1831341","1831341")</f>
        <v>1831341</v>
      </c>
      <c r="E2916">
        <v>1</v>
      </c>
      <c r="F2916" t="s">
        <v>3170</v>
      </c>
    </row>
    <row r="2917" spans="1:6" x14ac:dyDescent="0.25">
      <c r="A2917" t="s">
        <v>3228</v>
      </c>
      <c r="B2917" t="s">
        <v>437</v>
      </c>
      <c r="C2917" t="s">
        <v>438</v>
      </c>
      <c r="D2917" t="str">
        <f>HYPERLINK("http://service.sap.com/sap/support/notes/1798384","1798384")</f>
        <v>1798384</v>
      </c>
      <c r="E2917">
        <v>4</v>
      </c>
      <c r="F2917" t="s">
        <v>3171</v>
      </c>
    </row>
    <row r="2918" spans="1:6" x14ac:dyDescent="0.25">
      <c r="A2918" t="s">
        <v>3228</v>
      </c>
      <c r="B2918" t="s">
        <v>437</v>
      </c>
      <c r="C2918" t="s">
        <v>438</v>
      </c>
      <c r="D2918" t="str">
        <f>HYPERLINK("http://service.sap.com/sap/support/notes/1812006","1812006")</f>
        <v>1812006</v>
      </c>
      <c r="E2918">
        <v>5</v>
      </c>
      <c r="F2918" t="s">
        <v>3172</v>
      </c>
    </row>
    <row r="2919" spans="1:6" x14ac:dyDescent="0.25">
      <c r="A2919" t="s">
        <v>3228</v>
      </c>
      <c r="B2919" t="s">
        <v>437</v>
      </c>
      <c r="C2919" t="s">
        <v>438</v>
      </c>
      <c r="D2919" t="str">
        <f>HYPERLINK("http://service.sap.com/sap/support/notes/1815630","1815630")</f>
        <v>1815630</v>
      </c>
      <c r="E2919">
        <v>2</v>
      </c>
      <c r="F2919" t="s">
        <v>3173</v>
      </c>
    </row>
    <row r="2920" spans="1:6" x14ac:dyDescent="0.25">
      <c r="A2920" t="s">
        <v>3228</v>
      </c>
      <c r="B2920" t="s">
        <v>437</v>
      </c>
      <c r="C2920" t="s">
        <v>438</v>
      </c>
      <c r="D2920" t="str">
        <f>HYPERLINK("http://service.sap.com/sap/support/notes/1820062","1820062")</f>
        <v>1820062</v>
      </c>
      <c r="E2920">
        <v>2</v>
      </c>
      <c r="F2920" t="s">
        <v>3174</v>
      </c>
    </row>
    <row r="2921" spans="1:6" x14ac:dyDescent="0.25">
      <c r="A2921" t="s">
        <v>3228</v>
      </c>
      <c r="B2921" t="s">
        <v>437</v>
      </c>
      <c r="C2921" t="s">
        <v>438</v>
      </c>
      <c r="D2921" t="str">
        <f>HYPERLINK("http://service.sap.com/sap/support/notes/1825146","1825146")</f>
        <v>1825146</v>
      </c>
      <c r="E2921">
        <v>1</v>
      </c>
      <c r="F2921" t="s">
        <v>3175</v>
      </c>
    </row>
    <row r="2922" spans="1:6" x14ac:dyDescent="0.25">
      <c r="A2922" t="s">
        <v>3228</v>
      </c>
      <c r="B2922" t="s">
        <v>437</v>
      </c>
      <c r="C2922" t="s">
        <v>438</v>
      </c>
      <c r="D2922" t="str">
        <f>HYPERLINK("http://service.sap.com/sap/support/notes/1825150","1825150")</f>
        <v>1825150</v>
      </c>
      <c r="E2922">
        <v>2</v>
      </c>
      <c r="F2922" t="s">
        <v>3176</v>
      </c>
    </row>
    <row r="2923" spans="1:6" x14ac:dyDescent="0.25">
      <c r="A2923" t="s">
        <v>3228</v>
      </c>
      <c r="B2923" t="s">
        <v>437</v>
      </c>
      <c r="C2923" t="s">
        <v>438</v>
      </c>
      <c r="D2923" t="str">
        <f>HYPERLINK("http://service.sap.com/sap/support/notes/1834110","1834110")</f>
        <v>1834110</v>
      </c>
      <c r="E2923">
        <v>1</v>
      </c>
      <c r="F2923" t="s">
        <v>3177</v>
      </c>
    </row>
    <row r="2924" spans="1:6" x14ac:dyDescent="0.25">
      <c r="A2924" t="s">
        <v>3228</v>
      </c>
      <c r="B2924" t="s">
        <v>437</v>
      </c>
      <c r="C2924" t="s">
        <v>438</v>
      </c>
      <c r="D2924" t="str">
        <f>HYPERLINK("http://service.sap.com/sap/support/notes/1836920","1836920")</f>
        <v>1836920</v>
      </c>
      <c r="E2924">
        <v>1</v>
      </c>
      <c r="F2924" t="s">
        <v>3178</v>
      </c>
    </row>
    <row r="2925" spans="1:6" x14ac:dyDescent="0.25">
      <c r="A2925" t="s">
        <v>3228</v>
      </c>
      <c r="B2925" t="s">
        <v>440</v>
      </c>
      <c r="C2925" t="s">
        <v>128</v>
      </c>
      <c r="D2925" t="str">
        <f>HYPERLINK("http://service.sap.com/sap/support/notes/1804434","1804434")</f>
        <v>1804434</v>
      </c>
      <c r="E2925">
        <v>5</v>
      </c>
      <c r="F2925" t="s">
        <v>3179</v>
      </c>
    </row>
    <row r="2926" spans="1:6" x14ac:dyDescent="0.25">
      <c r="A2926" t="s">
        <v>3228</v>
      </c>
      <c r="B2926" t="s">
        <v>443</v>
      </c>
      <c r="C2926" t="s">
        <v>444</v>
      </c>
      <c r="D2926" t="str">
        <f>HYPERLINK("http://service.sap.com/sap/support/notes/1804630","1804630")</f>
        <v>1804630</v>
      </c>
      <c r="E2926">
        <v>1</v>
      </c>
      <c r="F2926" t="s">
        <v>2349</v>
      </c>
    </row>
    <row r="2927" spans="1:6" x14ac:dyDescent="0.25">
      <c r="A2927" t="s">
        <v>3228</v>
      </c>
      <c r="B2927" t="s">
        <v>443</v>
      </c>
      <c r="C2927" t="s">
        <v>444</v>
      </c>
      <c r="D2927" t="str">
        <f>HYPERLINK("http://service.sap.com/sap/support/notes/1819112","1819112")</f>
        <v>1819112</v>
      </c>
      <c r="E2927">
        <v>3</v>
      </c>
      <c r="F2927" t="s">
        <v>3180</v>
      </c>
    </row>
    <row r="2928" spans="1:6" x14ac:dyDescent="0.25">
      <c r="A2928" t="s">
        <v>3228</v>
      </c>
      <c r="B2928" t="s">
        <v>443</v>
      </c>
      <c r="C2928" t="s">
        <v>444</v>
      </c>
      <c r="D2928" t="str">
        <f>HYPERLINK("http://service.sap.com/sap/support/notes/1823849","1823849")</f>
        <v>1823849</v>
      </c>
      <c r="E2928">
        <v>1</v>
      </c>
      <c r="F2928" t="s">
        <v>3181</v>
      </c>
    </row>
    <row r="2929" spans="1:6" x14ac:dyDescent="0.25">
      <c r="A2929" t="s">
        <v>3228</v>
      </c>
      <c r="B2929" t="s">
        <v>450</v>
      </c>
      <c r="C2929" t="s">
        <v>451</v>
      </c>
      <c r="D2929" t="str">
        <f>HYPERLINK("http://service.sap.com/sap/support/notes/1816680","1816680")</f>
        <v>1816680</v>
      </c>
      <c r="E2929">
        <v>3</v>
      </c>
      <c r="F2929" t="s">
        <v>3182</v>
      </c>
    </row>
    <row r="2930" spans="1:6" x14ac:dyDescent="0.25">
      <c r="A2930" t="s">
        <v>3228</v>
      </c>
      <c r="B2930" t="s">
        <v>450</v>
      </c>
      <c r="C2930" t="s">
        <v>451</v>
      </c>
      <c r="D2930" t="str">
        <f>HYPERLINK("http://service.sap.com/sap/support/notes/1825601","1825601")</f>
        <v>1825601</v>
      </c>
      <c r="E2930">
        <v>1</v>
      </c>
      <c r="F2930" t="s">
        <v>3183</v>
      </c>
    </row>
    <row r="2931" spans="1:6" x14ac:dyDescent="0.25">
      <c r="A2931" t="s">
        <v>3228</v>
      </c>
      <c r="B2931" t="s">
        <v>450</v>
      </c>
      <c r="C2931" t="s">
        <v>451</v>
      </c>
      <c r="D2931" t="str">
        <f>HYPERLINK("http://service.sap.com/sap/support/notes/1826328","1826328")</f>
        <v>1826328</v>
      </c>
      <c r="E2931">
        <v>2</v>
      </c>
      <c r="F2931" t="s">
        <v>3184</v>
      </c>
    </row>
    <row r="2932" spans="1:6" x14ac:dyDescent="0.25">
      <c r="A2932" t="s">
        <v>3228</v>
      </c>
      <c r="B2932" t="s">
        <v>450</v>
      </c>
      <c r="C2932" t="s">
        <v>451</v>
      </c>
      <c r="D2932" t="str">
        <f>HYPERLINK("http://service.sap.com/sap/support/notes/1826873","1826873")</f>
        <v>1826873</v>
      </c>
      <c r="E2932">
        <v>1</v>
      </c>
      <c r="F2932" t="s">
        <v>3185</v>
      </c>
    </row>
    <row r="2933" spans="1:6" x14ac:dyDescent="0.25">
      <c r="A2933" t="s">
        <v>3228</v>
      </c>
      <c r="B2933" t="s">
        <v>450</v>
      </c>
      <c r="C2933" t="s">
        <v>451</v>
      </c>
      <c r="D2933" t="str">
        <f>HYPERLINK("http://service.sap.com/sap/support/notes/1826874","1826874")</f>
        <v>1826874</v>
      </c>
      <c r="E2933">
        <v>3</v>
      </c>
      <c r="F2933" t="s">
        <v>3186</v>
      </c>
    </row>
    <row r="2934" spans="1:6" x14ac:dyDescent="0.25">
      <c r="A2934" t="s">
        <v>3228</v>
      </c>
      <c r="B2934" t="s">
        <v>450</v>
      </c>
      <c r="C2934" t="s">
        <v>451</v>
      </c>
      <c r="D2934" t="str">
        <f>HYPERLINK("http://service.sap.com/sap/support/notes/1827304","1827304")</f>
        <v>1827304</v>
      </c>
      <c r="E2934">
        <v>1</v>
      </c>
      <c r="F2934" t="s">
        <v>3187</v>
      </c>
    </row>
    <row r="2935" spans="1:6" x14ac:dyDescent="0.25">
      <c r="A2935" t="s">
        <v>3228</v>
      </c>
      <c r="B2935" t="s">
        <v>450</v>
      </c>
      <c r="C2935" t="s">
        <v>451</v>
      </c>
      <c r="D2935" t="str">
        <f>HYPERLINK("http://service.sap.com/sap/support/notes/1828059","1828059")</f>
        <v>1828059</v>
      </c>
      <c r="E2935">
        <v>1</v>
      </c>
      <c r="F2935" t="s">
        <v>3188</v>
      </c>
    </row>
    <row r="2936" spans="1:6" x14ac:dyDescent="0.25">
      <c r="A2936" t="s">
        <v>3228</v>
      </c>
      <c r="B2936" t="s">
        <v>450</v>
      </c>
      <c r="C2936" t="s">
        <v>451</v>
      </c>
      <c r="D2936" t="str">
        <f>HYPERLINK("http://service.sap.com/sap/support/notes/1829362","1829362")</f>
        <v>1829362</v>
      </c>
      <c r="E2936">
        <v>1</v>
      </c>
      <c r="F2936" t="s">
        <v>3189</v>
      </c>
    </row>
    <row r="2937" spans="1:6" x14ac:dyDescent="0.25">
      <c r="A2937" t="s">
        <v>3228</v>
      </c>
      <c r="B2937" t="s">
        <v>450</v>
      </c>
      <c r="C2937" t="s">
        <v>451</v>
      </c>
      <c r="D2937" t="str">
        <f>HYPERLINK("http://service.sap.com/sap/support/notes/1830134","1830134")</f>
        <v>1830134</v>
      </c>
      <c r="E2937">
        <v>1</v>
      </c>
      <c r="F2937" t="s">
        <v>3190</v>
      </c>
    </row>
    <row r="2938" spans="1:6" x14ac:dyDescent="0.25">
      <c r="A2938" t="s">
        <v>3228</v>
      </c>
      <c r="B2938" t="s">
        <v>450</v>
      </c>
      <c r="C2938" t="s">
        <v>451</v>
      </c>
      <c r="D2938" t="str">
        <f>HYPERLINK("http://service.sap.com/sap/support/notes/1830644","1830644")</f>
        <v>1830644</v>
      </c>
      <c r="E2938">
        <v>1</v>
      </c>
      <c r="F2938" t="s">
        <v>3191</v>
      </c>
    </row>
    <row r="2939" spans="1:6" x14ac:dyDescent="0.25">
      <c r="A2939" t="s">
        <v>3228</v>
      </c>
      <c r="B2939" t="s">
        <v>450</v>
      </c>
      <c r="C2939" t="s">
        <v>451</v>
      </c>
      <c r="D2939" t="str">
        <f>HYPERLINK("http://service.sap.com/sap/support/notes/1831314","1831314")</f>
        <v>1831314</v>
      </c>
      <c r="E2939">
        <v>1</v>
      </c>
      <c r="F2939" t="s">
        <v>3192</v>
      </c>
    </row>
    <row r="2940" spans="1:6" x14ac:dyDescent="0.25">
      <c r="A2940" t="s">
        <v>3228</v>
      </c>
      <c r="B2940" t="s">
        <v>450</v>
      </c>
      <c r="C2940" t="s">
        <v>451</v>
      </c>
      <c r="D2940" t="str">
        <f>HYPERLINK("http://service.sap.com/sap/support/notes/1833133","1833133")</f>
        <v>1833133</v>
      </c>
      <c r="E2940">
        <v>2</v>
      </c>
      <c r="F2940" t="s">
        <v>3193</v>
      </c>
    </row>
    <row r="2941" spans="1:6" x14ac:dyDescent="0.25">
      <c r="A2941" t="s">
        <v>3228</v>
      </c>
      <c r="B2941" t="s">
        <v>450</v>
      </c>
      <c r="C2941" t="s">
        <v>451</v>
      </c>
      <c r="D2941" t="str">
        <f>HYPERLINK("http://service.sap.com/sap/support/notes/1833166","1833166")</f>
        <v>1833166</v>
      </c>
      <c r="E2941">
        <v>1</v>
      </c>
      <c r="F2941" t="s">
        <v>3194</v>
      </c>
    </row>
    <row r="2942" spans="1:6" x14ac:dyDescent="0.25">
      <c r="A2942" t="s">
        <v>3228</v>
      </c>
      <c r="B2942" t="s">
        <v>450</v>
      </c>
      <c r="C2942" t="s">
        <v>451</v>
      </c>
      <c r="D2942" t="str">
        <f>HYPERLINK("http://service.sap.com/sap/support/notes/1834673","1834673")</f>
        <v>1834673</v>
      </c>
      <c r="E2942">
        <v>1</v>
      </c>
      <c r="F2942" t="s">
        <v>3195</v>
      </c>
    </row>
    <row r="2943" spans="1:6" x14ac:dyDescent="0.25">
      <c r="A2943" t="s">
        <v>3228</v>
      </c>
      <c r="B2943" t="s">
        <v>450</v>
      </c>
      <c r="C2943" t="s">
        <v>451</v>
      </c>
      <c r="D2943" t="str">
        <f>HYPERLINK("http://service.sap.com/sap/support/notes/1835256","1835256")</f>
        <v>1835256</v>
      </c>
      <c r="E2943">
        <v>1</v>
      </c>
      <c r="F2943" t="s">
        <v>3196</v>
      </c>
    </row>
    <row r="2944" spans="1:6" x14ac:dyDescent="0.25">
      <c r="A2944" t="s">
        <v>3228</v>
      </c>
      <c r="B2944" t="s">
        <v>450</v>
      </c>
      <c r="C2944" t="s">
        <v>451</v>
      </c>
      <c r="D2944" t="str">
        <f>HYPERLINK("http://service.sap.com/sap/support/notes/1835964","1835964")</f>
        <v>1835964</v>
      </c>
      <c r="E2944">
        <v>1</v>
      </c>
      <c r="F2944" t="s">
        <v>3197</v>
      </c>
    </row>
    <row r="2945" spans="1:6" x14ac:dyDescent="0.25">
      <c r="A2945" t="s">
        <v>3228</v>
      </c>
      <c r="B2945" t="s">
        <v>450</v>
      </c>
      <c r="C2945" t="s">
        <v>451</v>
      </c>
      <c r="D2945" t="str">
        <f>HYPERLINK("http://service.sap.com/sap/support/notes/1836019","1836019")</f>
        <v>1836019</v>
      </c>
      <c r="E2945">
        <v>1</v>
      </c>
      <c r="F2945" t="s">
        <v>3198</v>
      </c>
    </row>
    <row r="2946" spans="1:6" x14ac:dyDescent="0.25">
      <c r="A2946" t="s">
        <v>3228</v>
      </c>
      <c r="B2946" t="s">
        <v>453</v>
      </c>
      <c r="C2946" t="s">
        <v>74</v>
      </c>
      <c r="D2946" t="str">
        <f>HYPERLINK("http://service.sap.com/sap/support/notes/1808952","1808952")</f>
        <v>1808952</v>
      </c>
      <c r="E2946">
        <v>2</v>
      </c>
      <c r="F2946" t="s">
        <v>3199</v>
      </c>
    </row>
    <row r="2947" spans="1:6" x14ac:dyDescent="0.25">
      <c r="A2947" t="s">
        <v>3228</v>
      </c>
      <c r="B2947" t="s">
        <v>453</v>
      </c>
      <c r="C2947" t="s">
        <v>74</v>
      </c>
      <c r="D2947" t="str">
        <f>HYPERLINK("http://service.sap.com/sap/support/notes/1824719","1824719")</f>
        <v>1824719</v>
      </c>
      <c r="E2947">
        <v>1</v>
      </c>
      <c r="F2947" t="s">
        <v>2788</v>
      </c>
    </row>
    <row r="2948" spans="1:6" x14ac:dyDescent="0.25">
      <c r="A2948" t="s">
        <v>3228</v>
      </c>
      <c r="B2948" t="s">
        <v>607</v>
      </c>
      <c r="C2948" t="s">
        <v>156</v>
      </c>
      <c r="D2948" t="str">
        <f>HYPERLINK("http://service.sap.com/sap/support/notes/1828368","1828368")</f>
        <v>1828368</v>
      </c>
      <c r="E2948">
        <v>3</v>
      </c>
      <c r="F2948" t="s">
        <v>3200</v>
      </c>
    </row>
    <row r="2949" spans="1:6" x14ac:dyDescent="0.25">
      <c r="A2949" t="s">
        <v>3228</v>
      </c>
      <c r="B2949" t="s">
        <v>457</v>
      </c>
      <c r="C2949" t="s">
        <v>458</v>
      </c>
      <c r="D2949" t="str">
        <f>HYPERLINK("http://service.sap.com/sap/support/notes/1695485","1695485")</f>
        <v>1695485</v>
      </c>
      <c r="E2949">
        <v>3</v>
      </c>
      <c r="F2949" t="s">
        <v>3201</v>
      </c>
    </row>
    <row r="2950" spans="1:6" x14ac:dyDescent="0.25">
      <c r="A2950" t="s">
        <v>3228</v>
      </c>
      <c r="B2950" t="s">
        <v>457</v>
      </c>
      <c r="C2950" t="s">
        <v>458</v>
      </c>
      <c r="D2950" t="str">
        <f>HYPERLINK("http://service.sap.com/sap/support/notes/1773084","1773084")</f>
        <v>1773084</v>
      </c>
      <c r="E2950">
        <v>3</v>
      </c>
      <c r="F2950" t="s">
        <v>3202</v>
      </c>
    </row>
    <row r="2951" spans="1:6" x14ac:dyDescent="0.25">
      <c r="A2951" t="s">
        <v>3228</v>
      </c>
      <c r="B2951" t="s">
        <v>457</v>
      </c>
      <c r="C2951" t="s">
        <v>458</v>
      </c>
      <c r="D2951" t="str">
        <f>HYPERLINK("http://service.sap.com/sap/support/notes/1776403","1776403")</f>
        <v>1776403</v>
      </c>
      <c r="E2951">
        <v>4</v>
      </c>
      <c r="F2951" t="s">
        <v>3203</v>
      </c>
    </row>
    <row r="2952" spans="1:6" x14ac:dyDescent="0.25">
      <c r="A2952" t="s">
        <v>3228</v>
      </c>
      <c r="B2952" t="s">
        <v>457</v>
      </c>
      <c r="C2952" t="s">
        <v>458</v>
      </c>
      <c r="D2952" t="str">
        <f>HYPERLINK("http://service.sap.com/sap/support/notes/1789179","1789179")</f>
        <v>1789179</v>
      </c>
      <c r="E2952">
        <v>2</v>
      </c>
      <c r="F2952" t="s">
        <v>2789</v>
      </c>
    </row>
    <row r="2953" spans="1:6" x14ac:dyDescent="0.25">
      <c r="A2953" t="s">
        <v>3228</v>
      </c>
      <c r="B2953" t="s">
        <v>457</v>
      </c>
      <c r="C2953" t="s">
        <v>458</v>
      </c>
      <c r="D2953" t="str">
        <f>HYPERLINK("http://service.sap.com/sap/support/notes/1790217","1790217")</f>
        <v>1790217</v>
      </c>
      <c r="E2953">
        <v>6</v>
      </c>
      <c r="F2953" t="s">
        <v>3204</v>
      </c>
    </row>
    <row r="2954" spans="1:6" x14ac:dyDescent="0.25">
      <c r="A2954" t="s">
        <v>3228</v>
      </c>
      <c r="B2954" t="s">
        <v>457</v>
      </c>
      <c r="C2954" t="s">
        <v>458</v>
      </c>
      <c r="D2954" t="str">
        <f>HYPERLINK("http://service.sap.com/sap/support/notes/1802924","1802924")</f>
        <v>1802924</v>
      </c>
      <c r="E2954">
        <v>3</v>
      </c>
      <c r="F2954" t="s">
        <v>3205</v>
      </c>
    </row>
    <row r="2955" spans="1:6" x14ac:dyDescent="0.25">
      <c r="A2955" t="s">
        <v>3228</v>
      </c>
      <c r="B2955" t="s">
        <v>457</v>
      </c>
      <c r="C2955" t="s">
        <v>458</v>
      </c>
      <c r="D2955" t="str">
        <f>HYPERLINK("http://service.sap.com/sap/support/notes/1808601","1808601")</f>
        <v>1808601</v>
      </c>
      <c r="E2955">
        <v>2</v>
      </c>
      <c r="F2955" t="s">
        <v>3206</v>
      </c>
    </row>
    <row r="2956" spans="1:6" x14ac:dyDescent="0.25">
      <c r="A2956" t="s">
        <v>3228</v>
      </c>
      <c r="B2956" t="s">
        <v>457</v>
      </c>
      <c r="C2956" t="s">
        <v>458</v>
      </c>
      <c r="D2956" t="str">
        <f>HYPERLINK("http://service.sap.com/sap/support/notes/1810264","1810264")</f>
        <v>1810264</v>
      </c>
      <c r="E2956">
        <v>2</v>
      </c>
      <c r="F2956" t="s">
        <v>3207</v>
      </c>
    </row>
    <row r="2957" spans="1:6" x14ac:dyDescent="0.25">
      <c r="A2957" t="s">
        <v>3228</v>
      </c>
      <c r="B2957" t="s">
        <v>457</v>
      </c>
      <c r="C2957" t="s">
        <v>458</v>
      </c>
      <c r="D2957" t="str">
        <f>HYPERLINK("http://service.sap.com/sap/support/notes/1811242","1811242")</f>
        <v>1811242</v>
      </c>
      <c r="E2957">
        <v>2</v>
      </c>
      <c r="F2957" t="s">
        <v>3208</v>
      </c>
    </row>
    <row r="2958" spans="1:6" x14ac:dyDescent="0.25">
      <c r="A2958" t="s">
        <v>3228</v>
      </c>
      <c r="B2958" t="s">
        <v>457</v>
      </c>
      <c r="C2958" t="s">
        <v>458</v>
      </c>
      <c r="D2958" t="str">
        <f>HYPERLINK("http://service.sap.com/sap/support/notes/1817540","1817540")</f>
        <v>1817540</v>
      </c>
      <c r="E2958">
        <v>2</v>
      </c>
      <c r="F2958" t="s">
        <v>3209</v>
      </c>
    </row>
    <row r="2959" spans="1:6" x14ac:dyDescent="0.25">
      <c r="A2959" t="s">
        <v>3228</v>
      </c>
      <c r="B2959" t="s">
        <v>457</v>
      </c>
      <c r="C2959" t="s">
        <v>458</v>
      </c>
      <c r="D2959" t="str">
        <f>HYPERLINK("http://service.sap.com/sap/support/notes/1819971","1819971")</f>
        <v>1819971</v>
      </c>
      <c r="E2959">
        <v>2</v>
      </c>
      <c r="F2959" t="s">
        <v>3210</v>
      </c>
    </row>
    <row r="2960" spans="1:6" x14ac:dyDescent="0.25">
      <c r="A2960" t="s">
        <v>3228</v>
      </c>
      <c r="B2960" t="s">
        <v>457</v>
      </c>
      <c r="C2960" t="s">
        <v>458</v>
      </c>
      <c r="D2960" t="str">
        <f>HYPERLINK("http://service.sap.com/sap/support/notes/1823834","1823834")</f>
        <v>1823834</v>
      </c>
      <c r="E2960">
        <v>2</v>
      </c>
      <c r="F2960" t="s">
        <v>3211</v>
      </c>
    </row>
    <row r="2961" spans="1:6" x14ac:dyDescent="0.25">
      <c r="A2961" t="s">
        <v>3228</v>
      </c>
      <c r="B2961" t="s">
        <v>457</v>
      </c>
      <c r="C2961" t="s">
        <v>458</v>
      </c>
      <c r="D2961" t="str">
        <f>HYPERLINK("http://service.sap.com/sap/support/notes/1825420","1825420")</f>
        <v>1825420</v>
      </c>
      <c r="E2961">
        <v>2</v>
      </c>
      <c r="F2961" t="s">
        <v>3212</v>
      </c>
    </row>
    <row r="2962" spans="1:6" x14ac:dyDescent="0.25">
      <c r="A2962" t="s">
        <v>3228</v>
      </c>
      <c r="B2962" t="s">
        <v>457</v>
      </c>
      <c r="C2962" t="s">
        <v>458</v>
      </c>
      <c r="D2962" t="str">
        <f>HYPERLINK("http://service.sap.com/sap/support/notes/1826026","1826026")</f>
        <v>1826026</v>
      </c>
      <c r="E2962">
        <v>3</v>
      </c>
      <c r="F2962" t="s">
        <v>3213</v>
      </c>
    </row>
    <row r="2963" spans="1:6" x14ac:dyDescent="0.25">
      <c r="A2963" t="s">
        <v>3228</v>
      </c>
      <c r="B2963" t="s">
        <v>457</v>
      </c>
      <c r="C2963" t="s">
        <v>458</v>
      </c>
      <c r="D2963" t="str">
        <f>HYPERLINK("http://service.sap.com/sap/support/notes/1826041","1826041")</f>
        <v>1826041</v>
      </c>
      <c r="E2963">
        <v>1</v>
      </c>
      <c r="F2963" t="s">
        <v>3214</v>
      </c>
    </row>
    <row r="2964" spans="1:6" x14ac:dyDescent="0.25">
      <c r="A2964" t="s">
        <v>3228</v>
      </c>
      <c r="B2964" t="s">
        <v>457</v>
      </c>
      <c r="C2964" t="s">
        <v>458</v>
      </c>
      <c r="D2964" t="str">
        <f>HYPERLINK("http://service.sap.com/sap/support/notes/1827904","1827904")</f>
        <v>1827904</v>
      </c>
      <c r="E2964">
        <v>4</v>
      </c>
      <c r="F2964" t="s">
        <v>3215</v>
      </c>
    </row>
    <row r="2965" spans="1:6" x14ac:dyDescent="0.25">
      <c r="A2965" t="s">
        <v>3228</v>
      </c>
      <c r="B2965" t="s">
        <v>457</v>
      </c>
      <c r="C2965" t="s">
        <v>458</v>
      </c>
      <c r="D2965" t="str">
        <f>HYPERLINK("http://service.sap.com/sap/support/notes/1830526","1830526")</f>
        <v>1830526</v>
      </c>
      <c r="E2965">
        <v>4</v>
      </c>
      <c r="F2965" t="s">
        <v>3216</v>
      </c>
    </row>
    <row r="2966" spans="1:6" x14ac:dyDescent="0.25">
      <c r="A2966" t="s">
        <v>3228</v>
      </c>
      <c r="B2966" t="s">
        <v>457</v>
      </c>
      <c r="C2966" t="s">
        <v>458</v>
      </c>
      <c r="D2966" t="str">
        <f>HYPERLINK("http://service.sap.com/sap/support/notes/1831114","1831114")</f>
        <v>1831114</v>
      </c>
      <c r="E2966">
        <v>1</v>
      </c>
      <c r="F2966" t="s">
        <v>2006</v>
      </c>
    </row>
    <row r="2967" spans="1:6" x14ac:dyDescent="0.25">
      <c r="A2967" t="s">
        <v>3228</v>
      </c>
      <c r="B2967" t="s">
        <v>457</v>
      </c>
      <c r="C2967" t="s">
        <v>458</v>
      </c>
      <c r="D2967" t="str">
        <f>HYPERLINK("http://service.sap.com/sap/support/notes/1832236","1832236")</f>
        <v>1832236</v>
      </c>
      <c r="E2967">
        <v>3</v>
      </c>
      <c r="F2967" t="s">
        <v>3217</v>
      </c>
    </row>
    <row r="2968" spans="1:6" x14ac:dyDescent="0.25">
      <c r="A2968" t="s">
        <v>3228</v>
      </c>
      <c r="B2968" t="s">
        <v>457</v>
      </c>
      <c r="C2968" t="s">
        <v>458</v>
      </c>
      <c r="D2968" t="str">
        <f>HYPERLINK("http://service.sap.com/sap/support/notes/1835168","1835168")</f>
        <v>1835168</v>
      </c>
      <c r="E2968">
        <v>2</v>
      </c>
      <c r="F2968" t="s">
        <v>3218</v>
      </c>
    </row>
    <row r="2969" spans="1:6" x14ac:dyDescent="0.25">
      <c r="A2969" t="s">
        <v>3228</v>
      </c>
      <c r="B2969" t="s">
        <v>608</v>
      </c>
      <c r="C2969" t="s">
        <v>609</v>
      </c>
      <c r="D2969" t="str">
        <f>HYPERLINK("http://service.sap.com/sap/support/notes/1826527","1826527")</f>
        <v>1826527</v>
      </c>
      <c r="E2969">
        <v>2</v>
      </c>
      <c r="F2969" t="s">
        <v>3219</v>
      </c>
    </row>
    <row r="2970" spans="1:6" x14ac:dyDescent="0.25">
      <c r="A2970" t="s">
        <v>3228</v>
      </c>
      <c r="B2970" t="s">
        <v>461</v>
      </c>
      <c r="C2970" t="s">
        <v>462</v>
      </c>
      <c r="D2970" t="str">
        <f>HYPERLINK("http://service.sap.com/sap/support/notes/1824697","1824697")</f>
        <v>1824697</v>
      </c>
      <c r="E2970">
        <v>3</v>
      </c>
      <c r="F2970" t="s">
        <v>3220</v>
      </c>
    </row>
    <row r="2971" spans="1:6" x14ac:dyDescent="0.25">
      <c r="A2971" t="s">
        <v>3228</v>
      </c>
      <c r="B2971" t="s">
        <v>610</v>
      </c>
      <c r="C2971" t="s">
        <v>635</v>
      </c>
    </row>
    <row r="2972" spans="1:6" x14ac:dyDescent="0.25">
      <c r="A2972" t="s">
        <v>3228</v>
      </c>
      <c r="B2972" t="s">
        <v>626</v>
      </c>
      <c r="C2972" t="s">
        <v>654</v>
      </c>
      <c r="D2972" t="str">
        <f>HYPERLINK("http://service.sap.com/sap/support/notes/1826229","1826229")</f>
        <v>1826229</v>
      </c>
      <c r="E2972">
        <v>1</v>
      </c>
      <c r="F2972" t="s">
        <v>3221</v>
      </c>
    </row>
    <row r="2973" spans="1:6" x14ac:dyDescent="0.25">
      <c r="A2973" t="s">
        <v>3228</v>
      </c>
      <c r="B2973" t="s">
        <v>464</v>
      </c>
      <c r="C2973" t="s">
        <v>465</v>
      </c>
      <c r="D2973" t="str">
        <f>HYPERLINK("http://service.sap.com/sap/support/notes/1803359","1803359")</f>
        <v>1803359</v>
      </c>
      <c r="E2973">
        <v>2</v>
      </c>
      <c r="F2973" t="s">
        <v>3222</v>
      </c>
    </row>
    <row r="2974" spans="1:6" x14ac:dyDescent="0.25">
      <c r="A2974" t="s">
        <v>3228</v>
      </c>
      <c r="B2974" t="s">
        <v>464</v>
      </c>
      <c r="C2974" t="s">
        <v>465</v>
      </c>
      <c r="D2974" t="str">
        <f>HYPERLINK("http://service.sap.com/sap/support/notes/1821617","1821617")</f>
        <v>1821617</v>
      </c>
      <c r="E2974">
        <v>7</v>
      </c>
      <c r="F2974" t="s">
        <v>3223</v>
      </c>
    </row>
    <row r="2975" spans="1:6" x14ac:dyDescent="0.25">
      <c r="A2975" t="s">
        <v>3228</v>
      </c>
      <c r="B2975" t="s">
        <v>464</v>
      </c>
      <c r="C2975" t="s">
        <v>465</v>
      </c>
      <c r="D2975" t="str">
        <f>HYPERLINK("http://service.sap.com/sap/support/notes/1829022","1829022")</f>
        <v>1829022</v>
      </c>
      <c r="E2975">
        <v>3</v>
      </c>
      <c r="F2975" t="s">
        <v>3224</v>
      </c>
    </row>
    <row r="2976" spans="1:6" x14ac:dyDescent="0.25">
      <c r="A2976" t="s">
        <v>3228</v>
      </c>
      <c r="B2976" t="s">
        <v>670</v>
      </c>
      <c r="C2976" t="s">
        <v>671</v>
      </c>
    </row>
    <row r="2977" spans="1:6" x14ac:dyDescent="0.25">
      <c r="A2977" t="s">
        <v>3228</v>
      </c>
      <c r="B2977" t="s">
        <v>692</v>
      </c>
      <c r="C2977" t="s">
        <v>693</v>
      </c>
    </row>
    <row r="2978" spans="1:6" x14ac:dyDescent="0.25">
      <c r="A2978" t="s">
        <v>3228</v>
      </c>
      <c r="B2978" t="s">
        <v>3225</v>
      </c>
      <c r="C2978" t="s">
        <v>3226</v>
      </c>
      <c r="D2978" t="str">
        <f>HYPERLINK("http://service.sap.com/sap/support/notes/1831569","1831569")</f>
        <v>1831569</v>
      </c>
      <c r="E2978">
        <v>2</v>
      </c>
      <c r="F2978" t="s">
        <v>3227</v>
      </c>
    </row>
    <row r="2979" spans="1:6" x14ac:dyDescent="0.25">
      <c r="A2979" t="s">
        <v>3229</v>
      </c>
      <c r="B2979" t="s">
        <v>472</v>
      </c>
      <c r="C2979" t="s">
        <v>473</v>
      </c>
    </row>
    <row r="2980" spans="1:6" x14ac:dyDescent="0.25">
      <c r="A2980" t="s">
        <v>3229</v>
      </c>
      <c r="B2980" t="s">
        <v>474</v>
      </c>
      <c r="C2980" t="s">
        <v>475</v>
      </c>
    </row>
    <row r="2981" spans="1:6" x14ac:dyDescent="0.25">
      <c r="A2981" t="s">
        <v>3229</v>
      </c>
      <c r="B2981" t="s">
        <v>476</v>
      </c>
      <c r="C2981" t="s">
        <v>477</v>
      </c>
      <c r="D2981" t="str">
        <f>HYPERLINK("http://service.sap.com/sap/support/notes/1793306","1793306")</f>
        <v>1793306</v>
      </c>
      <c r="E2981">
        <v>1</v>
      </c>
      <c r="F2981" t="s">
        <v>3230</v>
      </c>
    </row>
    <row r="2982" spans="1:6" x14ac:dyDescent="0.25">
      <c r="A2982" t="s">
        <v>3229</v>
      </c>
      <c r="B2982" t="s">
        <v>476</v>
      </c>
      <c r="C2982" t="s">
        <v>477</v>
      </c>
      <c r="D2982" t="str">
        <f>HYPERLINK("http://service.sap.com/sap/support/notes/1810577","1810577")</f>
        <v>1810577</v>
      </c>
      <c r="E2982">
        <v>4</v>
      </c>
      <c r="F2982" t="s">
        <v>3231</v>
      </c>
    </row>
    <row r="2983" spans="1:6" x14ac:dyDescent="0.25">
      <c r="A2983" t="s">
        <v>3229</v>
      </c>
      <c r="B2983" t="s">
        <v>478</v>
      </c>
      <c r="C2983" t="s">
        <v>479</v>
      </c>
      <c r="D2983" t="str">
        <f>HYPERLINK("http://service.sap.com/sap/support/notes/1824157","1824157")</f>
        <v>1824157</v>
      </c>
      <c r="E2983">
        <v>1</v>
      </c>
      <c r="F2983" t="s">
        <v>3232</v>
      </c>
    </row>
    <row r="2984" spans="1:6" x14ac:dyDescent="0.25">
      <c r="A2984" t="s">
        <v>3229</v>
      </c>
      <c r="B2984" t="s">
        <v>5</v>
      </c>
      <c r="C2984" t="s">
        <v>6</v>
      </c>
    </row>
    <row r="2985" spans="1:6" x14ac:dyDescent="0.25">
      <c r="A2985" t="s">
        <v>3229</v>
      </c>
      <c r="B2985" t="s">
        <v>7</v>
      </c>
      <c r="C2985" t="s">
        <v>8</v>
      </c>
    </row>
    <row r="2986" spans="1:6" x14ac:dyDescent="0.25">
      <c r="A2986" t="s">
        <v>3229</v>
      </c>
      <c r="B2986" t="s">
        <v>9</v>
      </c>
      <c r="C2986" t="s">
        <v>10</v>
      </c>
      <c r="D2986" t="str">
        <f>HYPERLINK("http://service.sap.com/sap/support/notes/1832009","1832009")</f>
        <v>1832009</v>
      </c>
      <c r="E2986">
        <v>2</v>
      </c>
      <c r="F2986" t="s">
        <v>3233</v>
      </c>
    </row>
    <row r="2987" spans="1:6" x14ac:dyDescent="0.25">
      <c r="A2987" t="s">
        <v>3229</v>
      </c>
      <c r="B2987" t="s">
        <v>493</v>
      </c>
      <c r="C2987" t="s">
        <v>494</v>
      </c>
    </row>
    <row r="2988" spans="1:6" x14ac:dyDescent="0.25">
      <c r="A2988" t="s">
        <v>3229</v>
      </c>
      <c r="B2988" t="s">
        <v>495</v>
      </c>
      <c r="C2988" t="s">
        <v>655</v>
      </c>
    </row>
    <row r="2989" spans="1:6" x14ac:dyDescent="0.25">
      <c r="A2989" t="s">
        <v>3229</v>
      </c>
      <c r="B2989" t="s">
        <v>497</v>
      </c>
      <c r="C2989" t="s">
        <v>498</v>
      </c>
      <c r="D2989" t="str">
        <f>HYPERLINK("http://service.sap.com/sap/support/notes/1825405","1825405")</f>
        <v>1825405</v>
      </c>
      <c r="E2989">
        <v>2</v>
      </c>
      <c r="F2989" t="s">
        <v>3234</v>
      </c>
    </row>
    <row r="2990" spans="1:6" x14ac:dyDescent="0.25">
      <c r="A2990" t="s">
        <v>3229</v>
      </c>
      <c r="B2990" t="s">
        <v>656</v>
      </c>
      <c r="C2990" t="s">
        <v>3235</v>
      </c>
      <c r="D2990" t="str">
        <f>HYPERLINK("http://service.sap.com/sap/support/notes/1847073","1847073")</f>
        <v>1847073</v>
      </c>
      <c r="E2990">
        <v>1</v>
      </c>
      <c r="F2990" t="s">
        <v>3236</v>
      </c>
    </row>
    <row r="2991" spans="1:6" x14ac:dyDescent="0.25">
      <c r="A2991" t="s">
        <v>3229</v>
      </c>
      <c r="B2991" t="s">
        <v>24</v>
      </c>
      <c r="C2991" t="s">
        <v>10</v>
      </c>
    </row>
    <row r="2992" spans="1:6" x14ac:dyDescent="0.25">
      <c r="A2992" t="s">
        <v>3229</v>
      </c>
      <c r="B2992" t="s">
        <v>499</v>
      </c>
      <c r="C2992" t="s">
        <v>500</v>
      </c>
      <c r="D2992" t="str">
        <f>HYPERLINK("http://service.sap.com/sap/support/notes/1718633","1718633")</f>
        <v>1718633</v>
      </c>
      <c r="E2992">
        <v>1</v>
      </c>
      <c r="F2992" t="s">
        <v>3237</v>
      </c>
    </row>
    <row r="2993" spans="1:6" x14ac:dyDescent="0.25">
      <c r="A2993" t="s">
        <v>3229</v>
      </c>
      <c r="B2993" t="s">
        <v>499</v>
      </c>
      <c r="C2993" t="s">
        <v>500</v>
      </c>
      <c r="D2993" t="str">
        <f>HYPERLINK("http://service.sap.com/sap/support/notes/1803921","1803921")</f>
        <v>1803921</v>
      </c>
      <c r="E2993">
        <v>1</v>
      </c>
      <c r="F2993" t="s">
        <v>3238</v>
      </c>
    </row>
    <row r="2994" spans="1:6" x14ac:dyDescent="0.25">
      <c r="A2994" t="s">
        <v>3229</v>
      </c>
      <c r="B2994" t="s">
        <v>499</v>
      </c>
      <c r="C2994" t="s">
        <v>500</v>
      </c>
      <c r="D2994" t="str">
        <f>HYPERLINK("http://service.sap.com/sap/support/notes/1813690","1813690")</f>
        <v>1813690</v>
      </c>
      <c r="E2994">
        <v>1</v>
      </c>
      <c r="F2994" t="s">
        <v>3239</v>
      </c>
    </row>
    <row r="2995" spans="1:6" x14ac:dyDescent="0.25">
      <c r="A2995" t="s">
        <v>3229</v>
      </c>
      <c r="B2995" t="s">
        <v>501</v>
      </c>
      <c r="C2995" t="s">
        <v>502</v>
      </c>
      <c r="D2995" t="str">
        <f>HYPERLINK("http://service.sap.com/sap/support/notes/1531068","1531068")</f>
        <v>1531068</v>
      </c>
      <c r="E2995">
        <v>1</v>
      </c>
      <c r="F2995" t="s">
        <v>3240</v>
      </c>
    </row>
    <row r="2996" spans="1:6" x14ac:dyDescent="0.25">
      <c r="A2996" t="s">
        <v>3229</v>
      </c>
      <c r="B2996" t="s">
        <v>501</v>
      </c>
      <c r="C2996" t="s">
        <v>502</v>
      </c>
      <c r="D2996" t="str">
        <f>HYPERLINK("http://service.sap.com/sap/support/notes/1794876","1794876")</f>
        <v>1794876</v>
      </c>
      <c r="E2996">
        <v>2</v>
      </c>
      <c r="F2996" t="s">
        <v>3241</v>
      </c>
    </row>
    <row r="2997" spans="1:6" x14ac:dyDescent="0.25">
      <c r="A2997" t="s">
        <v>3229</v>
      </c>
      <c r="B2997" t="s">
        <v>503</v>
      </c>
      <c r="C2997" t="s">
        <v>504</v>
      </c>
      <c r="D2997" t="str">
        <f>HYPERLINK("http://service.sap.com/sap/support/notes/1710497","1710497")</f>
        <v>1710497</v>
      </c>
      <c r="E2997">
        <v>2</v>
      </c>
      <c r="F2997" t="s">
        <v>3242</v>
      </c>
    </row>
    <row r="2998" spans="1:6" x14ac:dyDescent="0.25">
      <c r="A2998" t="s">
        <v>3229</v>
      </c>
      <c r="B2998" t="s">
        <v>3243</v>
      </c>
      <c r="C2998" t="s">
        <v>3244</v>
      </c>
      <c r="D2998" t="str">
        <f>HYPERLINK("http://service.sap.com/sap/support/notes/1660216","1660216")</f>
        <v>1660216</v>
      </c>
      <c r="E2998">
        <v>3</v>
      </c>
      <c r="F2998" t="s">
        <v>3245</v>
      </c>
    </row>
    <row r="2999" spans="1:6" x14ac:dyDescent="0.25">
      <c r="A2999" t="s">
        <v>3229</v>
      </c>
      <c r="B2999" t="s">
        <v>505</v>
      </c>
      <c r="C2999" t="s">
        <v>506</v>
      </c>
      <c r="D2999" t="str">
        <f>HYPERLINK("http://service.sap.com/sap/support/notes/1750849","1750849")</f>
        <v>1750849</v>
      </c>
      <c r="E2999">
        <v>2</v>
      </c>
      <c r="F2999" t="s">
        <v>3246</v>
      </c>
    </row>
    <row r="3000" spans="1:6" x14ac:dyDescent="0.25">
      <c r="A3000" t="s">
        <v>3229</v>
      </c>
      <c r="B3000" t="s">
        <v>505</v>
      </c>
      <c r="C3000" t="s">
        <v>506</v>
      </c>
      <c r="D3000" t="str">
        <f>HYPERLINK("http://service.sap.com/sap/support/notes/1791548","1791548")</f>
        <v>1791548</v>
      </c>
      <c r="E3000">
        <v>2</v>
      </c>
      <c r="F3000" t="s">
        <v>3247</v>
      </c>
    </row>
    <row r="3001" spans="1:6" x14ac:dyDescent="0.25">
      <c r="A3001" t="s">
        <v>3229</v>
      </c>
      <c r="B3001" t="s">
        <v>2808</v>
      </c>
      <c r="C3001" t="s">
        <v>2809</v>
      </c>
    </row>
    <row r="3002" spans="1:6" x14ac:dyDescent="0.25">
      <c r="A3002" t="s">
        <v>3229</v>
      </c>
      <c r="B3002" t="s">
        <v>3248</v>
      </c>
      <c r="C3002" t="s">
        <v>3249</v>
      </c>
      <c r="D3002" t="str">
        <f>HYPERLINK("http://service.sap.com/sap/support/notes/1794637","1794637")</f>
        <v>1794637</v>
      </c>
      <c r="E3002">
        <v>3</v>
      </c>
      <c r="F3002" t="s">
        <v>3250</v>
      </c>
    </row>
    <row r="3003" spans="1:6" x14ac:dyDescent="0.25">
      <c r="A3003" t="s">
        <v>3229</v>
      </c>
      <c r="B3003" t="s">
        <v>510</v>
      </c>
      <c r="C3003" t="s">
        <v>511</v>
      </c>
      <c r="D3003" t="str">
        <f>HYPERLINK("http://service.sap.com/sap/support/notes/1799696","1799696")</f>
        <v>1799696</v>
      </c>
      <c r="E3003">
        <v>1</v>
      </c>
      <c r="F3003" t="s">
        <v>747</v>
      </c>
    </row>
    <row r="3004" spans="1:6" x14ac:dyDescent="0.25">
      <c r="A3004" t="s">
        <v>3229</v>
      </c>
      <c r="B3004" t="s">
        <v>510</v>
      </c>
      <c r="C3004" t="s">
        <v>511</v>
      </c>
      <c r="D3004" t="str">
        <f>HYPERLINK("http://service.sap.com/sap/support/notes/1826402","1826402")</f>
        <v>1826402</v>
      </c>
      <c r="E3004">
        <v>1</v>
      </c>
      <c r="F3004" t="s">
        <v>3251</v>
      </c>
    </row>
    <row r="3005" spans="1:6" x14ac:dyDescent="0.25">
      <c r="A3005" t="s">
        <v>3229</v>
      </c>
      <c r="B3005" t="s">
        <v>510</v>
      </c>
      <c r="C3005" t="s">
        <v>511</v>
      </c>
      <c r="D3005" t="str">
        <f>HYPERLINK("http://service.sap.com/sap/support/notes/1831895","1831895")</f>
        <v>1831895</v>
      </c>
      <c r="E3005">
        <v>3</v>
      </c>
      <c r="F3005" t="s">
        <v>3252</v>
      </c>
    </row>
    <row r="3006" spans="1:6" x14ac:dyDescent="0.25">
      <c r="A3006" t="s">
        <v>3229</v>
      </c>
      <c r="B3006" t="s">
        <v>512</v>
      </c>
      <c r="C3006" t="s">
        <v>513</v>
      </c>
      <c r="D3006" t="str">
        <f>HYPERLINK("http://service.sap.com/sap/support/notes/1610719","1610719")</f>
        <v>1610719</v>
      </c>
      <c r="E3006">
        <v>1</v>
      </c>
      <c r="F3006" t="s">
        <v>3253</v>
      </c>
    </row>
    <row r="3007" spans="1:6" x14ac:dyDescent="0.25">
      <c r="A3007" t="s">
        <v>3229</v>
      </c>
      <c r="B3007" t="s">
        <v>512</v>
      </c>
      <c r="C3007" t="s">
        <v>513</v>
      </c>
      <c r="D3007" t="str">
        <f>HYPERLINK("http://service.sap.com/sap/support/notes/1801065","1801065")</f>
        <v>1801065</v>
      </c>
      <c r="E3007">
        <v>1</v>
      </c>
      <c r="F3007" t="s">
        <v>3254</v>
      </c>
    </row>
    <row r="3008" spans="1:6" x14ac:dyDescent="0.25">
      <c r="A3008" t="s">
        <v>3229</v>
      </c>
      <c r="B3008" t="s">
        <v>512</v>
      </c>
      <c r="C3008" t="s">
        <v>513</v>
      </c>
      <c r="D3008" t="str">
        <f>HYPERLINK("http://service.sap.com/sap/support/notes/1803353","1803353")</f>
        <v>1803353</v>
      </c>
      <c r="E3008">
        <v>3</v>
      </c>
      <c r="F3008" t="s">
        <v>3255</v>
      </c>
    </row>
    <row r="3009" spans="1:6" x14ac:dyDescent="0.25">
      <c r="A3009" t="s">
        <v>3229</v>
      </c>
      <c r="B3009" t="s">
        <v>512</v>
      </c>
      <c r="C3009" t="s">
        <v>513</v>
      </c>
      <c r="D3009" t="str">
        <f>HYPERLINK("http://service.sap.com/sap/support/notes/1806016","1806016")</f>
        <v>1806016</v>
      </c>
      <c r="E3009">
        <v>2</v>
      </c>
      <c r="F3009" t="s">
        <v>3254</v>
      </c>
    </row>
    <row r="3010" spans="1:6" x14ac:dyDescent="0.25">
      <c r="A3010" t="s">
        <v>3229</v>
      </c>
      <c r="B3010" t="s">
        <v>512</v>
      </c>
      <c r="C3010" t="s">
        <v>513</v>
      </c>
      <c r="D3010" t="str">
        <f>HYPERLINK("http://service.sap.com/sap/support/notes/1843429","1843429")</f>
        <v>1843429</v>
      </c>
      <c r="E3010">
        <v>1</v>
      </c>
      <c r="F3010" t="s">
        <v>3256</v>
      </c>
    </row>
    <row r="3011" spans="1:6" x14ac:dyDescent="0.25">
      <c r="A3011" t="s">
        <v>3229</v>
      </c>
      <c r="B3011" t="s">
        <v>512</v>
      </c>
      <c r="C3011" t="s">
        <v>513</v>
      </c>
      <c r="D3011" t="str">
        <f>HYPERLINK("http://service.sap.com/sap/support/notes/1844769","1844769")</f>
        <v>1844769</v>
      </c>
      <c r="E3011">
        <v>2</v>
      </c>
      <c r="F3011" t="s">
        <v>3257</v>
      </c>
    </row>
    <row r="3012" spans="1:6" x14ac:dyDescent="0.25">
      <c r="A3012" t="s">
        <v>3229</v>
      </c>
      <c r="B3012" t="s">
        <v>516</v>
      </c>
      <c r="C3012" t="s">
        <v>517</v>
      </c>
      <c r="D3012" t="str">
        <f>HYPERLINK("http://service.sap.com/sap/support/notes/1794812","1794812")</f>
        <v>1794812</v>
      </c>
      <c r="E3012">
        <v>1</v>
      </c>
      <c r="F3012" t="s">
        <v>3258</v>
      </c>
    </row>
    <row r="3013" spans="1:6" x14ac:dyDescent="0.25">
      <c r="A3013" t="s">
        <v>3229</v>
      </c>
      <c r="B3013" t="s">
        <v>516</v>
      </c>
      <c r="C3013" t="s">
        <v>517</v>
      </c>
      <c r="D3013" t="str">
        <f>HYPERLINK("http://service.sap.com/sap/support/notes/1823956","1823956")</f>
        <v>1823956</v>
      </c>
      <c r="E3013">
        <v>2</v>
      </c>
      <c r="F3013" t="s">
        <v>3259</v>
      </c>
    </row>
    <row r="3014" spans="1:6" x14ac:dyDescent="0.25">
      <c r="A3014" t="s">
        <v>3229</v>
      </c>
      <c r="B3014" t="s">
        <v>25</v>
      </c>
      <c r="C3014" t="s">
        <v>26</v>
      </c>
    </row>
    <row r="3015" spans="1:6" x14ac:dyDescent="0.25">
      <c r="A3015" t="s">
        <v>3229</v>
      </c>
      <c r="B3015" t="s">
        <v>518</v>
      </c>
      <c r="C3015" t="s">
        <v>98</v>
      </c>
      <c r="D3015" t="str">
        <f>HYPERLINK("http://service.sap.com/sap/support/notes/1843099","1843099")</f>
        <v>1843099</v>
      </c>
      <c r="E3015">
        <v>1</v>
      </c>
      <c r="F3015" t="s">
        <v>2814</v>
      </c>
    </row>
    <row r="3016" spans="1:6" x14ac:dyDescent="0.25">
      <c r="A3016" t="s">
        <v>3229</v>
      </c>
      <c r="B3016" t="s">
        <v>519</v>
      </c>
      <c r="C3016" t="s">
        <v>132</v>
      </c>
      <c r="D3016" t="str">
        <f>HYPERLINK("http://service.sap.com/sap/support/notes/1726440","1726440")</f>
        <v>1726440</v>
      </c>
      <c r="E3016">
        <v>1</v>
      </c>
      <c r="F3016" t="s">
        <v>3260</v>
      </c>
    </row>
    <row r="3017" spans="1:6" x14ac:dyDescent="0.25">
      <c r="A3017" t="s">
        <v>3229</v>
      </c>
      <c r="B3017" t="s">
        <v>520</v>
      </c>
      <c r="C3017" t="s">
        <v>176</v>
      </c>
      <c r="D3017" t="str">
        <f>HYPERLINK("http://service.sap.com/sap/support/notes/1841584","1841584")</f>
        <v>1841584</v>
      </c>
      <c r="E3017">
        <v>1</v>
      </c>
      <c r="F3017" t="s">
        <v>3261</v>
      </c>
    </row>
    <row r="3018" spans="1:6" x14ac:dyDescent="0.25">
      <c r="A3018" t="s">
        <v>3229</v>
      </c>
      <c r="B3018" t="s">
        <v>520</v>
      </c>
      <c r="C3018" t="s">
        <v>176</v>
      </c>
      <c r="D3018" t="str">
        <f>HYPERLINK("http://service.sap.com/sap/support/notes/1845529","1845529")</f>
        <v>1845529</v>
      </c>
      <c r="E3018">
        <v>1</v>
      </c>
      <c r="F3018" t="s">
        <v>3262</v>
      </c>
    </row>
    <row r="3019" spans="1:6" x14ac:dyDescent="0.25">
      <c r="A3019" t="s">
        <v>3229</v>
      </c>
      <c r="B3019" t="s">
        <v>40</v>
      </c>
      <c r="C3019" t="s">
        <v>41</v>
      </c>
      <c r="D3019" t="str">
        <f>HYPERLINK("http://service.sap.com/sap/support/notes/700094","700094")</f>
        <v>700094</v>
      </c>
      <c r="E3019">
        <v>8</v>
      </c>
      <c r="F3019" t="s">
        <v>42</v>
      </c>
    </row>
    <row r="3020" spans="1:6" x14ac:dyDescent="0.25">
      <c r="A3020" t="s">
        <v>3229</v>
      </c>
      <c r="B3020" t="s">
        <v>40</v>
      </c>
      <c r="C3020" t="s">
        <v>41</v>
      </c>
      <c r="D3020" t="str">
        <f>HYPERLINK("http://service.sap.com/sap/support/notes/1846658","1846658")</f>
        <v>1846658</v>
      </c>
      <c r="E3020">
        <v>1</v>
      </c>
      <c r="F3020" t="s">
        <v>3263</v>
      </c>
    </row>
    <row r="3021" spans="1:6" x14ac:dyDescent="0.25">
      <c r="A3021" t="s">
        <v>3229</v>
      </c>
      <c r="B3021" t="s">
        <v>40</v>
      </c>
      <c r="C3021" t="s">
        <v>41</v>
      </c>
      <c r="D3021" t="str">
        <f>HYPERLINK("http://service.sap.com/sap/support/notes/1847106","1847106")</f>
        <v>1847106</v>
      </c>
      <c r="E3021">
        <v>1</v>
      </c>
      <c r="F3021" t="s">
        <v>3264</v>
      </c>
    </row>
    <row r="3022" spans="1:6" x14ac:dyDescent="0.25">
      <c r="A3022" t="s">
        <v>3229</v>
      </c>
      <c r="B3022" t="s">
        <v>43</v>
      </c>
      <c r="C3022" t="s">
        <v>521</v>
      </c>
      <c r="D3022" t="str">
        <f>HYPERLINK("http://service.sap.com/sap/support/notes/1839466","1839466")</f>
        <v>1839466</v>
      </c>
      <c r="E3022">
        <v>3</v>
      </c>
      <c r="F3022" t="s">
        <v>3265</v>
      </c>
    </row>
    <row r="3023" spans="1:6" x14ac:dyDescent="0.25">
      <c r="A3023" t="s">
        <v>3229</v>
      </c>
      <c r="B3023" t="s">
        <v>43</v>
      </c>
      <c r="C3023" t="s">
        <v>521</v>
      </c>
      <c r="D3023" t="str">
        <f>HYPERLINK("http://service.sap.com/sap/support/notes/1843237","1843237")</f>
        <v>1843237</v>
      </c>
      <c r="E3023">
        <v>4</v>
      </c>
      <c r="F3023" t="s">
        <v>3266</v>
      </c>
    </row>
    <row r="3024" spans="1:6" x14ac:dyDescent="0.25">
      <c r="A3024" t="s">
        <v>3229</v>
      </c>
      <c r="B3024" t="s">
        <v>43</v>
      </c>
      <c r="C3024" t="s">
        <v>521</v>
      </c>
      <c r="D3024" t="str">
        <f>HYPERLINK("http://service.sap.com/sap/support/notes/1844218","1844218")</f>
        <v>1844218</v>
      </c>
      <c r="E3024">
        <v>2</v>
      </c>
      <c r="F3024" t="s">
        <v>3267</v>
      </c>
    </row>
    <row r="3025" spans="1:6" x14ac:dyDescent="0.25">
      <c r="A3025" t="s">
        <v>3229</v>
      </c>
      <c r="B3025" t="s">
        <v>43</v>
      </c>
      <c r="C3025" t="s">
        <v>521</v>
      </c>
      <c r="D3025" t="str">
        <f>HYPERLINK("http://service.sap.com/sap/support/notes/1844402","1844402")</f>
        <v>1844402</v>
      </c>
      <c r="E3025">
        <v>2</v>
      </c>
      <c r="F3025" t="s">
        <v>3268</v>
      </c>
    </row>
    <row r="3026" spans="1:6" x14ac:dyDescent="0.25">
      <c r="A3026" t="s">
        <v>3229</v>
      </c>
      <c r="B3026" t="s">
        <v>43</v>
      </c>
      <c r="C3026" t="s">
        <v>521</v>
      </c>
      <c r="D3026" t="str">
        <f>HYPERLINK("http://service.sap.com/sap/support/notes/1845805","1845805")</f>
        <v>1845805</v>
      </c>
      <c r="E3026">
        <v>4</v>
      </c>
      <c r="F3026" t="s">
        <v>3269</v>
      </c>
    </row>
    <row r="3027" spans="1:6" x14ac:dyDescent="0.25">
      <c r="A3027" t="s">
        <v>3229</v>
      </c>
      <c r="B3027" t="s">
        <v>43</v>
      </c>
      <c r="C3027" t="s">
        <v>521</v>
      </c>
      <c r="D3027" t="str">
        <f>HYPERLINK("http://service.sap.com/sap/support/notes/1845807","1845807")</f>
        <v>1845807</v>
      </c>
      <c r="E3027">
        <v>3</v>
      </c>
      <c r="F3027" t="s">
        <v>3270</v>
      </c>
    </row>
    <row r="3028" spans="1:6" x14ac:dyDescent="0.25">
      <c r="A3028" t="s">
        <v>3229</v>
      </c>
      <c r="B3028" t="s">
        <v>43</v>
      </c>
      <c r="C3028" t="s">
        <v>521</v>
      </c>
      <c r="D3028" t="str">
        <f>HYPERLINK("http://service.sap.com/sap/support/notes/1847434","1847434")</f>
        <v>1847434</v>
      </c>
      <c r="E3028">
        <v>2</v>
      </c>
      <c r="F3028" t="s">
        <v>3271</v>
      </c>
    </row>
    <row r="3029" spans="1:6" x14ac:dyDescent="0.25">
      <c r="A3029" t="s">
        <v>3229</v>
      </c>
      <c r="B3029" t="s">
        <v>43</v>
      </c>
      <c r="C3029" t="s">
        <v>521</v>
      </c>
      <c r="D3029" t="str">
        <f>HYPERLINK("http://service.sap.com/sap/support/notes/1849032","1849032")</f>
        <v>1849032</v>
      </c>
      <c r="E3029">
        <v>2</v>
      </c>
      <c r="F3029" t="s">
        <v>3272</v>
      </c>
    </row>
    <row r="3030" spans="1:6" x14ac:dyDescent="0.25">
      <c r="A3030" t="s">
        <v>3229</v>
      </c>
      <c r="B3030" t="s">
        <v>522</v>
      </c>
      <c r="C3030" t="s">
        <v>523</v>
      </c>
      <c r="D3030" t="str">
        <f>HYPERLINK("http://service.sap.com/sap/support/notes/1839621","1839621")</f>
        <v>1839621</v>
      </c>
      <c r="E3030">
        <v>2</v>
      </c>
      <c r="F3030" t="s">
        <v>3273</v>
      </c>
    </row>
    <row r="3031" spans="1:6" x14ac:dyDescent="0.25">
      <c r="A3031" t="s">
        <v>3229</v>
      </c>
      <c r="B3031" t="s">
        <v>522</v>
      </c>
      <c r="C3031" t="s">
        <v>523</v>
      </c>
      <c r="D3031" t="str">
        <f>HYPERLINK("http://service.sap.com/sap/support/notes/1848993","1848993")</f>
        <v>1848993</v>
      </c>
      <c r="E3031">
        <v>1</v>
      </c>
      <c r="F3031" t="s">
        <v>3274</v>
      </c>
    </row>
    <row r="3032" spans="1:6" x14ac:dyDescent="0.25">
      <c r="A3032" t="s">
        <v>3229</v>
      </c>
      <c r="B3032" t="s">
        <v>1580</v>
      </c>
      <c r="C3032" t="s">
        <v>307</v>
      </c>
      <c r="D3032" t="str">
        <f>HYPERLINK("http://service.sap.com/sap/support/notes/1838745","1838745")</f>
        <v>1838745</v>
      </c>
      <c r="E3032">
        <v>1</v>
      </c>
      <c r="F3032" t="s">
        <v>3275</v>
      </c>
    </row>
    <row r="3033" spans="1:6" x14ac:dyDescent="0.25">
      <c r="A3033" t="s">
        <v>3229</v>
      </c>
      <c r="B3033" t="s">
        <v>1582</v>
      </c>
      <c r="C3033" t="s">
        <v>314</v>
      </c>
      <c r="D3033" t="str">
        <f>HYPERLINK("http://service.sap.com/sap/support/notes/1846666","1846666")</f>
        <v>1846666</v>
      </c>
      <c r="E3033">
        <v>2</v>
      </c>
      <c r="F3033" t="s">
        <v>3276</v>
      </c>
    </row>
    <row r="3034" spans="1:6" x14ac:dyDescent="0.25">
      <c r="A3034" t="s">
        <v>3229</v>
      </c>
      <c r="B3034" t="s">
        <v>1582</v>
      </c>
      <c r="C3034" t="s">
        <v>314</v>
      </c>
      <c r="D3034" t="str">
        <f>HYPERLINK("http://service.sap.com/sap/support/notes/1848447","1848447")</f>
        <v>1848447</v>
      </c>
      <c r="E3034">
        <v>1</v>
      </c>
      <c r="F3034" t="s">
        <v>3277</v>
      </c>
    </row>
    <row r="3035" spans="1:6" x14ac:dyDescent="0.25">
      <c r="A3035" t="s">
        <v>3229</v>
      </c>
      <c r="B3035" t="s">
        <v>681</v>
      </c>
      <c r="C3035" t="s">
        <v>320</v>
      </c>
      <c r="D3035" t="str">
        <f>HYPERLINK("http://service.sap.com/sap/support/notes/1811606","1811606")</f>
        <v>1811606</v>
      </c>
      <c r="E3035">
        <v>2</v>
      </c>
      <c r="F3035" t="s">
        <v>3278</v>
      </c>
    </row>
    <row r="3036" spans="1:6" x14ac:dyDescent="0.25">
      <c r="A3036" t="s">
        <v>3229</v>
      </c>
      <c r="B3036" t="s">
        <v>47</v>
      </c>
      <c r="C3036" t="s">
        <v>48</v>
      </c>
      <c r="D3036" t="str">
        <f>HYPERLINK("http://service.sap.com/sap/support/notes/1828541","1828541")</f>
        <v>1828541</v>
      </c>
      <c r="E3036">
        <v>1</v>
      </c>
      <c r="F3036" t="s">
        <v>3279</v>
      </c>
    </row>
    <row r="3037" spans="1:6" x14ac:dyDescent="0.25">
      <c r="A3037" t="s">
        <v>3229</v>
      </c>
      <c r="B3037" t="s">
        <v>47</v>
      </c>
      <c r="C3037" t="s">
        <v>48</v>
      </c>
      <c r="D3037" t="str">
        <f>HYPERLINK("http://service.sap.com/sap/support/notes/1840950","1840950")</f>
        <v>1840950</v>
      </c>
      <c r="E3037">
        <v>1</v>
      </c>
      <c r="F3037" t="s">
        <v>3280</v>
      </c>
    </row>
    <row r="3038" spans="1:6" x14ac:dyDescent="0.25">
      <c r="A3038" t="s">
        <v>3229</v>
      </c>
      <c r="B3038" t="s">
        <v>2835</v>
      </c>
      <c r="C3038" t="s">
        <v>3281</v>
      </c>
      <c r="D3038" t="str">
        <f>HYPERLINK("http://service.sap.com/sap/support/notes/1132738","1132738")</f>
        <v>1132738</v>
      </c>
      <c r="E3038">
        <v>1</v>
      </c>
      <c r="F3038" t="s">
        <v>3282</v>
      </c>
    </row>
    <row r="3039" spans="1:6" x14ac:dyDescent="0.25">
      <c r="A3039" t="s">
        <v>3229</v>
      </c>
      <c r="B3039" t="s">
        <v>2835</v>
      </c>
      <c r="C3039" t="s">
        <v>3281</v>
      </c>
      <c r="D3039" t="str">
        <f>HYPERLINK("http://service.sap.com/sap/support/notes/1825042","1825042")</f>
        <v>1825042</v>
      </c>
      <c r="E3039">
        <v>1</v>
      </c>
      <c r="F3039" t="s">
        <v>2837</v>
      </c>
    </row>
    <row r="3040" spans="1:6" x14ac:dyDescent="0.25">
      <c r="A3040" t="s">
        <v>3229</v>
      </c>
      <c r="B3040" t="s">
        <v>524</v>
      </c>
      <c r="C3040" t="s">
        <v>345</v>
      </c>
      <c r="D3040" t="str">
        <f>HYPERLINK("http://service.sap.com/sap/support/notes/1832916","1832916")</f>
        <v>1832916</v>
      </c>
      <c r="E3040">
        <v>2</v>
      </c>
      <c r="F3040" t="s">
        <v>3283</v>
      </c>
    </row>
    <row r="3041" spans="1:6" x14ac:dyDescent="0.25">
      <c r="A3041" t="s">
        <v>3229</v>
      </c>
      <c r="B3041" t="s">
        <v>524</v>
      </c>
      <c r="C3041" t="s">
        <v>345</v>
      </c>
      <c r="D3041" t="str">
        <f>HYPERLINK("http://service.sap.com/sap/support/notes/1839665","1839665")</f>
        <v>1839665</v>
      </c>
      <c r="E3041">
        <v>1</v>
      </c>
      <c r="F3041" t="s">
        <v>3284</v>
      </c>
    </row>
    <row r="3042" spans="1:6" x14ac:dyDescent="0.25">
      <c r="A3042" t="s">
        <v>3229</v>
      </c>
      <c r="B3042" t="s">
        <v>54</v>
      </c>
      <c r="C3042" t="s">
        <v>55</v>
      </c>
      <c r="D3042" t="str">
        <f>HYPERLINK("http://service.sap.com/sap/support/notes/1798802","1798802")</f>
        <v>1798802</v>
      </c>
      <c r="E3042">
        <v>1</v>
      </c>
      <c r="F3042" t="s">
        <v>3285</v>
      </c>
    </row>
    <row r="3043" spans="1:6" x14ac:dyDescent="0.25">
      <c r="A3043" t="s">
        <v>3229</v>
      </c>
      <c r="B3043" t="s">
        <v>54</v>
      </c>
      <c r="C3043" t="s">
        <v>55</v>
      </c>
      <c r="D3043" t="str">
        <f>HYPERLINK("http://service.sap.com/sap/support/notes/1843076","1843076")</f>
        <v>1843076</v>
      </c>
      <c r="E3043">
        <v>2</v>
      </c>
      <c r="F3043" t="s">
        <v>3286</v>
      </c>
    </row>
    <row r="3044" spans="1:6" x14ac:dyDescent="0.25">
      <c r="A3044" t="s">
        <v>3229</v>
      </c>
      <c r="B3044" t="s">
        <v>54</v>
      </c>
      <c r="C3044" t="s">
        <v>55</v>
      </c>
      <c r="D3044" t="str">
        <f>HYPERLINK("http://service.sap.com/sap/support/notes/1844704","1844704")</f>
        <v>1844704</v>
      </c>
      <c r="E3044">
        <v>1</v>
      </c>
      <c r="F3044" t="s">
        <v>3287</v>
      </c>
    </row>
    <row r="3045" spans="1:6" x14ac:dyDescent="0.25">
      <c r="A3045" t="s">
        <v>3229</v>
      </c>
      <c r="B3045" t="s">
        <v>54</v>
      </c>
      <c r="C3045" t="s">
        <v>55</v>
      </c>
      <c r="D3045" t="str">
        <f>HYPERLINK("http://service.sap.com/sap/support/notes/1848960","1848960")</f>
        <v>1848960</v>
      </c>
      <c r="E3045">
        <v>2</v>
      </c>
      <c r="F3045" t="s">
        <v>3288</v>
      </c>
    </row>
    <row r="3046" spans="1:6" x14ac:dyDescent="0.25">
      <c r="A3046" t="s">
        <v>3229</v>
      </c>
      <c r="B3046" t="s">
        <v>526</v>
      </c>
      <c r="C3046" t="s">
        <v>407</v>
      </c>
      <c r="D3046" t="str">
        <f>HYPERLINK("http://service.sap.com/sap/support/notes/1656458","1656458")</f>
        <v>1656458</v>
      </c>
      <c r="E3046">
        <v>2</v>
      </c>
      <c r="F3046" t="s">
        <v>3289</v>
      </c>
    </row>
    <row r="3047" spans="1:6" x14ac:dyDescent="0.25">
      <c r="A3047" t="s">
        <v>3229</v>
      </c>
      <c r="B3047" t="s">
        <v>526</v>
      </c>
      <c r="C3047" t="s">
        <v>407</v>
      </c>
      <c r="D3047" t="str">
        <f>HYPERLINK("http://service.sap.com/sap/support/notes/1845629","1845629")</f>
        <v>1845629</v>
      </c>
      <c r="E3047">
        <v>2</v>
      </c>
      <c r="F3047" t="s">
        <v>3290</v>
      </c>
    </row>
    <row r="3048" spans="1:6" x14ac:dyDescent="0.25">
      <c r="A3048" t="s">
        <v>3229</v>
      </c>
      <c r="B3048" t="s">
        <v>60</v>
      </c>
      <c r="C3048" t="s">
        <v>61</v>
      </c>
      <c r="D3048" t="str">
        <f>HYPERLINK("http://service.sap.com/sap/support/notes/1835344","1835344")</f>
        <v>1835344</v>
      </c>
      <c r="E3048">
        <v>1</v>
      </c>
      <c r="F3048" t="s">
        <v>3291</v>
      </c>
    </row>
    <row r="3049" spans="1:6" x14ac:dyDescent="0.25">
      <c r="A3049" t="s">
        <v>3229</v>
      </c>
      <c r="B3049" t="s">
        <v>63</v>
      </c>
      <c r="C3049" t="s">
        <v>527</v>
      </c>
      <c r="D3049" t="str">
        <f>HYPERLINK("http://service.sap.com/sap/support/notes/1116407","1116407")</f>
        <v>1116407</v>
      </c>
      <c r="E3049">
        <v>145</v>
      </c>
      <c r="F3049" t="s">
        <v>660</v>
      </c>
    </row>
    <row r="3050" spans="1:6" x14ac:dyDescent="0.25">
      <c r="A3050" t="s">
        <v>3229</v>
      </c>
      <c r="B3050" t="s">
        <v>63</v>
      </c>
      <c r="C3050" t="s">
        <v>527</v>
      </c>
      <c r="D3050" t="str">
        <f>HYPERLINK("http://service.sap.com/sap/support/notes/1823379","1823379")</f>
        <v>1823379</v>
      </c>
      <c r="E3050">
        <v>1</v>
      </c>
      <c r="F3050" t="s">
        <v>2400</v>
      </c>
    </row>
    <row r="3051" spans="1:6" x14ac:dyDescent="0.25">
      <c r="A3051" t="s">
        <v>3229</v>
      </c>
      <c r="B3051" t="s">
        <v>63</v>
      </c>
      <c r="C3051" t="s">
        <v>527</v>
      </c>
      <c r="D3051" t="str">
        <f>HYPERLINK("http://service.sap.com/sap/support/notes/1838126","1838126")</f>
        <v>1838126</v>
      </c>
      <c r="E3051">
        <v>3</v>
      </c>
      <c r="F3051" t="s">
        <v>3292</v>
      </c>
    </row>
    <row r="3052" spans="1:6" x14ac:dyDescent="0.25">
      <c r="A3052" t="s">
        <v>3229</v>
      </c>
      <c r="B3052" t="s">
        <v>63</v>
      </c>
      <c r="C3052" t="s">
        <v>527</v>
      </c>
      <c r="D3052" t="str">
        <f>HYPERLINK("http://service.sap.com/sap/support/notes/1838928","1838928")</f>
        <v>1838928</v>
      </c>
      <c r="E3052">
        <v>2</v>
      </c>
      <c r="F3052" t="s">
        <v>3293</v>
      </c>
    </row>
    <row r="3053" spans="1:6" x14ac:dyDescent="0.25">
      <c r="A3053" t="s">
        <v>3229</v>
      </c>
      <c r="B3053" t="s">
        <v>63</v>
      </c>
      <c r="C3053" t="s">
        <v>527</v>
      </c>
      <c r="D3053" t="str">
        <f>HYPERLINK("http://service.sap.com/sap/support/notes/1840604","1840604")</f>
        <v>1840604</v>
      </c>
      <c r="E3053">
        <v>1</v>
      </c>
      <c r="F3053" t="s">
        <v>3294</v>
      </c>
    </row>
    <row r="3054" spans="1:6" x14ac:dyDescent="0.25">
      <c r="A3054" t="s">
        <v>3229</v>
      </c>
      <c r="B3054" t="s">
        <v>63</v>
      </c>
      <c r="C3054" t="s">
        <v>527</v>
      </c>
      <c r="D3054" t="str">
        <f>HYPERLINK("http://service.sap.com/sap/support/notes/1840797","1840797")</f>
        <v>1840797</v>
      </c>
      <c r="E3054">
        <v>1</v>
      </c>
      <c r="F3054" t="s">
        <v>3295</v>
      </c>
    </row>
    <row r="3055" spans="1:6" x14ac:dyDescent="0.25">
      <c r="A3055" t="s">
        <v>3229</v>
      </c>
      <c r="B3055" t="s">
        <v>63</v>
      </c>
      <c r="C3055" t="s">
        <v>527</v>
      </c>
      <c r="D3055" t="str">
        <f>HYPERLINK("http://service.sap.com/sap/support/notes/1841660","1841660")</f>
        <v>1841660</v>
      </c>
      <c r="E3055">
        <v>3</v>
      </c>
      <c r="F3055" t="s">
        <v>3296</v>
      </c>
    </row>
    <row r="3056" spans="1:6" x14ac:dyDescent="0.25">
      <c r="A3056" t="s">
        <v>3229</v>
      </c>
      <c r="B3056" t="s">
        <v>63</v>
      </c>
      <c r="C3056" t="s">
        <v>527</v>
      </c>
      <c r="D3056" t="str">
        <f>HYPERLINK("http://service.sap.com/sap/support/notes/1844907","1844907")</f>
        <v>1844907</v>
      </c>
      <c r="E3056">
        <v>2</v>
      </c>
      <c r="F3056" t="s">
        <v>3297</v>
      </c>
    </row>
    <row r="3057" spans="1:6" x14ac:dyDescent="0.25">
      <c r="A3057" t="s">
        <v>3229</v>
      </c>
      <c r="B3057" t="s">
        <v>63</v>
      </c>
      <c r="C3057" t="s">
        <v>527</v>
      </c>
      <c r="D3057" t="str">
        <f>HYPERLINK("http://service.sap.com/sap/support/notes/1845085","1845085")</f>
        <v>1845085</v>
      </c>
      <c r="E3057">
        <v>1</v>
      </c>
      <c r="F3057" t="s">
        <v>3298</v>
      </c>
    </row>
    <row r="3058" spans="1:6" x14ac:dyDescent="0.25">
      <c r="A3058" t="s">
        <v>3229</v>
      </c>
      <c r="B3058" t="s">
        <v>684</v>
      </c>
      <c r="C3058" t="s">
        <v>451</v>
      </c>
      <c r="D3058" t="str">
        <f>HYPERLINK("http://service.sap.com/sap/support/notes/1838895","1838895")</f>
        <v>1838895</v>
      </c>
      <c r="E3058">
        <v>1</v>
      </c>
      <c r="F3058" t="s">
        <v>3299</v>
      </c>
    </row>
    <row r="3059" spans="1:6" x14ac:dyDescent="0.25">
      <c r="A3059" t="s">
        <v>3229</v>
      </c>
      <c r="B3059" t="s">
        <v>73</v>
      </c>
      <c r="C3059" t="s">
        <v>74</v>
      </c>
      <c r="D3059" t="str">
        <f>HYPERLINK("http://service.sap.com/sap/support/notes/1845056","1845056")</f>
        <v>1845056</v>
      </c>
      <c r="E3059">
        <v>1</v>
      </c>
      <c r="F3059" t="s">
        <v>3300</v>
      </c>
    </row>
    <row r="3060" spans="1:6" x14ac:dyDescent="0.25">
      <c r="A3060" t="s">
        <v>3229</v>
      </c>
      <c r="B3060" t="s">
        <v>529</v>
      </c>
      <c r="C3060" t="s">
        <v>530</v>
      </c>
      <c r="D3060" t="str">
        <f>HYPERLINK("http://service.sap.com/sap/support/notes/1662746","1662746")</f>
        <v>1662746</v>
      </c>
      <c r="E3060">
        <v>2</v>
      </c>
      <c r="F3060" t="s">
        <v>3301</v>
      </c>
    </row>
    <row r="3061" spans="1:6" x14ac:dyDescent="0.25">
      <c r="A3061" t="s">
        <v>3229</v>
      </c>
      <c r="B3061" t="s">
        <v>529</v>
      </c>
      <c r="C3061" t="s">
        <v>530</v>
      </c>
      <c r="D3061" t="str">
        <f>HYPERLINK("http://service.sap.com/sap/support/notes/1690773","1690773")</f>
        <v>1690773</v>
      </c>
      <c r="E3061">
        <v>3</v>
      </c>
      <c r="F3061" t="s">
        <v>3302</v>
      </c>
    </row>
    <row r="3062" spans="1:6" x14ac:dyDescent="0.25">
      <c r="A3062" t="s">
        <v>3229</v>
      </c>
      <c r="B3062" t="s">
        <v>529</v>
      </c>
      <c r="C3062" t="s">
        <v>530</v>
      </c>
      <c r="D3062" t="str">
        <f>HYPERLINK("http://service.sap.com/sap/support/notes/1720248","1720248")</f>
        <v>1720248</v>
      </c>
      <c r="E3062">
        <v>2</v>
      </c>
      <c r="F3062" t="s">
        <v>3303</v>
      </c>
    </row>
    <row r="3063" spans="1:6" x14ac:dyDescent="0.25">
      <c r="A3063" t="s">
        <v>3229</v>
      </c>
      <c r="B3063" t="s">
        <v>529</v>
      </c>
      <c r="C3063" t="s">
        <v>530</v>
      </c>
      <c r="D3063" t="str">
        <f>HYPERLINK("http://service.sap.com/sap/support/notes/1750983","1750983")</f>
        <v>1750983</v>
      </c>
      <c r="E3063">
        <v>1</v>
      </c>
      <c r="F3063" t="s">
        <v>3303</v>
      </c>
    </row>
    <row r="3064" spans="1:6" x14ac:dyDescent="0.25">
      <c r="A3064" t="s">
        <v>3229</v>
      </c>
      <c r="B3064" t="s">
        <v>529</v>
      </c>
      <c r="C3064" t="s">
        <v>530</v>
      </c>
      <c r="D3064" t="str">
        <f>HYPERLINK("http://service.sap.com/sap/support/notes/1751985","1751985")</f>
        <v>1751985</v>
      </c>
      <c r="E3064">
        <v>2</v>
      </c>
      <c r="F3064" t="s">
        <v>3304</v>
      </c>
    </row>
    <row r="3065" spans="1:6" x14ac:dyDescent="0.25">
      <c r="A3065" t="s">
        <v>3229</v>
      </c>
      <c r="B3065" t="s">
        <v>531</v>
      </c>
      <c r="C3065" t="s">
        <v>532</v>
      </c>
      <c r="D3065" t="str">
        <f>HYPERLINK("http://service.sap.com/sap/support/notes/1008585","1008585")</f>
        <v>1008585</v>
      </c>
      <c r="E3065">
        <v>1</v>
      </c>
      <c r="F3065" t="s">
        <v>3305</v>
      </c>
    </row>
    <row r="3066" spans="1:6" x14ac:dyDescent="0.25">
      <c r="A3066" t="s">
        <v>3229</v>
      </c>
      <c r="B3066" t="s">
        <v>531</v>
      </c>
      <c r="C3066" t="s">
        <v>532</v>
      </c>
      <c r="D3066" t="str">
        <f>HYPERLINK("http://service.sap.com/sap/support/notes/1346640","1346640")</f>
        <v>1346640</v>
      </c>
      <c r="E3066">
        <v>4</v>
      </c>
      <c r="F3066" t="s">
        <v>3306</v>
      </c>
    </row>
    <row r="3067" spans="1:6" x14ac:dyDescent="0.25">
      <c r="A3067" t="s">
        <v>3229</v>
      </c>
      <c r="B3067" t="s">
        <v>531</v>
      </c>
      <c r="C3067" t="s">
        <v>532</v>
      </c>
      <c r="D3067" t="str">
        <f>HYPERLINK("http://service.sap.com/sap/support/notes/1736519","1736519")</f>
        <v>1736519</v>
      </c>
      <c r="E3067">
        <v>1</v>
      </c>
      <c r="F3067" t="s">
        <v>3307</v>
      </c>
    </row>
    <row r="3068" spans="1:6" x14ac:dyDescent="0.25">
      <c r="A3068" t="s">
        <v>3229</v>
      </c>
      <c r="B3068" t="s">
        <v>531</v>
      </c>
      <c r="C3068" t="s">
        <v>532</v>
      </c>
      <c r="D3068" t="str">
        <f>HYPERLINK("http://service.sap.com/sap/support/notes/1772146","1772146")</f>
        <v>1772146</v>
      </c>
      <c r="E3068">
        <v>7</v>
      </c>
      <c r="F3068" t="s">
        <v>3308</v>
      </c>
    </row>
    <row r="3069" spans="1:6" x14ac:dyDescent="0.25">
      <c r="A3069" t="s">
        <v>3229</v>
      </c>
      <c r="B3069" t="s">
        <v>531</v>
      </c>
      <c r="C3069" t="s">
        <v>532</v>
      </c>
      <c r="D3069" t="str">
        <f>HYPERLINK("http://service.sap.com/sap/support/notes/1782028","1782028")</f>
        <v>1782028</v>
      </c>
      <c r="E3069">
        <v>1</v>
      </c>
      <c r="F3069" t="s">
        <v>3309</v>
      </c>
    </row>
    <row r="3070" spans="1:6" x14ac:dyDescent="0.25">
      <c r="A3070" t="s">
        <v>3229</v>
      </c>
      <c r="B3070" t="s">
        <v>531</v>
      </c>
      <c r="C3070" t="s">
        <v>532</v>
      </c>
      <c r="D3070" t="str">
        <f>HYPERLINK("http://service.sap.com/sap/support/notes/1784384","1784384")</f>
        <v>1784384</v>
      </c>
      <c r="E3070">
        <v>4</v>
      </c>
      <c r="F3070" t="s">
        <v>3310</v>
      </c>
    </row>
    <row r="3071" spans="1:6" x14ac:dyDescent="0.25">
      <c r="A3071" t="s">
        <v>3229</v>
      </c>
      <c r="B3071" t="s">
        <v>531</v>
      </c>
      <c r="C3071" t="s">
        <v>532</v>
      </c>
      <c r="D3071" t="str">
        <f>HYPERLINK("http://service.sap.com/sap/support/notes/1784994","1784994")</f>
        <v>1784994</v>
      </c>
      <c r="E3071">
        <v>5</v>
      </c>
      <c r="F3071" t="s">
        <v>3311</v>
      </c>
    </row>
    <row r="3072" spans="1:6" x14ac:dyDescent="0.25">
      <c r="A3072" t="s">
        <v>3229</v>
      </c>
      <c r="B3072" t="s">
        <v>531</v>
      </c>
      <c r="C3072" t="s">
        <v>532</v>
      </c>
      <c r="D3072" t="str">
        <f>HYPERLINK("http://service.sap.com/sap/support/notes/1791319","1791319")</f>
        <v>1791319</v>
      </c>
      <c r="E3072">
        <v>4</v>
      </c>
      <c r="F3072" t="s">
        <v>3312</v>
      </c>
    </row>
    <row r="3073" spans="1:6" x14ac:dyDescent="0.25">
      <c r="A3073" t="s">
        <v>3229</v>
      </c>
      <c r="B3073" t="s">
        <v>531</v>
      </c>
      <c r="C3073" t="s">
        <v>532</v>
      </c>
      <c r="D3073" t="str">
        <f>HYPERLINK("http://service.sap.com/sap/support/notes/1791986","1791986")</f>
        <v>1791986</v>
      </c>
      <c r="E3073">
        <v>1</v>
      </c>
      <c r="F3073" t="s">
        <v>3313</v>
      </c>
    </row>
    <row r="3074" spans="1:6" x14ac:dyDescent="0.25">
      <c r="A3074" t="s">
        <v>3229</v>
      </c>
      <c r="B3074" t="s">
        <v>531</v>
      </c>
      <c r="C3074" t="s">
        <v>532</v>
      </c>
      <c r="D3074" t="str">
        <f>HYPERLINK("http://service.sap.com/sap/support/notes/1792437","1792437")</f>
        <v>1792437</v>
      </c>
      <c r="E3074">
        <v>1</v>
      </c>
      <c r="F3074" t="s">
        <v>3314</v>
      </c>
    </row>
    <row r="3075" spans="1:6" x14ac:dyDescent="0.25">
      <c r="A3075" t="s">
        <v>3229</v>
      </c>
      <c r="B3075" t="s">
        <v>531</v>
      </c>
      <c r="C3075" t="s">
        <v>532</v>
      </c>
      <c r="D3075" t="str">
        <f>HYPERLINK("http://service.sap.com/sap/support/notes/1792438","1792438")</f>
        <v>1792438</v>
      </c>
      <c r="E3075">
        <v>1</v>
      </c>
      <c r="F3075" t="s">
        <v>3315</v>
      </c>
    </row>
    <row r="3076" spans="1:6" x14ac:dyDescent="0.25">
      <c r="A3076" t="s">
        <v>3229</v>
      </c>
      <c r="B3076" t="s">
        <v>531</v>
      </c>
      <c r="C3076" t="s">
        <v>532</v>
      </c>
      <c r="D3076" t="str">
        <f>HYPERLINK("http://service.sap.com/sap/support/notes/1792662","1792662")</f>
        <v>1792662</v>
      </c>
      <c r="E3076">
        <v>1</v>
      </c>
      <c r="F3076" t="s">
        <v>3316</v>
      </c>
    </row>
    <row r="3077" spans="1:6" x14ac:dyDescent="0.25">
      <c r="A3077" t="s">
        <v>3229</v>
      </c>
      <c r="B3077" t="s">
        <v>531</v>
      </c>
      <c r="C3077" t="s">
        <v>532</v>
      </c>
      <c r="D3077" t="str">
        <f>HYPERLINK("http://service.sap.com/sap/support/notes/1793392","1793392")</f>
        <v>1793392</v>
      </c>
      <c r="E3077">
        <v>1</v>
      </c>
      <c r="F3077" t="s">
        <v>3317</v>
      </c>
    </row>
    <row r="3078" spans="1:6" x14ac:dyDescent="0.25">
      <c r="A3078" t="s">
        <v>3229</v>
      </c>
      <c r="B3078" t="s">
        <v>531</v>
      </c>
      <c r="C3078" t="s">
        <v>532</v>
      </c>
      <c r="D3078" t="str">
        <f>HYPERLINK("http://service.sap.com/sap/support/notes/1793978","1793978")</f>
        <v>1793978</v>
      </c>
      <c r="E3078">
        <v>2</v>
      </c>
      <c r="F3078" t="s">
        <v>2848</v>
      </c>
    </row>
    <row r="3079" spans="1:6" x14ac:dyDescent="0.25">
      <c r="A3079" t="s">
        <v>3229</v>
      </c>
      <c r="B3079" t="s">
        <v>531</v>
      </c>
      <c r="C3079" t="s">
        <v>532</v>
      </c>
      <c r="D3079" t="str">
        <f>HYPERLINK("http://service.sap.com/sap/support/notes/1794411","1794411")</f>
        <v>1794411</v>
      </c>
      <c r="E3079">
        <v>1</v>
      </c>
      <c r="F3079" t="s">
        <v>3318</v>
      </c>
    </row>
    <row r="3080" spans="1:6" x14ac:dyDescent="0.25">
      <c r="A3080" t="s">
        <v>3229</v>
      </c>
      <c r="B3080" t="s">
        <v>531</v>
      </c>
      <c r="C3080" t="s">
        <v>532</v>
      </c>
      <c r="D3080" t="str">
        <f>HYPERLINK("http://service.sap.com/sap/support/notes/1794486","1794486")</f>
        <v>1794486</v>
      </c>
      <c r="E3080">
        <v>1</v>
      </c>
      <c r="F3080" t="s">
        <v>3319</v>
      </c>
    </row>
    <row r="3081" spans="1:6" x14ac:dyDescent="0.25">
      <c r="A3081" t="s">
        <v>3229</v>
      </c>
      <c r="B3081" t="s">
        <v>531</v>
      </c>
      <c r="C3081" t="s">
        <v>532</v>
      </c>
      <c r="D3081" t="str">
        <f>HYPERLINK("http://service.sap.com/sap/support/notes/1797465","1797465")</f>
        <v>1797465</v>
      </c>
      <c r="E3081">
        <v>1</v>
      </c>
      <c r="F3081" t="s">
        <v>3320</v>
      </c>
    </row>
    <row r="3082" spans="1:6" x14ac:dyDescent="0.25">
      <c r="A3082" t="s">
        <v>3229</v>
      </c>
      <c r="B3082" t="s">
        <v>531</v>
      </c>
      <c r="C3082" t="s">
        <v>532</v>
      </c>
      <c r="D3082" t="str">
        <f>HYPERLINK("http://service.sap.com/sap/support/notes/1800090","1800090")</f>
        <v>1800090</v>
      </c>
      <c r="E3082">
        <v>1</v>
      </c>
      <c r="F3082" t="s">
        <v>3321</v>
      </c>
    </row>
    <row r="3083" spans="1:6" x14ac:dyDescent="0.25">
      <c r="A3083" t="s">
        <v>3229</v>
      </c>
      <c r="B3083" t="s">
        <v>531</v>
      </c>
      <c r="C3083" t="s">
        <v>532</v>
      </c>
      <c r="D3083" t="str">
        <f>HYPERLINK("http://service.sap.com/sap/support/notes/1801001","1801001")</f>
        <v>1801001</v>
      </c>
      <c r="E3083">
        <v>1</v>
      </c>
      <c r="F3083" t="s">
        <v>3322</v>
      </c>
    </row>
    <row r="3084" spans="1:6" x14ac:dyDescent="0.25">
      <c r="A3084" t="s">
        <v>3229</v>
      </c>
      <c r="B3084" t="s">
        <v>531</v>
      </c>
      <c r="C3084" t="s">
        <v>532</v>
      </c>
      <c r="D3084" t="str">
        <f>HYPERLINK("http://service.sap.com/sap/support/notes/1801868","1801868")</f>
        <v>1801868</v>
      </c>
      <c r="E3084">
        <v>3</v>
      </c>
      <c r="F3084" t="s">
        <v>3323</v>
      </c>
    </row>
    <row r="3085" spans="1:6" x14ac:dyDescent="0.25">
      <c r="A3085" t="s">
        <v>3229</v>
      </c>
      <c r="B3085" t="s">
        <v>531</v>
      </c>
      <c r="C3085" t="s">
        <v>532</v>
      </c>
      <c r="D3085" t="str">
        <f>HYPERLINK("http://service.sap.com/sap/support/notes/1802029","1802029")</f>
        <v>1802029</v>
      </c>
      <c r="E3085">
        <v>2</v>
      </c>
      <c r="F3085" t="s">
        <v>3324</v>
      </c>
    </row>
    <row r="3086" spans="1:6" x14ac:dyDescent="0.25">
      <c r="A3086" t="s">
        <v>3229</v>
      </c>
      <c r="B3086" t="s">
        <v>531</v>
      </c>
      <c r="C3086" t="s">
        <v>532</v>
      </c>
      <c r="D3086" t="str">
        <f>HYPERLINK("http://service.sap.com/sap/support/notes/1803207","1803207")</f>
        <v>1803207</v>
      </c>
      <c r="E3086">
        <v>2</v>
      </c>
      <c r="F3086" t="s">
        <v>3325</v>
      </c>
    </row>
    <row r="3087" spans="1:6" x14ac:dyDescent="0.25">
      <c r="A3087" t="s">
        <v>3229</v>
      </c>
      <c r="B3087" t="s">
        <v>531</v>
      </c>
      <c r="C3087" t="s">
        <v>532</v>
      </c>
      <c r="D3087" t="str">
        <f>HYPERLINK("http://service.sap.com/sap/support/notes/1803560","1803560")</f>
        <v>1803560</v>
      </c>
      <c r="E3087">
        <v>2</v>
      </c>
      <c r="F3087" t="s">
        <v>3326</v>
      </c>
    </row>
    <row r="3088" spans="1:6" x14ac:dyDescent="0.25">
      <c r="A3088" t="s">
        <v>3229</v>
      </c>
      <c r="B3088" t="s">
        <v>531</v>
      </c>
      <c r="C3088" t="s">
        <v>532</v>
      </c>
      <c r="D3088" t="str">
        <f>HYPERLINK("http://service.sap.com/sap/support/notes/1807301","1807301")</f>
        <v>1807301</v>
      </c>
      <c r="E3088">
        <v>1</v>
      </c>
      <c r="F3088" t="s">
        <v>3327</v>
      </c>
    </row>
    <row r="3089" spans="1:6" x14ac:dyDescent="0.25">
      <c r="A3089" t="s">
        <v>3229</v>
      </c>
      <c r="B3089" t="s">
        <v>531</v>
      </c>
      <c r="C3089" t="s">
        <v>532</v>
      </c>
      <c r="D3089" t="str">
        <f>HYPERLINK("http://service.sap.com/sap/support/notes/1807687","1807687")</f>
        <v>1807687</v>
      </c>
      <c r="E3089">
        <v>1</v>
      </c>
      <c r="F3089" t="s">
        <v>3328</v>
      </c>
    </row>
    <row r="3090" spans="1:6" x14ac:dyDescent="0.25">
      <c r="A3090" t="s">
        <v>3229</v>
      </c>
      <c r="B3090" t="s">
        <v>531</v>
      </c>
      <c r="C3090" t="s">
        <v>532</v>
      </c>
      <c r="D3090" t="str">
        <f>HYPERLINK("http://service.sap.com/sap/support/notes/1808289","1808289")</f>
        <v>1808289</v>
      </c>
      <c r="E3090">
        <v>1</v>
      </c>
      <c r="F3090" t="s">
        <v>3329</v>
      </c>
    </row>
    <row r="3091" spans="1:6" x14ac:dyDescent="0.25">
      <c r="A3091" t="s">
        <v>3229</v>
      </c>
      <c r="B3091" t="s">
        <v>531</v>
      </c>
      <c r="C3091" t="s">
        <v>532</v>
      </c>
      <c r="D3091" t="str">
        <f>HYPERLINK("http://service.sap.com/sap/support/notes/1809162","1809162")</f>
        <v>1809162</v>
      </c>
      <c r="E3091">
        <v>2</v>
      </c>
      <c r="F3091" t="s">
        <v>3330</v>
      </c>
    </row>
    <row r="3092" spans="1:6" x14ac:dyDescent="0.25">
      <c r="A3092" t="s">
        <v>3229</v>
      </c>
      <c r="B3092" t="s">
        <v>531</v>
      </c>
      <c r="C3092" t="s">
        <v>532</v>
      </c>
      <c r="D3092" t="str">
        <f>HYPERLINK("http://service.sap.com/sap/support/notes/1809541","1809541")</f>
        <v>1809541</v>
      </c>
      <c r="E3092">
        <v>3</v>
      </c>
      <c r="F3092" t="s">
        <v>3331</v>
      </c>
    </row>
    <row r="3093" spans="1:6" x14ac:dyDescent="0.25">
      <c r="A3093" t="s">
        <v>3229</v>
      </c>
      <c r="B3093" t="s">
        <v>531</v>
      </c>
      <c r="C3093" t="s">
        <v>532</v>
      </c>
      <c r="D3093" t="str">
        <f>HYPERLINK("http://service.sap.com/sap/support/notes/1812210","1812210")</f>
        <v>1812210</v>
      </c>
      <c r="E3093">
        <v>2</v>
      </c>
      <c r="F3093" t="s">
        <v>3332</v>
      </c>
    </row>
    <row r="3094" spans="1:6" x14ac:dyDescent="0.25">
      <c r="A3094" t="s">
        <v>3229</v>
      </c>
      <c r="B3094" t="s">
        <v>531</v>
      </c>
      <c r="C3094" t="s">
        <v>532</v>
      </c>
      <c r="D3094" t="str">
        <f>HYPERLINK("http://service.sap.com/sap/support/notes/1813367","1813367")</f>
        <v>1813367</v>
      </c>
      <c r="E3094">
        <v>4</v>
      </c>
      <c r="F3094" t="s">
        <v>3333</v>
      </c>
    </row>
    <row r="3095" spans="1:6" x14ac:dyDescent="0.25">
      <c r="A3095" t="s">
        <v>3229</v>
      </c>
      <c r="B3095" t="s">
        <v>531</v>
      </c>
      <c r="C3095" t="s">
        <v>532</v>
      </c>
      <c r="D3095" t="str">
        <f>HYPERLINK("http://service.sap.com/sap/support/notes/1814498","1814498")</f>
        <v>1814498</v>
      </c>
      <c r="E3095">
        <v>1</v>
      </c>
      <c r="F3095" t="s">
        <v>3334</v>
      </c>
    </row>
    <row r="3096" spans="1:6" x14ac:dyDescent="0.25">
      <c r="A3096" t="s">
        <v>3229</v>
      </c>
      <c r="B3096" t="s">
        <v>531</v>
      </c>
      <c r="C3096" t="s">
        <v>532</v>
      </c>
      <c r="D3096" t="str">
        <f>HYPERLINK("http://service.sap.com/sap/support/notes/1814879","1814879")</f>
        <v>1814879</v>
      </c>
      <c r="E3096">
        <v>2</v>
      </c>
      <c r="F3096" t="s">
        <v>3335</v>
      </c>
    </row>
    <row r="3097" spans="1:6" x14ac:dyDescent="0.25">
      <c r="A3097" t="s">
        <v>3229</v>
      </c>
      <c r="B3097" t="s">
        <v>531</v>
      </c>
      <c r="C3097" t="s">
        <v>532</v>
      </c>
      <c r="D3097" t="str">
        <f>HYPERLINK("http://service.sap.com/sap/support/notes/1816460","1816460")</f>
        <v>1816460</v>
      </c>
      <c r="E3097">
        <v>1</v>
      </c>
      <c r="F3097" t="s">
        <v>3336</v>
      </c>
    </row>
    <row r="3098" spans="1:6" x14ac:dyDescent="0.25">
      <c r="A3098" t="s">
        <v>3229</v>
      </c>
      <c r="B3098" t="s">
        <v>531</v>
      </c>
      <c r="C3098" t="s">
        <v>532</v>
      </c>
      <c r="D3098" t="str">
        <f>HYPERLINK("http://service.sap.com/sap/support/notes/1816961","1816961")</f>
        <v>1816961</v>
      </c>
      <c r="E3098">
        <v>1</v>
      </c>
      <c r="F3098" t="s">
        <v>3337</v>
      </c>
    </row>
    <row r="3099" spans="1:6" x14ac:dyDescent="0.25">
      <c r="A3099" t="s">
        <v>3229</v>
      </c>
      <c r="B3099" t="s">
        <v>531</v>
      </c>
      <c r="C3099" t="s">
        <v>532</v>
      </c>
      <c r="D3099" t="str">
        <f>HYPERLINK("http://service.sap.com/sap/support/notes/1817462","1817462")</f>
        <v>1817462</v>
      </c>
      <c r="E3099">
        <v>1</v>
      </c>
      <c r="F3099" t="s">
        <v>3338</v>
      </c>
    </row>
    <row r="3100" spans="1:6" x14ac:dyDescent="0.25">
      <c r="A3100" t="s">
        <v>3229</v>
      </c>
      <c r="B3100" t="s">
        <v>531</v>
      </c>
      <c r="C3100" t="s">
        <v>532</v>
      </c>
      <c r="D3100" t="str">
        <f>HYPERLINK("http://service.sap.com/sap/support/notes/1817569","1817569")</f>
        <v>1817569</v>
      </c>
      <c r="E3100">
        <v>2</v>
      </c>
      <c r="F3100" t="s">
        <v>3339</v>
      </c>
    </row>
    <row r="3101" spans="1:6" x14ac:dyDescent="0.25">
      <c r="A3101" t="s">
        <v>3229</v>
      </c>
      <c r="B3101" t="s">
        <v>531</v>
      </c>
      <c r="C3101" t="s">
        <v>532</v>
      </c>
      <c r="D3101" t="str">
        <f>HYPERLINK("http://service.sap.com/sap/support/notes/1821274","1821274")</f>
        <v>1821274</v>
      </c>
      <c r="E3101">
        <v>2</v>
      </c>
      <c r="F3101" t="s">
        <v>3340</v>
      </c>
    </row>
    <row r="3102" spans="1:6" x14ac:dyDescent="0.25">
      <c r="A3102" t="s">
        <v>3229</v>
      </c>
      <c r="B3102" t="s">
        <v>531</v>
      </c>
      <c r="C3102" t="s">
        <v>532</v>
      </c>
      <c r="D3102" t="str">
        <f>HYPERLINK("http://service.sap.com/sap/support/notes/1822527","1822527")</f>
        <v>1822527</v>
      </c>
      <c r="E3102">
        <v>1</v>
      </c>
      <c r="F3102" t="s">
        <v>3341</v>
      </c>
    </row>
    <row r="3103" spans="1:6" x14ac:dyDescent="0.25">
      <c r="A3103" t="s">
        <v>3229</v>
      </c>
      <c r="B3103" t="s">
        <v>531</v>
      </c>
      <c r="C3103" t="s">
        <v>532</v>
      </c>
      <c r="D3103" t="str">
        <f>HYPERLINK("http://service.sap.com/sap/support/notes/1823372","1823372")</f>
        <v>1823372</v>
      </c>
      <c r="E3103">
        <v>2</v>
      </c>
      <c r="F3103" t="s">
        <v>3342</v>
      </c>
    </row>
    <row r="3104" spans="1:6" x14ac:dyDescent="0.25">
      <c r="A3104" t="s">
        <v>3229</v>
      </c>
      <c r="B3104" t="s">
        <v>531</v>
      </c>
      <c r="C3104" t="s">
        <v>532</v>
      </c>
      <c r="D3104" t="str">
        <f>HYPERLINK("http://service.sap.com/sap/support/notes/1824024","1824024")</f>
        <v>1824024</v>
      </c>
      <c r="E3104">
        <v>2</v>
      </c>
      <c r="F3104" t="s">
        <v>3343</v>
      </c>
    </row>
    <row r="3105" spans="1:6" x14ac:dyDescent="0.25">
      <c r="A3105" t="s">
        <v>3229</v>
      </c>
      <c r="B3105" t="s">
        <v>531</v>
      </c>
      <c r="C3105" t="s">
        <v>532</v>
      </c>
      <c r="D3105" t="str">
        <f>HYPERLINK("http://service.sap.com/sap/support/notes/1824138","1824138")</f>
        <v>1824138</v>
      </c>
      <c r="E3105">
        <v>1</v>
      </c>
      <c r="F3105" t="s">
        <v>3344</v>
      </c>
    </row>
    <row r="3106" spans="1:6" x14ac:dyDescent="0.25">
      <c r="A3106" t="s">
        <v>3229</v>
      </c>
      <c r="B3106" t="s">
        <v>531</v>
      </c>
      <c r="C3106" t="s">
        <v>532</v>
      </c>
      <c r="D3106" t="str">
        <f>HYPERLINK("http://service.sap.com/sap/support/notes/1824390","1824390")</f>
        <v>1824390</v>
      </c>
      <c r="E3106">
        <v>1</v>
      </c>
      <c r="F3106" t="s">
        <v>3345</v>
      </c>
    </row>
    <row r="3107" spans="1:6" x14ac:dyDescent="0.25">
      <c r="A3107" t="s">
        <v>3229</v>
      </c>
      <c r="B3107" t="s">
        <v>531</v>
      </c>
      <c r="C3107" t="s">
        <v>532</v>
      </c>
      <c r="D3107" t="str">
        <f>HYPERLINK("http://service.sap.com/sap/support/notes/1825647","1825647")</f>
        <v>1825647</v>
      </c>
      <c r="E3107">
        <v>1</v>
      </c>
      <c r="F3107" t="s">
        <v>3346</v>
      </c>
    </row>
    <row r="3108" spans="1:6" x14ac:dyDescent="0.25">
      <c r="A3108" t="s">
        <v>3229</v>
      </c>
      <c r="B3108" t="s">
        <v>531</v>
      </c>
      <c r="C3108" t="s">
        <v>532</v>
      </c>
      <c r="D3108" t="str">
        <f>HYPERLINK("http://service.sap.com/sap/support/notes/1826356","1826356")</f>
        <v>1826356</v>
      </c>
      <c r="E3108">
        <v>1</v>
      </c>
      <c r="F3108" t="s">
        <v>3347</v>
      </c>
    </row>
    <row r="3109" spans="1:6" x14ac:dyDescent="0.25">
      <c r="A3109" t="s">
        <v>3229</v>
      </c>
      <c r="B3109" t="s">
        <v>531</v>
      </c>
      <c r="C3109" t="s">
        <v>532</v>
      </c>
      <c r="D3109" t="str">
        <f>HYPERLINK("http://service.sap.com/sap/support/notes/1827050","1827050")</f>
        <v>1827050</v>
      </c>
      <c r="E3109">
        <v>1</v>
      </c>
      <c r="F3109" t="s">
        <v>3348</v>
      </c>
    </row>
    <row r="3110" spans="1:6" x14ac:dyDescent="0.25">
      <c r="A3110" t="s">
        <v>3229</v>
      </c>
      <c r="B3110" t="s">
        <v>531</v>
      </c>
      <c r="C3110" t="s">
        <v>532</v>
      </c>
      <c r="D3110" t="str">
        <f>HYPERLINK("http://service.sap.com/sap/support/notes/1827511","1827511")</f>
        <v>1827511</v>
      </c>
      <c r="E3110">
        <v>1</v>
      </c>
      <c r="F3110" t="s">
        <v>3349</v>
      </c>
    </row>
    <row r="3111" spans="1:6" x14ac:dyDescent="0.25">
      <c r="A3111" t="s">
        <v>3229</v>
      </c>
      <c r="B3111" t="s">
        <v>531</v>
      </c>
      <c r="C3111" t="s">
        <v>532</v>
      </c>
      <c r="D3111" t="str">
        <f>HYPERLINK("http://service.sap.com/sap/support/notes/1829733","1829733")</f>
        <v>1829733</v>
      </c>
      <c r="E3111">
        <v>1</v>
      </c>
      <c r="F3111" t="s">
        <v>3350</v>
      </c>
    </row>
    <row r="3112" spans="1:6" x14ac:dyDescent="0.25">
      <c r="A3112" t="s">
        <v>3229</v>
      </c>
      <c r="B3112" t="s">
        <v>531</v>
      </c>
      <c r="C3112" t="s">
        <v>532</v>
      </c>
      <c r="D3112" t="str">
        <f>HYPERLINK("http://service.sap.com/sap/support/notes/1830256","1830256")</f>
        <v>1830256</v>
      </c>
      <c r="E3112">
        <v>1</v>
      </c>
      <c r="F3112" t="s">
        <v>3351</v>
      </c>
    </row>
    <row r="3113" spans="1:6" x14ac:dyDescent="0.25">
      <c r="A3113" t="s">
        <v>3229</v>
      </c>
      <c r="B3113" t="s">
        <v>531</v>
      </c>
      <c r="C3113" t="s">
        <v>532</v>
      </c>
      <c r="D3113" t="str">
        <f>HYPERLINK("http://service.sap.com/sap/support/notes/1832072","1832072")</f>
        <v>1832072</v>
      </c>
      <c r="E3113">
        <v>1</v>
      </c>
      <c r="F3113" t="s">
        <v>3352</v>
      </c>
    </row>
    <row r="3114" spans="1:6" x14ac:dyDescent="0.25">
      <c r="A3114" t="s">
        <v>3229</v>
      </c>
      <c r="B3114" t="s">
        <v>531</v>
      </c>
      <c r="C3114" t="s">
        <v>532</v>
      </c>
      <c r="D3114" t="str">
        <f>HYPERLINK("http://service.sap.com/sap/support/notes/1832575","1832575")</f>
        <v>1832575</v>
      </c>
      <c r="E3114">
        <v>2</v>
      </c>
      <c r="F3114" t="s">
        <v>3353</v>
      </c>
    </row>
    <row r="3115" spans="1:6" x14ac:dyDescent="0.25">
      <c r="A3115" t="s">
        <v>3229</v>
      </c>
      <c r="B3115" t="s">
        <v>531</v>
      </c>
      <c r="C3115" t="s">
        <v>532</v>
      </c>
      <c r="D3115" t="str">
        <f>HYPERLINK("http://service.sap.com/sap/support/notes/1832610","1832610")</f>
        <v>1832610</v>
      </c>
      <c r="E3115">
        <v>1</v>
      </c>
      <c r="F3115" t="s">
        <v>3354</v>
      </c>
    </row>
    <row r="3116" spans="1:6" x14ac:dyDescent="0.25">
      <c r="A3116" t="s">
        <v>3229</v>
      </c>
      <c r="B3116" t="s">
        <v>531</v>
      </c>
      <c r="C3116" t="s">
        <v>532</v>
      </c>
      <c r="D3116" t="str">
        <f>HYPERLINK("http://service.sap.com/sap/support/notes/1833218","1833218")</f>
        <v>1833218</v>
      </c>
      <c r="E3116">
        <v>1</v>
      </c>
      <c r="F3116" t="s">
        <v>3355</v>
      </c>
    </row>
    <row r="3117" spans="1:6" x14ac:dyDescent="0.25">
      <c r="A3117" t="s">
        <v>3229</v>
      </c>
      <c r="B3117" t="s">
        <v>531</v>
      </c>
      <c r="C3117" t="s">
        <v>532</v>
      </c>
      <c r="D3117" t="str">
        <f>HYPERLINK("http://service.sap.com/sap/support/notes/1835481","1835481")</f>
        <v>1835481</v>
      </c>
      <c r="E3117">
        <v>2</v>
      </c>
      <c r="F3117" t="s">
        <v>3356</v>
      </c>
    </row>
    <row r="3118" spans="1:6" x14ac:dyDescent="0.25">
      <c r="A3118" t="s">
        <v>3229</v>
      </c>
      <c r="B3118" t="s">
        <v>531</v>
      </c>
      <c r="C3118" t="s">
        <v>532</v>
      </c>
      <c r="D3118" t="str">
        <f>HYPERLINK("http://service.sap.com/sap/support/notes/1835716","1835716")</f>
        <v>1835716</v>
      </c>
      <c r="E3118">
        <v>1</v>
      </c>
      <c r="F3118" t="s">
        <v>3357</v>
      </c>
    </row>
    <row r="3119" spans="1:6" x14ac:dyDescent="0.25">
      <c r="A3119" t="s">
        <v>3229</v>
      </c>
      <c r="B3119" t="s">
        <v>531</v>
      </c>
      <c r="C3119" t="s">
        <v>532</v>
      </c>
      <c r="D3119" t="str">
        <f>HYPERLINK("http://service.sap.com/sap/support/notes/1837116","1837116")</f>
        <v>1837116</v>
      </c>
      <c r="E3119">
        <v>1</v>
      </c>
      <c r="F3119" t="s">
        <v>3358</v>
      </c>
    </row>
    <row r="3120" spans="1:6" x14ac:dyDescent="0.25">
      <c r="A3120" t="s">
        <v>3229</v>
      </c>
      <c r="B3120" t="s">
        <v>531</v>
      </c>
      <c r="C3120" t="s">
        <v>532</v>
      </c>
      <c r="D3120" t="str">
        <f>HYPERLINK("http://service.sap.com/sap/support/notes/1839405","1839405")</f>
        <v>1839405</v>
      </c>
      <c r="E3120">
        <v>1</v>
      </c>
      <c r="F3120" t="s">
        <v>3359</v>
      </c>
    </row>
    <row r="3121" spans="1:6" x14ac:dyDescent="0.25">
      <c r="A3121" t="s">
        <v>3229</v>
      </c>
      <c r="B3121" t="s">
        <v>531</v>
      </c>
      <c r="C3121" t="s">
        <v>532</v>
      </c>
      <c r="D3121" t="str">
        <f>HYPERLINK("http://service.sap.com/sap/support/notes/1839663","1839663")</f>
        <v>1839663</v>
      </c>
      <c r="E3121">
        <v>1</v>
      </c>
      <c r="F3121" t="s">
        <v>3360</v>
      </c>
    </row>
    <row r="3122" spans="1:6" x14ac:dyDescent="0.25">
      <c r="A3122" t="s">
        <v>3229</v>
      </c>
      <c r="B3122" t="s">
        <v>531</v>
      </c>
      <c r="C3122" t="s">
        <v>532</v>
      </c>
      <c r="D3122" t="str">
        <f>HYPERLINK("http://service.sap.com/sap/support/notes/1842564","1842564")</f>
        <v>1842564</v>
      </c>
      <c r="E3122">
        <v>1</v>
      </c>
      <c r="F3122" t="s">
        <v>3361</v>
      </c>
    </row>
    <row r="3123" spans="1:6" x14ac:dyDescent="0.25">
      <c r="A3123" t="s">
        <v>3229</v>
      </c>
      <c r="B3123" t="s">
        <v>531</v>
      </c>
      <c r="C3123" t="s">
        <v>532</v>
      </c>
      <c r="D3123" t="str">
        <f>HYPERLINK("http://service.sap.com/sap/support/notes/1843024","1843024")</f>
        <v>1843024</v>
      </c>
      <c r="E3123">
        <v>1</v>
      </c>
      <c r="F3123" t="s">
        <v>3362</v>
      </c>
    </row>
    <row r="3124" spans="1:6" x14ac:dyDescent="0.25">
      <c r="A3124" t="s">
        <v>3229</v>
      </c>
      <c r="B3124" t="s">
        <v>531</v>
      </c>
      <c r="C3124" t="s">
        <v>532</v>
      </c>
      <c r="D3124" t="str">
        <f>HYPERLINK("http://service.sap.com/sap/support/notes/1843216","1843216")</f>
        <v>1843216</v>
      </c>
      <c r="E3124">
        <v>1</v>
      </c>
      <c r="F3124" t="s">
        <v>3363</v>
      </c>
    </row>
    <row r="3125" spans="1:6" x14ac:dyDescent="0.25">
      <c r="A3125" t="s">
        <v>3229</v>
      </c>
      <c r="B3125" t="s">
        <v>531</v>
      </c>
      <c r="C3125" t="s">
        <v>532</v>
      </c>
      <c r="D3125" t="str">
        <f>HYPERLINK("http://service.sap.com/sap/support/notes/1844963","1844963")</f>
        <v>1844963</v>
      </c>
      <c r="E3125">
        <v>1</v>
      </c>
      <c r="F3125" t="s">
        <v>3364</v>
      </c>
    </row>
    <row r="3126" spans="1:6" x14ac:dyDescent="0.25">
      <c r="A3126" t="s">
        <v>3229</v>
      </c>
      <c r="B3126" t="s">
        <v>531</v>
      </c>
      <c r="C3126" t="s">
        <v>532</v>
      </c>
      <c r="D3126" t="str">
        <f>HYPERLINK("http://service.sap.com/sap/support/notes/1845073","1845073")</f>
        <v>1845073</v>
      </c>
      <c r="E3126">
        <v>2</v>
      </c>
      <c r="F3126" t="s">
        <v>3365</v>
      </c>
    </row>
    <row r="3127" spans="1:6" x14ac:dyDescent="0.25">
      <c r="A3127" t="s">
        <v>3229</v>
      </c>
      <c r="B3127" t="s">
        <v>531</v>
      </c>
      <c r="C3127" t="s">
        <v>532</v>
      </c>
      <c r="D3127" t="str">
        <f>HYPERLINK("http://service.sap.com/sap/support/notes/1847966","1847966")</f>
        <v>1847966</v>
      </c>
      <c r="E3127">
        <v>1</v>
      </c>
      <c r="F3127" t="s">
        <v>3366</v>
      </c>
    </row>
    <row r="3128" spans="1:6" x14ac:dyDescent="0.25">
      <c r="A3128" t="s">
        <v>3229</v>
      </c>
      <c r="B3128" t="s">
        <v>536</v>
      </c>
      <c r="C3128" t="s">
        <v>537</v>
      </c>
    </row>
    <row r="3129" spans="1:6" x14ac:dyDescent="0.25">
      <c r="A3129" t="s">
        <v>3229</v>
      </c>
      <c r="B3129" t="s">
        <v>3367</v>
      </c>
      <c r="C3129" t="s">
        <v>3368</v>
      </c>
      <c r="D3129" t="str">
        <f>HYPERLINK("http://service.sap.com/sap/support/notes/1795600","1795600")</f>
        <v>1795600</v>
      </c>
      <c r="E3129">
        <v>2</v>
      </c>
      <c r="F3129" t="s">
        <v>3369</v>
      </c>
    </row>
    <row r="3130" spans="1:6" x14ac:dyDescent="0.25">
      <c r="A3130" t="s">
        <v>3229</v>
      </c>
      <c r="B3130" t="s">
        <v>3367</v>
      </c>
      <c r="C3130" t="s">
        <v>3368</v>
      </c>
      <c r="D3130" t="str">
        <f>HYPERLINK("http://service.sap.com/sap/support/notes/1837399","1837399")</f>
        <v>1837399</v>
      </c>
      <c r="E3130">
        <v>2</v>
      </c>
      <c r="F3130" t="s">
        <v>3370</v>
      </c>
    </row>
    <row r="3131" spans="1:6" x14ac:dyDescent="0.25">
      <c r="A3131" t="s">
        <v>3229</v>
      </c>
      <c r="B3131" t="s">
        <v>79</v>
      </c>
      <c r="C3131" t="s">
        <v>80</v>
      </c>
    </row>
    <row r="3132" spans="1:6" x14ac:dyDescent="0.25">
      <c r="A3132" t="s">
        <v>3229</v>
      </c>
      <c r="B3132" t="s">
        <v>924</v>
      </c>
      <c r="C3132" t="s">
        <v>925</v>
      </c>
      <c r="D3132" t="str">
        <f>HYPERLINK("http://service.sap.com/sap/support/notes/1831017","1831017")</f>
        <v>1831017</v>
      </c>
      <c r="E3132">
        <v>1</v>
      </c>
      <c r="F3132" t="s">
        <v>3371</v>
      </c>
    </row>
    <row r="3133" spans="1:6" x14ac:dyDescent="0.25">
      <c r="A3133" t="s">
        <v>3229</v>
      </c>
      <c r="B3133" t="s">
        <v>540</v>
      </c>
      <c r="C3133" t="s">
        <v>541</v>
      </c>
    </row>
    <row r="3134" spans="1:6" x14ac:dyDescent="0.25">
      <c r="A3134" t="s">
        <v>3229</v>
      </c>
      <c r="B3134" t="s">
        <v>542</v>
      </c>
      <c r="C3134" t="s">
        <v>543</v>
      </c>
      <c r="D3134" t="str">
        <f>HYPERLINK("http://service.sap.com/sap/support/notes/1647210","1647210")</f>
        <v>1647210</v>
      </c>
      <c r="E3134">
        <v>14</v>
      </c>
      <c r="F3134" t="s">
        <v>3372</v>
      </c>
    </row>
    <row r="3135" spans="1:6" x14ac:dyDescent="0.25">
      <c r="A3135" t="s">
        <v>3229</v>
      </c>
      <c r="B3135" t="s">
        <v>542</v>
      </c>
      <c r="C3135" t="s">
        <v>543</v>
      </c>
      <c r="D3135" t="str">
        <f>HYPERLINK("http://service.sap.com/sap/support/notes/1721439","1721439")</f>
        <v>1721439</v>
      </c>
      <c r="E3135">
        <v>9</v>
      </c>
      <c r="F3135" t="s">
        <v>3373</v>
      </c>
    </row>
    <row r="3136" spans="1:6" x14ac:dyDescent="0.25">
      <c r="A3136" t="s">
        <v>3229</v>
      </c>
      <c r="B3136" t="s">
        <v>544</v>
      </c>
      <c r="C3136" t="s">
        <v>545</v>
      </c>
      <c r="D3136" t="str">
        <f>HYPERLINK("http://service.sap.com/sap/support/notes/1525497","1525497")</f>
        <v>1525497</v>
      </c>
      <c r="E3136">
        <v>5</v>
      </c>
      <c r="F3136" t="s">
        <v>546</v>
      </c>
    </row>
    <row r="3137" spans="1:6" x14ac:dyDescent="0.25">
      <c r="A3137" t="s">
        <v>3229</v>
      </c>
      <c r="B3137" t="s">
        <v>544</v>
      </c>
      <c r="C3137" t="s">
        <v>545</v>
      </c>
      <c r="D3137" t="str">
        <f>HYPERLINK("http://service.sap.com/sap/support/notes/1535496","1535496")</f>
        <v>1535496</v>
      </c>
      <c r="E3137">
        <v>1</v>
      </c>
      <c r="F3137" t="s">
        <v>3374</v>
      </c>
    </row>
    <row r="3138" spans="1:6" x14ac:dyDescent="0.25">
      <c r="A3138" t="s">
        <v>3229</v>
      </c>
      <c r="B3138" t="s">
        <v>547</v>
      </c>
      <c r="C3138" t="s">
        <v>548</v>
      </c>
      <c r="D3138" t="str">
        <f>HYPERLINK("http://service.sap.com/sap/support/notes/1809672","1809672")</f>
        <v>1809672</v>
      </c>
      <c r="E3138">
        <v>6</v>
      </c>
      <c r="F3138" t="s">
        <v>3375</v>
      </c>
    </row>
    <row r="3139" spans="1:6" x14ac:dyDescent="0.25">
      <c r="A3139" t="s">
        <v>3229</v>
      </c>
      <c r="B3139" t="s">
        <v>547</v>
      </c>
      <c r="C3139" t="s">
        <v>548</v>
      </c>
      <c r="D3139" t="str">
        <f>HYPERLINK("http://service.sap.com/sap/support/notes/1831922","1831922")</f>
        <v>1831922</v>
      </c>
      <c r="E3139">
        <v>2</v>
      </c>
      <c r="F3139" t="s">
        <v>3376</v>
      </c>
    </row>
    <row r="3140" spans="1:6" x14ac:dyDescent="0.25">
      <c r="A3140" t="s">
        <v>3229</v>
      </c>
      <c r="B3140" t="s">
        <v>549</v>
      </c>
      <c r="C3140" t="s">
        <v>550</v>
      </c>
    </row>
    <row r="3141" spans="1:6" x14ac:dyDescent="0.25">
      <c r="A3141" t="s">
        <v>3229</v>
      </c>
      <c r="B3141" t="s">
        <v>3377</v>
      </c>
      <c r="C3141" t="s">
        <v>3378</v>
      </c>
      <c r="D3141" t="str">
        <f>HYPERLINK("http://service.sap.com/sap/support/notes/1272227","1272227")</f>
        <v>1272227</v>
      </c>
      <c r="E3141">
        <v>5</v>
      </c>
      <c r="F3141" t="s">
        <v>3379</v>
      </c>
    </row>
    <row r="3142" spans="1:6" x14ac:dyDescent="0.25">
      <c r="A3142" t="s">
        <v>3229</v>
      </c>
      <c r="B3142" t="s">
        <v>85</v>
      </c>
      <c r="C3142" t="s">
        <v>86</v>
      </c>
    </row>
    <row r="3143" spans="1:6" x14ac:dyDescent="0.25">
      <c r="A3143" t="s">
        <v>3229</v>
      </c>
      <c r="B3143" t="s">
        <v>696</v>
      </c>
      <c r="C3143" t="s">
        <v>697</v>
      </c>
    </row>
    <row r="3144" spans="1:6" x14ac:dyDescent="0.25">
      <c r="A3144" t="s">
        <v>3229</v>
      </c>
      <c r="B3144" t="s">
        <v>3380</v>
      </c>
      <c r="C3144" t="s">
        <v>3381</v>
      </c>
      <c r="D3144" t="str">
        <f>HYPERLINK("http://service.sap.com/sap/support/notes/1814937","1814937")</f>
        <v>1814937</v>
      </c>
      <c r="E3144">
        <v>2</v>
      </c>
      <c r="F3144" t="s">
        <v>3382</v>
      </c>
    </row>
    <row r="3145" spans="1:6" x14ac:dyDescent="0.25">
      <c r="A3145" t="s">
        <v>3229</v>
      </c>
      <c r="B3145" t="s">
        <v>698</v>
      </c>
      <c r="C3145" t="s">
        <v>699</v>
      </c>
      <c r="D3145" t="str">
        <f>HYPERLINK("http://service.sap.com/sap/support/notes/1832398","1832398")</f>
        <v>1832398</v>
      </c>
      <c r="E3145">
        <v>1</v>
      </c>
      <c r="F3145" t="s">
        <v>3383</v>
      </c>
    </row>
    <row r="3146" spans="1:6" x14ac:dyDescent="0.25">
      <c r="A3146" t="s">
        <v>3229</v>
      </c>
      <c r="B3146" t="s">
        <v>90</v>
      </c>
      <c r="C3146" t="s">
        <v>13</v>
      </c>
    </row>
    <row r="3147" spans="1:6" x14ac:dyDescent="0.25">
      <c r="A3147" t="s">
        <v>3229</v>
      </c>
      <c r="B3147" t="s">
        <v>551</v>
      </c>
      <c r="C3147" t="s">
        <v>552</v>
      </c>
      <c r="D3147" t="str">
        <f>HYPERLINK("http://service.sap.com/sap/support/notes/1796304","1796304")</f>
        <v>1796304</v>
      </c>
      <c r="E3147">
        <v>4</v>
      </c>
      <c r="F3147" t="s">
        <v>3384</v>
      </c>
    </row>
    <row r="3148" spans="1:6" x14ac:dyDescent="0.25">
      <c r="A3148" t="s">
        <v>3229</v>
      </c>
      <c r="B3148" t="s">
        <v>551</v>
      </c>
      <c r="C3148" t="s">
        <v>552</v>
      </c>
      <c r="D3148" t="str">
        <f>HYPERLINK("http://service.sap.com/sap/support/notes/1797131","1797131")</f>
        <v>1797131</v>
      </c>
      <c r="E3148">
        <v>1</v>
      </c>
      <c r="F3148" t="s">
        <v>3385</v>
      </c>
    </row>
    <row r="3149" spans="1:6" x14ac:dyDescent="0.25">
      <c r="A3149" t="s">
        <v>3229</v>
      </c>
      <c r="B3149" t="s">
        <v>551</v>
      </c>
      <c r="C3149" t="s">
        <v>552</v>
      </c>
      <c r="D3149" t="str">
        <f>HYPERLINK("http://service.sap.com/sap/support/notes/1801383","1801383")</f>
        <v>1801383</v>
      </c>
      <c r="E3149">
        <v>4</v>
      </c>
      <c r="F3149" t="s">
        <v>3386</v>
      </c>
    </row>
    <row r="3150" spans="1:6" x14ac:dyDescent="0.25">
      <c r="A3150" t="s">
        <v>3229</v>
      </c>
      <c r="B3150" t="s">
        <v>551</v>
      </c>
      <c r="C3150" t="s">
        <v>552</v>
      </c>
      <c r="D3150" t="str">
        <f>HYPERLINK("http://service.sap.com/sap/support/notes/1812064","1812064")</f>
        <v>1812064</v>
      </c>
      <c r="E3150">
        <v>1</v>
      </c>
      <c r="F3150" t="s">
        <v>3387</v>
      </c>
    </row>
    <row r="3151" spans="1:6" x14ac:dyDescent="0.25">
      <c r="A3151" t="s">
        <v>3229</v>
      </c>
      <c r="B3151" t="s">
        <v>3388</v>
      </c>
      <c r="C3151" t="s">
        <v>3389</v>
      </c>
      <c r="D3151" t="str">
        <f>HYPERLINK("http://service.sap.com/sap/support/notes/1823719","1823719")</f>
        <v>1823719</v>
      </c>
      <c r="E3151">
        <v>1</v>
      </c>
      <c r="F3151" t="s">
        <v>3390</v>
      </c>
    </row>
    <row r="3152" spans="1:6" x14ac:dyDescent="0.25">
      <c r="A3152" t="s">
        <v>3229</v>
      </c>
      <c r="B3152" t="s">
        <v>557</v>
      </c>
      <c r="C3152" t="s">
        <v>558</v>
      </c>
      <c r="D3152" t="str">
        <f>HYPERLINK("http://service.sap.com/sap/support/notes/1795785","1795785")</f>
        <v>1795785</v>
      </c>
      <c r="E3152">
        <v>2</v>
      </c>
      <c r="F3152" t="s">
        <v>3391</v>
      </c>
    </row>
    <row r="3153" spans="1:6" x14ac:dyDescent="0.25">
      <c r="A3153" t="s">
        <v>3229</v>
      </c>
      <c r="B3153" t="s">
        <v>557</v>
      </c>
      <c r="C3153" t="s">
        <v>558</v>
      </c>
      <c r="D3153" t="str">
        <f>HYPERLINK("http://service.sap.com/sap/support/notes/1796574","1796574")</f>
        <v>1796574</v>
      </c>
      <c r="E3153">
        <v>3</v>
      </c>
      <c r="F3153" t="s">
        <v>3392</v>
      </c>
    </row>
    <row r="3154" spans="1:6" x14ac:dyDescent="0.25">
      <c r="A3154" t="s">
        <v>3229</v>
      </c>
      <c r="B3154" t="s">
        <v>557</v>
      </c>
      <c r="C3154" t="s">
        <v>558</v>
      </c>
      <c r="D3154" t="str">
        <f>HYPERLINK("http://service.sap.com/sap/support/notes/1810075","1810075")</f>
        <v>1810075</v>
      </c>
      <c r="E3154">
        <v>1</v>
      </c>
      <c r="F3154" t="s">
        <v>3393</v>
      </c>
    </row>
    <row r="3155" spans="1:6" x14ac:dyDescent="0.25">
      <c r="A3155" t="s">
        <v>3229</v>
      </c>
      <c r="B3155" t="s">
        <v>557</v>
      </c>
      <c r="C3155" t="s">
        <v>558</v>
      </c>
      <c r="D3155" t="str">
        <f>HYPERLINK("http://service.sap.com/sap/support/notes/1814372","1814372")</f>
        <v>1814372</v>
      </c>
      <c r="E3155">
        <v>1</v>
      </c>
      <c r="F3155" t="s">
        <v>3394</v>
      </c>
    </row>
    <row r="3156" spans="1:6" x14ac:dyDescent="0.25">
      <c r="A3156" t="s">
        <v>3229</v>
      </c>
      <c r="B3156" t="s">
        <v>557</v>
      </c>
      <c r="C3156" t="s">
        <v>558</v>
      </c>
      <c r="D3156" t="str">
        <f>HYPERLINK("http://service.sap.com/sap/support/notes/1816423","1816423")</f>
        <v>1816423</v>
      </c>
      <c r="E3156">
        <v>6</v>
      </c>
      <c r="F3156" t="s">
        <v>3395</v>
      </c>
    </row>
    <row r="3157" spans="1:6" x14ac:dyDescent="0.25">
      <c r="A3157" t="s">
        <v>3229</v>
      </c>
      <c r="B3157" t="s">
        <v>557</v>
      </c>
      <c r="C3157" t="s">
        <v>558</v>
      </c>
      <c r="D3157" t="str">
        <f>HYPERLINK("http://service.sap.com/sap/support/notes/1816424","1816424")</f>
        <v>1816424</v>
      </c>
      <c r="E3157">
        <v>2</v>
      </c>
      <c r="F3157" t="s">
        <v>3396</v>
      </c>
    </row>
    <row r="3158" spans="1:6" x14ac:dyDescent="0.25">
      <c r="A3158" t="s">
        <v>3229</v>
      </c>
      <c r="B3158" t="s">
        <v>557</v>
      </c>
      <c r="C3158" t="s">
        <v>558</v>
      </c>
      <c r="D3158" t="str">
        <f>HYPERLINK("http://service.sap.com/sap/support/notes/1817416","1817416")</f>
        <v>1817416</v>
      </c>
      <c r="E3158">
        <v>1</v>
      </c>
      <c r="F3158" t="s">
        <v>3397</v>
      </c>
    </row>
    <row r="3159" spans="1:6" x14ac:dyDescent="0.25">
      <c r="A3159" t="s">
        <v>3229</v>
      </c>
      <c r="B3159" t="s">
        <v>557</v>
      </c>
      <c r="C3159" t="s">
        <v>558</v>
      </c>
      <c r="D3159" t="str">
        <f>HYPERLINK("http://service.sap.com/sap/support/notes/1832734","1832734")</f>
        <v>1832734</v>
      </c>
      <c r="E3159">
        <v>1</v>
      </c>
      <c r="F3159" t="s">
        <v>3398</v>
      </c>
    </row>
    <row r="3160" spans="1:6" x14ac:dyDescent="0.25">
      <c r="A3160" t="s">
        <v>3229</v>
      </c>
      <c r="B3160" t="s">
        <v>557</v>
      </c>
      <c r="C3160" t="s">
        <v>558</v>
      </c>
      <c r="D3160" t="str">
        <f>HYPERLINK("http://service.sap.com/sap/support/notes/1833268","1833268")</f>
        <v>1833268</v>
      </c>
      <c r="E3160">
        <v>1</v>
      </c>
      <c r="F3160" t="s">
        <v>3399</v>
      </c>
    </row>
    <row r="3161" spans="1:6" x14ac:dyDescent="0.25">
      <c r="A3161" t="s">
        <v>3229</v>
      </c>
      <c r="B3161" t="s">
        <v>557</v>
      </c>
      <c r="C3161" t="s">
        <v>558</v>
      </c>
      <c r="D3161" t="str">
        <f>HYPERLINK("http://service.sap.com/sap/support/notes/1833463","1833463")</f>
        <v>1833463</v>
      </c>
      <c r="E3161">
        <v>1</v>
      </c>
      <c r="F3161" t="s">
        <v>3400</v>
      </c>
    </row>
    <row r="3162" spans="1:6" x14ac:dyDescent="0.25">
      <c r="A3162" t="s">
        <v>3229</v>
      </c>
      <c r="B3162" t="s">
        <v>557</v>
      </c>
      <c r="C3162" t="s">
        <v>558</v>
      </c>
      <c r="D3162" t="str">
        <f>HYPERLINK("http://service.sap.com/sap/support/notes/1837756","1837756")</f>
        <v>1837756</v>
      </c>
      <c r="E3162">
        <v>3</v>
      </c>
      <c r="F3162" t="s">
        <v>3401</v>
      </c>
    </row>
    <row r="3163" spans="1:6" x14ac:dyDescent="0.25">
      <c r="A3163" t="s">
        <v>3229</v>
      </c>
      <c r="B3163" t="s">
        <v>557</v>
      </c>
      <c r="C3163" t="s">
        <v>558</v>
      </c>
      <c r="D3163" t="str">
        <f>HYPERLINK("http://service.sap.com/sap/support/notes/1844699","1844699")</f>
        <v>1844699</v>
      </c>
      <c r="E3163">
        <v>2</v>
      </c>
      <c r="F3163" t="s">
        <v>3402</v>
      </c>
    </row>
    <row r="3164" spans="1:6" x14ac:dyDescent="0.25">
      <c r="A3164" t="s">
        <v>3229</v>
      </c>
      <c r="B3164" t="s">
        <v>559</v>
      </c>
      <c r="C3164" t="s">
        <v>560</v>
      </c>
      <c r="D3164" t="str">
        <f>HYPERLINK("http://service.sap.com/sap/support/notes/1804820","1804820")</f>
        <v>1804820</v>
      </c>
      <c r="E3164">
        <v>2</v>
      </c>
      <c r="F3164" t="s">
        <v>3403</v>
      </c>
    </row>
    <row r="3165" spans="1:6" x14ac:dyDescent="0.25">
      <c r="A3165" t="s">
        <v>3229</v>
      </c>
      <c r="B3165" t="s">
        <v>559</v>
      </c>
      <c r="C3165" t="s">
        <v>560</v>
      </c>
      <c r="D3165" t="str">
        <f>HYPERLINK("http://service.sap.com/sap/support/notes/1816133","1816133")</f>
        <v>1816133</v>
      </c>
      <c r="E3165">
        <v>1</v>
      </c>
      <c r="F3165" t="s">
        <v>3404</v>
      </c>
    </row>
    <row r="3166" spans="1:6" x14ac:dyDescent="0.25">
      <c r="A3166" t="s">
        <v>3229</v>
      </c>
      <c r="B3166" t="s">
        <v>559</v>
      </c>
      <c r="C3166" t="s">
        <v>560</v>
      </c>
      <c r="D3166" t="str">
        <f>HYPERLINK("http://service.sap.com/sap/support/notes/1824339","1824339")</f>
        <v>1824339</v>
      </c>
      <c r="E3166">
        <v>1</v>
      </c>
      <c r="F3166" t="s">
        <v>3405</v>
      </c>
    </row>
    <row r="3167" spans="1:6" x14ac:dyDescent="0.25">
      <c r="A3167" t="s">
        <v>3229</v>
      </c>
      <c r="B3167" t="s">
        <v>559</v>
      </c>
      <c r="C3167" t="s">
        <v>560</v>
      </c>
      <c r="D3167" t="str">
        <f>HYPERLINK("http://service.sap.com/sap/support/notes/1830088","1830088")</f>
        <v>1830088</v>
      </c>
      <c r="E3167">
        <v>1</v>
      </c>
      <c r="F3167" t="s">
        <v>3406</v>
      </c>
    </row>
    <row r="3168" spans="1:6" x14ac:dyDescent="0.25">
      <c r="A3168" t="s">
        <v>3229</v>
      </c>
      <c r="B3168" t="s">
        <v>561</v>
      </c>
      <c r="C3168" t="s">
        <v>562</v>
      </c>
      <c r="D3168" t="str">
        <f>HYPERLINK("http://service.sap.com/sap/support/notes/1784451","1784451")</f>
        <v>1784451</v>
      </c>
      <c r="E3168">
        <v>3</v>
      </c>
      <c r="F3168" t="s">
        <v>3407</v>
      </c>
    </row>
    <row r="3169" spans="1:6" x14ac:dyDescent="0.25">
      <c r="A3169" t="s">
        <v>3229</v>
      </c>
      <c r="B3169" t="s">
        <v>561</v>
      </c>
      <c r="C3169" t="s">
        <v>562</v>
      </c>
      <c r="D3169" t="str">
        <f>HYPERLINK("http://service.sap.com/sap/support/notes/1793781","1793781")</f>
        <v>1793781</v>
      </c>
      <c r="E3169">
        <v>3</v>
      </c>
      <c r="F3169" t="s">
        <v>3408</v>
      </c>
    </row>
    <row r="3170" spans="1:6" x14ac:dyDescent="0.25">
      <c r="A3170" t="s">
        <v>3229</v>
      </c>
      <c r="B3170" t="s">
        <v>561</v>
      </c>
      <c r="C3170" t="s">
        <v>562</v>
      </c>
      <c r="D3170" t="str">
        <f>HYPERLINK("http://service.sap.com/sap/support/notes/1822392","1822392")</f>
        <v>1822392</v>
      </c>
      <c r="E3170">
        <v>1</v>
      </c>
      <c r="F3170" t="s">
        <v>3409</v>
      </c>
    </row>
    <row r="3171" spans="1:6" x14ac:dyDescent="0.25">
      <c r="A3171" t="s">
        <v>3229</v>
      </c>
      <c r="B3171" t="s">
        <v>3410</v>
      </c>
      <c r="C3171" t="s">
        <v>3411</v>
      </c>
      <c r="D3171" t="str">
        <f>HYPERLINK("http://service.sap.com/sap/support/notes/1811990","1811990")</f>
        <v>1811990</v>
      </c>
      <c r="E3171">
        <v>1</v>
      </c>
      <c r="F3171" t="s">
        <v>3412</v>
      </c>
    </row>
    <row r="3172" spans="1:6" x14ac:dyDescent="0.25">
      <c r="A3172" t="s">
        <v>3229</v>
      </c>
      <c r="B3172" t="s">
        <v>563</v>
      </c>
      <c r="C3172" t="s">
        <v>564</v>
      </c>
    </row>
    <row r="3173" spans="1:6" x14ac:dyDescent="0.25">
      <c r="A3173" t="s">
        <v>3229</v>
      </c>
      <c r="B3173" t="s">
        <v>565</v>
      </c>
      <c r="C3173" t="s">
        <v>566</v>
      </c>
      <c r="D3173" t="str">
        <f>HYPERLINK("http://service.sap.com/sap/support/notes/1795028","1795028")</f>
        <v>1795028</v>
      </c>
      <c r="E3173">
        <v>1</v>
      </c>
      <c r="F3173" t="s">
        <v>3413</v>
      </c>
    </row>
    <row r="3174" spans="1:6" x14ac:dyDescent="0.25">
      <c r="A3174" t="s">
        <v>3229</v>
      </c>
      <c r="B3174" t="s">
        <v>565</v>
      </c>
      <c r="C3174" t="s">
        <v>566</v>
      </c>
      <c r="D3174" t="str">
        <f>HYPERLINK("http://service.sap.com/sap/support/notes/1839544","1839544")</f>
        <v>1839544</v>
      </c>
      <c r="E3174">
        <v>1</v>
      </c>
      <c r="F3174" t="s">
        <v>3414</v>
      </c>
    </row>
    <row r="3175" spans="1:6" x14ac:dyDescent="0.25">
      <c r="A3175" t="s">
        <v>3229</v>
      </c>
      <c r="B3175" t="s">
        <v>91</v>
      </c>
      <c r="C3175" t="s">
        <v>92</v>
      </c>
      <c r="D3175" t="str">
        <f>HYPERLINK("http://service.sap.com/sap/support/notes/1836037","1836037")</f>
        <v>1836037</v>
      </c>
    </row>
    <row r="3176" spans="1:6" x14ac:dyDescent="0.25">
      <c r="A3176" t="s">
        <v>3229</v>
      </c>
      <c r="B3176" t="s">
        <v>91</v>
      </c>
      <c r="C3176" t="s">
        <v>92</v>
      </c>
      <c r="D3176" t="str">
        <f>HYPERLINK("http://service.sap.com/sap/support/notes/1838562","1838562")</f>
        <v>1838562</v>
      </c>
      <c r="E3176">
        <v>1</v>
      </c>
      <c r="F3176" t="s">
        <v>3415</v>
      </c>
    </row>
    <row r="3177" spans="1:6" x14ac:dyDescent="0.25">
      <c r="A3177" t="s">
        <v>3229</v>
      </c>
      <c r="B3177" t="s">
        <v>91</v>
      </c>
      <c r="C3177" t="s">
        <v>92</v>
      </c>
      <c r="D3177" t="str">
        <f>HYPERLINK("http://service.sap.com/sap/support/notes/1843729","1843729")</f>
        <v>1843729</v>
      </c>
      <c r="E3177">
        <v>1</v>
      </c>
      <c r="F3177" t="s">
        <v>3416</v>
      </c>
    </row>
    <row r="3178" spans="1:6" x14ac:dyDescent="0.25">
      <c r="A3178" t="s">
        <v>3229</v>
      </c>
      <c r="B3178" t="s">
        <v>963</v>
      </c>
      <c r="C3178" t="s">
        <v>629</v>
      </c>
      <c r="D3178" t="str">
        <f>HYPERLINK("http://service.sap.com/sap/support/notes/1791916","1791916")</f>
        <v>1791916</v>
      </c>
      <c r="E3178">
        <v>2</v>
      </c>
      <c r="F3178" t="s">
        <v>3417</v>
      </c>
    </row>
    <row r="3179" spans="1:6" x14ac:dyDescent="0.25">
      <c r="A3179" t="s">
        <v>3229</v>
      </c>
      <c r="B3179" t="s">
        <v>567</v>
      </c>
      <c r="C3179" t="s">
        <v>568</v>
      </c>
      <c r="D3179" t="str">
        <f>HYPERLINK("http://service.sap.com/sap/support/notes/1794453","1794453")</f>
        <v>1794453</v>
      </c>
      <c r="E3179">
        <v>3</v>
      </c>
      <c r="F3179" t="s">
        <v>3418</v>
      </c>
    </row>
    <row r="3180" spans="1:6" x14ac:dyDescent="0.25">
      <c r="A3180" t="s">
        <v>3229</v>
      </c>
      <c r="B3180" t="s">
        <v>95</v>
      </c>
      <c r="C3180" t="s">
        <v>96</v>
      </c>
    </row>
    <row r="3181" spans="1:6" x14ac:dyDescent="0.25">
      <c r="A3181" t="s">
        <v>3229</v>
      </c>
      <c r="B3181" t="s">
        <v>569</v>
      </c>
      <c r="C3181" t="s">
        <v>28</v>
      </c>
      <c r="D3181" t="str">
        <f>HYPERLINK("http://service.sap.com/sap/support/notes/1804540","1804540")</f>
        <v>1804540</v>
      </c>
      <c r="E3181">
        <v>3</v>
      </c>
      <c r="F3181" t="s">
        <v>3419</v>
      </c>
    </row>
    <row r="3182" spans="1:6" x14ac:dyDescent="0.25">
      <c r="A3182" t="s">
        <v>3229</v>
      </c>
      <c r="B3182" t="s">
        <v>569</v>
      </c>
      <c r="C3182" t="s">
        <v>28</v>
      </c>
      <c r="D3182" t="str">
        <f>HYPERLINK("http://service.sap.com/sap/support/notes/1815794","1815794")</f>
        <v>1815794</v>
      </c>
      <c r="E3182">
        <v>5</v>
      </c>
      <c r="F3182" t="s">
        <v>3420</v>
      </c>
    </row>
    <row r="3183" spans="1:6" x14ac:dyDescent="0.25">
      <c r="A3183" t="s">
        <v>3229</v>
      </c>
      <c r="B3183" t="s">
        <v>569</v>
      </c>
      <c r="C3183" t="s">
        <v>28</v>
      </c>
      <c r="D3183" t="str">
        <f>HYPERLINK("http://service.sap.com/sap/support/notes/1832267","1832267")</f>
        <v>1832267</v>
      </c>
      <c r="E3183">
        <v>3</v>
      </c>
      <c r="F3183" t="s">
        <v>3421</v>
      </c>
    </row>
    <row r="3184" spans="1:6" x14ac:dyDescent="0.25">
      <c r="A3184" t="s">
        <v>3229</v>
      </c>
      <c r="B3184" t="s">
        <v>569</v>
      </c>
      <c r="C3184" t="s">
        <v>28</v>
      </c>
      <c r="D3184" t="str">
        <f>HYPERLINK("http://service.sap.com/sap/support/notes/1835755","1835755")</f>
        <v>1835755</v>
      </c>
      <c r="E3184">
        <v>2</v>
      </c>
      <c r="F3184" t="s">
        <v>3422</v>
      </c>
    </row>
    <row r="3185" spans="1:6" x14ac:dyDescent="0.25">
      <c r="A3185" t="s">
        <v>3229</v>
      </c>
      <c r="B3185" t="s">
        <v>569</v>
      </c>
      <c r="C3185" t="s">
        <v>28</v>
      </c>
      <c r="D3185" t="str">
        <f>HYPERLINK("http://service.sap.com/sap/support/notes/1838561","1838561")</f>
        <v>1838561</v>
      </c>
      <c r="E3185">
        <v>4</v>
      </c>
      <c r="F3185" t="s">
        <v>3423</v>
      </c>
    </row>
    <row r="3186" spans="1:6" x14ac:dyDescent="0.25">
      <c r="A3186" t="s">
        <v>3229</v>
      </c>
      <c r="B3186" t="s">
        <v>97</v>
      </c>
      <c r="C3186" t="s">
        <v>98</v>
      </c>
      <c r="D3186" t="str">
        <f>HYPERLINK("http://service.sap.com/sap/support/notes/1697348","1697348")</f>
        <v>1697348</v>
      </c>
      <c r="E3186">
        <v>10</v>
      </c>
      <c r="F3186" t="s">
        <v>3424</v>
      </c>
    </row>
    <row r="3187" spans="1:6" x14ac:dyDescent="0.25">
      <c r="A3187" t="s">
        <v>3229</v>
      </c>
      <c r="B3187" t="s">
        <v>97</v>
      </c>
      <c r="C3187" t="s">
        <v>98</v>
      </c>
      <c r="D3187" t="str">
        <f>HYPERLINK("http://service.sap.com/sap/support/notes/1727418","1727418")</f>
        <v>1727418</v>
      </c>
      <c r="E3187">
        <v>1</v>
      </c>
      <c r="F3187" t="s">
        <v>3425</v>
      </c>
    </row>
    <row r="3188" spans="1:6" x14ac:dyDescent="0.25">
      <c r="A3188" t="s">
        <v>3229</v>
      </c>
      <c r="B3188" t="s">
        <v>97</v>
      </c>
      <c r="C3188" t="s">
        <v>98</v>
      </c>
      <c r="D3188" t="str">
        <f>HYPERLINK("http://service.sap.com/sap/support/notes/1820276","1820276")</f>
        <v>1820276</v>
      </c>
      <c r="E3188">
        <v>3</v>
      </c>
      <c r="F3188" t="s">
        <v>3426</v>
      </c>
    </row>
    <row r="3189" spans="1:6" x14ac:dyDescent="0.25">
      <c r="A3189" t="s">
        <v>3229</v>
      </c>
      <c r="B3189" t="s">
        <v>97</v>
      </c>
      <c r="C3189" t="s">
        <v>98</v>
      </c>
      <c r="D3189" t="str">
        <f>HYPERLINK("http://service.sap.com/sap/support/notes/1826013","1826013")</f>
        <v>1826013</v>
      </c>
      <c r="E3189">
        <v>4</v>
      </c>
      <c r="F3189" t="s">
        <v>3427</v>
      </c>
    </row>
    <row r="3190" spans="1:6" x14ac:dyDescent="0.25">
      <c r="A3190" t="s">
        <v>3229</v>
      </c>
      <c r="B3190" t="s">
        <v>97</v>
      </c>
      <c r="C3190" t="s">
        <v>98</v>
      </c>
      <c r="D3190" t="str">
        <f>HYPERLINK("http://service.sap.com/sap/support/notes/1839571","1839571")</f>
        <v>1839571</v>
      </c>
      <c r="E3190">
        <v>2</v>
      </c>
      <c r="F3190" t="s">
        <v>3428</v>
      </c>
    </row>
    <row r="3191" spans="1:6" x14ac:dyDescent="0.25">
      <c r="A3191" t="s">
        <v>3229</v>
      </c>
      <c r="B3191" t="s">
        <v>97</v>
      </c>
      <c r="C3191" t="s">
        <v>98</v>
      </c>
      <c r="D3191" t="str">
        <f>HYPERLINK("http://service.sap.com/sap/support/notes/1840073","1840073")</f>
        <v>1840073</v>
      </c>
      <c r="E3191">
        <v>1</v>
      </c>
      <c r="F3191" t="s">
        <v>3429</v>
      </c>
    </row>
    <row r="3192" spans="1:6" x14ac:dyDescent="0.25">
      <c r="A3192" t="s">
        <v>3229</v>
      </c>
      <c r="B3192" t="s">
        <v>97</v>
      </c>
      <c r="C3192" t="s">
        <v>98</v>
      </c>
      <c r="D3192" t="str">
        <f>HYPERLINK("http://service.sap.com/sap/support/notes/1840273","1840273")</f>
        <v>1840273</v>
      </c>
      <c r="E3192">
        <v>2</v>
      </c>
      <c r="F3192" t="s">
        <v>3430</v>
      </c>
    </row>
    <row r="3193" spans="1:6" x14ac:dyDescent="0.25">
      <c r="A3193" t="s">
        <v>3229</v>
      </c>
      <c r="B3193" t="s">
        <v>97</v>
      </c>
      <c r="C3193" t="s">
        <v>98</v>
      </c>
      <c r="D3193" t="str">
        <f>HYPERLINK("http://service.sap.com/sap/support/notes/1842531","1842531")</f>
        <v>1842531</v>
      </c>
      <c r="E3193">
        <v>3</v>
      </c>
      <c r="F3193" t="s">
        <v>3431</v>
      </c>
    </row>
    <row r="3194" spans="1:6" x14ac:dyDescent="0.25">
      <c r="A3194" t="s">
        <v>3229</v>
      </c>
      <c r="B3194" t="s">
        <v>97</v>
      </c>
      <c r="C3194" t="s">
        <v>98</v>
      </c>
      <c r="D3194" t="str">
        <f>HYPERLINK("http://service.sap.com/sap/support/notes/1843784","1843784")</f>
        <v>1843784</v>
      </c>
      <c r="E3194">
        <v>2</v>
      </c>
      <c r="F3194" t="s">
        <v>3432</v>
      </c>
    </row>
    <row r="3195" spans="1:6" x14ac:dyDescent="0.25">
      <c r="A3195" t="s">
        <v>3229</v>
      </c>
      <c r="B3195" t="s">
        <v>97</v>
      </c>
      <c r="C3195" t="s">
        <v>98</v>
      </c>
      <c r="D3195" t="str">
        <f>HYPERLINK("http://service.sap.com/sap/support/notes/1848659","1848659")</f>
        <v>1848659</v>
      </c>
      <c r="E3195">
        <v>2</v>
      </c>
      <c r="F3195" t="s">
        <v>3433</v>
      </c>
    </row>
    <row r="3196" spans="1:6" x14ac:dyDescent="0.25">
      <c r="A3196" t="s">
        <v>3229</v>
      </c>
      <c r="B3196" t="s">
        <v>97</v>
      </c>
      <c r="C3196" t="s">
        <v>98</v>
      </c>
      <c r="D3196" t="str">
        <f>HYPERLINK("http://service.sap.com/sap/support/notes/1849129","1849129")</f>
        <v>1849129</v>
      </c>
      <c r="E3196">
        <v>1</v>
      </c>
      <c r="F3196" t="s">
        <v>3434</v>
      </c>
    </row>
    <row r="3197" spans="1:6" x14ac:dyDescent="0.25">
      <c r="A3197" t="s">
        <v>3229</v>
      </c>
      <c r="B3197" t="s">
        <v>570</v>
      </c>
      <c r="C3197" t="s">
        <v>128</v>
      </c>
      <c r="D3197" t="str">
        <f>HYPERLINK("http://service.sap.com/sap/support/notes/1635711","1635711")</f>
        <v>1635711</v>
      </c>
      <c r="E3197">
        <v>9</v>
      </c>
      <c r="F3197" t="s">
        <v>3435</v>
      </c>
    </row>
    <row r="3198" spans="1:6" x14ac:dyDescent="0.25">
      <c r="A3198" t="s">
        <v>3229</v>
      </c>
      <c r="B3198" t="s">
        <v>114</v>
      </c>
      <c r="C3198" t="s">
        <v>115</v>
      </c>
      <c r="D3198" t="str">
        <f>HYPERLINK("http://service.sap.com/sap/support/notes/1805270","1805270")</f>
        <v>1805270</v>
      </c>
      <c r="E3198">
        <v>6</v>
      </c>
      <c r="F3198" t="s">
        <v>3436</v>
      </c>
    </row>
    <row r="3199" spans="1:6" x14ac:dyDescent="0.25">
      <c r="A3199" t="s">
        <v>3229</v>
      </c>
      <c r="B3199" t="s">
        <v>114</v>
      </c>
      <c r="C3199" t="s">
        <v>115</v>
      </c>
      <c r="D3199" t="str">
        <f>HYPERLINK("http://service.sap.com/sap/support/notes/1836389","1836389")</f>
        <v>1836389</v>
      </c>
      <c r="E3199">
        <v>1</v>
      </c>
      <c r="F3199" t="s">
        <v>3437</v>
      </c>
    </row>
    <row r="3200" spans="1:6" x14ac:dyDescent="0.25">
      <c r="A3200" t="s">
        <v>3229</v>
      </c>
      <c r="B3200" t="s">
        <v>114</v>
      </c>
      <c r="C3200" t="s">
        <v>115</v>
      </c>
      <c r="D3200" t="str">
        <f>HYPERLINK("http://service.sap.com/sap/support/notes/1837278","1837278")</f>
        <v>1837278</v>
      </c>
      <c r="E3200">
        <v>1</v>
      </c>
      <c r="F3200" t="s">
        <v>3438</v>
      </c>
    </row>
    <row r="3201" spans="1:6" x14ac:dyDescent="0.25">
      <c r="A3201" t="s">
        <v>3229</v>
      </c>
      <c r="B3201" t="s">
        <v>114</v>
      </c>
      <c r="C3201" t="s">
        <v>115</v>
      </c>
      <c r="D3201" t="str">
        <f>HYPERLINK("http://service.sap.com/sap/support/notes/1838090","1838090")</f>
        <v>1838090</v>
      </c>
      <c r="E3201">
        <v>2</v>
      </c>
      <c r="F3201" t="s">
        <v>3439</v>
      </c>
    </row>
    <row r="3202" spans="1:6" x14ac:dyDescent="0.25">
      <c r="A3202" t="s">
        <v>3229</v>
      </c>
      <c r="B3202" t="s">
        <v>114</v>
      </c>
      <c r="C3202" t="s">
        <v>115</v>
      </c>
      <c r="D3202" t="str">
        <f>HYPERLINK("http://service.sap.com/sap/support/notes/1839884","1839884")</f>
        <v>1839884</v>
      </c>
      <c r="E3202">
        <v>1</v>
      </c>
      <c r="F3202" t="s">
        <v>3440</v>
      </c>
    </row>
    <row r="3203" spans="1:6" x14ac:dyDescent="0.25">
      <c r="A3203" t="s">
        <v>3229</v>
      </c>
      <c r="B3203" t="s">
        <v>114</v>
      </c>
      <c r="C3203" t="s">
        <v>115</v>
      </c>
      <c r="D3203" t="str">
        <f>HYPERLINK("http://service.sap.com/sap/support/notes/1841595","1841595")</f>
        <v>1841595</v>
      </c>
      <c r="E3203">
        <v>1</v>
      </c>
      <c r="F3203" t="s">
        <v>3441</v>
      </c>
    </row>
    <row r="3204" spans="1:6" x14ac:dyDescent="0.25">
      <c r="A3204" t="s">
        <v>3229</v>
      </c>
      <c r="B3204" t="s">
        <v>114</v>
      </c>
      <c r="C3204" t="s">
        <v>115</v>
      </c>
      <c r="D3204" t="str">
        <f>HYPERLINK("http://service.sap.com/sap/support/notes/1842237","1842237")</f>
        <v>1842237</v>
      </c>
      <c r="E3204">
        <v>1</v>
      </c>
      <c r="F3204" t="s">
        <v>3442</v>
      </c>
    </row>
    <row r="3205" spans="1:6" x14ac:dyDescent="0.25">
      <c r="A3205" t="s">
        <v>3229</v>
      </c>
      <c r="B3205" t="s">
        <v>114</v>
      </c>
      <c r="C3205" t="s">
        <v>115</v>
      </c>
      <c r="D3205" t="str">
        <f>HYPERLINK("http://service.sap.com/sap/support/notes/1842521","1842521")</f>
        <v>1842521</v>
      </c>
      <c r="E3205">
        <v>1</v>
      </c>
      <c r="F3205" t="s">
        <v>3443</v>
      </c>
    </row>
    <row r="3206" spans="1:6" x14ac:dyDescent="0.25">
      <c r="A3206" t="s">
        <v>3229</v>
      </c>
      <c r="B3206" t="s">
        <v>114</v>
      </c>
      <c r="C3206" t="s">
        <v>115</v>
      </c>
      <c r="D3206" t="str">
        <f>HYPERLINK("http://service.sap.com/sap/support/notes/1842995","1842995")</f>
        <v>1842995</v>
      </c>
      <c r="E3206">
        <v>2</v>
      </c>
      <c r="F3206" t="s">
        <v>3444</v>
      </c>
    </row>
    <row r="3207" spans="1:6" x14ac:dyDescent="0.25">
      <c r="A3207" t="s">
        <v>3229</v>
      </c>
      <c r="B3207" t="s">
        <v>114</v>
      </c>
      <c r="C3207" t="s">
        <v>115</v>
      </c>
      <c r="D3207" t="str">
        <f>HYPERLINK("http://service.sap.com/sap/support/notes/1844156","1844156")</f>
        <v>1844156</v>
      </c>
      <c r="E3207">
        <v>1</v>
      </c>
      <c r="F3207" t="s">
        <v>3445</v>
      </c>
    </row>
    <row r="3208" spans="1:6" x14ac:dyDescent="0.25">
      <c r="A3208" t="s">
        <v>3229</v>
      </c>
      <c r="B3208" t="s">
        <v>114</v>
      </c>
      <c r="C3208" t="s">
        <v>115</v>
      </c>
      <c r="D3208" t="str">
        <f>HYPERLINK("http://service.sap.com/sap/support/notes/1846312","1846312")</f>
        <v>1846312</v>
      </c>
      <c r="E3208">
        <v>2</v>
      </c>
      <c r="F3208" t="s">
        <v>3446</v>
      </c>
    </row>
    <row r="3209" spans="1:6" x14ac:dyDescent="0.25">
      <c r="A3209" t="s">
        <v>3229</v>
      </c>
      <c r="B3209" t="s">
        <v>114</v>
      </c>
      <c r="C3209" t="s">
        <v>115</v>
      </c>
      <c r="D3209" t="str">
        <f>HYPERLINK("http://service.sap.com/sap/support/notes/1847871","1847871")</f>
        <v>1847871</v>
      </c>
      <c r="E3209">
        <v>1</v>
      </c>
      <c r="F3209" t="s">
        <v>3447</v>
      </c>
    </row>
    <row r="3210" spans="1:6" x14ac:dyDescent="0.25">
      <c r="A3210" t="s">
        <v>3229</v>
      </c>
      <c r="B3210" t="s">
        <v>114</v>
      </c>
      <c r="C3210" t="s">
        <v>115</v>
      </c>
      <c r="D3210" t="str">
        <f>HYPERLINK("http://service.sap.com/sap/support/notes/1848836","1848836")</f>
        <v>1848836</v>
      </c>
      <c r="E3210">
        <v>1</v>
      </c>
      <c r="F3210" t="s">
        <v>3448</v>
      </c>
    </row>
    <row r="3211" spans="1:6" x14ac:dyDescent="0.25">
      <c r="A3211" t="s">
        <v>3229</v>
      </c>
      <c r="B3211" t="s">
        <v>685</v>
      </c>
      <c r="C3211" t="s">
        <v>3449</v>
      </c>
      <c r="D3211" t="str">
        <f>HYPERLINK("http://service.sap.com/sap/support/notes/1848906","1848906")</f>
        <v>1848906</v>
      </c>
      <c r="E3211">
        <v>1</v>
      </c>
      <c r="F3211" t="s">
        <v>3450</v>
      </c>
    </row>
    <row r="3212" spans="1:6" x14ac:dyDescent="0.25">
      <c r="A3212" t="s">
        <v>3229</v>
      </c>
      <c r="B3212" t="s">
        <v>127</v>
      </c>
      <c r="C3212" t="s">
        <v>128</v>
      </c>
      <c r="D3212" t="str">
        <f>HYPERLINK("http://service.sap.com/sap/support/notes/1832459","1832459")</f>
        <v>1832459</v>
      </c>
      <c r="E3212">
        <v>2</v>
      </c>
      <c r="F3212" t="s">
        <v>3451</v>
      </c>
    </row>
    <row r="3213" spans="1:6" x14ac:dyDescent="0.25">
      <c r="A3213" t="s">
        <v>3229</v>
      </c>
      <c r="B3213" t="s">
        <v>127</v>
      </c>
      <c r="C3213" t="s">
        <v>128</v>
      </c>
      <c r="D3213" t="str">
        <f>HYPERLINK("http://service.sap.com/sap/support/notes/1836956","1836956")</f>
        <v>1836956</v>
      </c>
      <c r="E3213">
        <v>2</v>
      </c>
      <c r="F3213" t="s">
        <v>3452</v>
      </c>
    </row>
    <row r="3214" spans="1:6" x14ac:dyDescent="0.25">
      <c r="A3214" t="s">
        <v>3229</v>
      </c>
      <c r="B3214" t="s">
        <v>127</v>
      </c>
      <c r="C3214" t="s">
        <v>128</v>
      </c>
      <c r="D3214" t="str">
        <f>HYPERLINK("http://service.sap.com/sap/support/notes/1842896","1842896")</f>
        <v>1842896</v>
      </c>
      <c r="E3214">
        <v>2</v>
      </c>
      <c r="F3214" t="s">
        <v>3453</v>
      </c>
    </row>
    <row r="3215" spans="1:6" x14ac:dyDescent="0.25">
      <c r="A3215" t="s">
        <v>3229</v>
      </c>
      <c r="B3215" t="s">
        <v>131</v>
      </c>
      <c r="C3215" t="s">
        <v>132</v>
      </c>
      <c r="D3215" t="str">
        <f>HYPERLINK("http://service.sap.com/sap/support/notes/1804050","1804050")</f>
        <v>1804050</v>
      </c>
      <c r="E3215">
        <v>3</v>
      </c>
      <c r="F3215" t="s">
        <v>3454</v>
      </c>
    </row>
    <row r="3216" spans="1:6" x14ac:dyDescent="0.25">
      <c r="A3216" t="s">
        <v>3229</v>
      </c>
      <c r="B3216" t="s">
        <v>131</v>
      </c>
      <c r="C3216" t="s">
        <v>132</v>
      </c>
      <c r="D3216" t="str">
        <f>HYPERLINK("http://service.sap.com/sap/support/notes/1809005","1809005")</f>
        <v>1809005</v>
      </c>
      <c r="E3216">
        <v>3</v>
      </c>
      <c r="F3216" t="s">
        <v>3455</v>
      </c>
    </row>
    <row r="3217" spans="1:6" x14ac:dyDescent="0.25">
      <c r="A3217" t="s">
        <v>3229</v>
      </c>
      <c r="B3217" t="s">
        <v>131</v>
      </c>
      <c r="C3217" t="s">
        <v>132</v>
      </c>
      <c r="D3217" t="str">
        <f>HYPERLINK("http://service.sap.com/sap/support/notes/1811823","1811823")</f>
        <v>1811823</v>
      </c>
      <c r="E3217">
        <v>1</v>
      </c>
      <c r="F3217" t="s">
        <v>3456</v>
      </c>
    </row>
    <row r="3218" spans="1:6" x14ac:dyDescent="0.25">
      <c r="A3218" t="s">
        <v>3229</v>
      </c>
      <c r="B3218" t="s">
        <v>131</v>
      </c>
      <c r="C3218" t="s">
        <v>132</v>
      </c>
      <c r="D3218" t="str">
        <f>HYPERLINK("http://service.sap.com/sap/support/notes/1821424","1821424")</f>
        <v>1821424</v>
      </c>
      <c r="E3218">
        <v>1</v>
      </c>
      <c r="F3218" t="s">
        <v>3457</v>
      </c>
    </row>
    <row r="3219" spans="1:6" x14ac:dyDescent="0.25">
      <c r="A3219" t="s">
        <v>3229</v>
      </c>
      <c r="B3219" t="s">
        <v>131</v>
      </c>
      <c r="C3219" t="s">
        <v>132</v>
      </c>
      <c r="D3219" t="str">
        <f>HYPERLINK("http://service.sap.com/sap/support/notes/1833971","1833971")</f>
        <v>1833971</v>
      </c>
      <c r="E3219">
        <v>3</v>
      </c>
      <c r="F3219" t="s">
        <v>3458</v>
      </c>
    </row>
    <row r="3220" spans="1:6" x14ac:dyDescent="0.25">
      <c r="A3220" t="s">
        <v>3229</v>
      </c>
      <c r="B3220" t="s">
        <v>131</v>
      </c>
      <c r="C3220" t="s">
        <v>132</v>
      </c>
      <c r="D3220" t="str">
        <f>HYPERLINK("http://service.sap.com/sap/support/notes/1837752","1837752")</f>
        <v>1837752</v>
      </c>
      <c r="E3220">
        <v>1</v>
      </c>
      <c r="F3220" t="s">
        <v>3459</v>
      </c>
    </row>
    <row r="3221" spans="1:6" x14ac:dyDescent="0.25">
      <c r="A3221" t="s">
        <v>3229</v>
      </c>
      <c r="B3221" t="s">
        <v>131</v>
      </c>
      <c r="C3221" t="s">
        <v>132</v>
      </c>
      <c r="D3221" t="str">
        <f>HYPERLINK("http://service.sap.com/sap/support/notes/1838514","1838514")</f>
        <v>1838514</v>
      </c>
      <c r="E3221">
        <v>1</v>
      </c>
      <c r="F3221" t="s">
        <v>3460</v>
      </c>
    </row>
    <row r="3222" spans="1:6" x14ac:dyDescent="0.25">
      <c r="A3222" t="s">
        <v>3229</v>
      </c>
      <c r="B3222" t="s">
        <v>131</v>
      </c>
      <c r="C3222" t="s">
        <v>132</v>
      </c>
      <c r="D3222" t="str">
        <f>HYPERLINK("http://service.sap.com/sap/support/notes/1838779","1838779")</f>
        <v>1838779</v>
      </c>
      <c r="E3222">
        <v>2</v>
      </c>
      <c r="F3222" t="s">
        <v>3461</v>
      </c>
    </row>
    <row r="3223" spans="1:6" x14ac:dyDescent="0.25">
      <c r="A3223" t="s">
        <v>3229</v>
      </c>
      <c r="B3223" t="s">
        <v>131</v>
      </c>
      <c r="C3223" t="s">
        <v>132</v>
      </c>
      <c r="D3223" t="str">
        <f>HYPERLINK("http://service.sap.com/sap/support/notes/1838808","1838808")</f>
        <v>1838808</v>
      </c>
      <c r="E3223">
        <v>1</v>
      </c>
      <c r="F3223" t="s">
        <v>3462</v>
      </c>
    </row>
    <row r="3224" spans="1:6" x14ac:dyDescent="0.25">
      <c r="A3224" t="s">
        <v>3229</v>
      </c>
      <c r="B3224" t="s">
        <v>131</v>
      </c>
      <c r="C3224" t="s">
        <v>132</v>
      </c>
      <c r="D3224" t="str">
        <f>HYPERLINK("http://service.sap.com/sap/support/notes/1838853","1838853")</f>
        <v>1838853</v>
      </c>
      <c r="E3224">
        <v>2</v>
      </c>
      <c r="F3224" t="s">
        <v>3463</v>
      </c>
    </row>
    <row r="3225" spans="1:6" x14ac:dyDescent="0.25">
      <c r="A3225" t="s">
        <v>3229</v>
      </c>
      <c r="B3225" t="s">
        <v>131</v>
      </c>
      <c r="C3225" t="s">
        <v>132</v>
      </c>
      <c r="D3225" t="str">
        <f>HYPERLINK("http://service.sap.com/sap/support/notes/1839118","1839118")</f>
        <v>1839118</v>
      </c>
      <c r="E3225">
        <v>1</v>
      </c>
      <c r="F3225" t="s">
        <v>3464</v>
      </c>
    </row>
    <row r="3226" spans="1:6" x14ac:dyDescent="0.25">
      <c r="A3226" t="s">
        <v>3229</v>
      </c>
      <c r="B3226" t="s">
        <v>131</v>
      </c>
      <c r="C3226" t="s">
        <v>132</v>
      </c>
      <c r="D3226" t="str">
        <f>HYPERLINK("http://service.sap.com/sap/support/notes/1839245","1839245")</f>
        <v>1839245</v>
      </c>
      <c r="E3226">
        <v>6</v>
      </c>
      <c r="F3226" t="s">
        <v>3465</v>
      </c>
    </row>
    <row r="3227" spans="1:6" x14ac:dyDescent="0.25">
      <c r="A3227" t="s">
        <v>3229</v>
      </c>
      <c r="B3227" t="s">
        <v>131</v>
      </c>
      <c r="C3227" t="s">
        <v>132</v>
      </c>
      <c r="D3227" t="str">
        <f>HYPERLINK("http://service.sap.com/sap/support/notes/1839249","1839249")</f>
        <v>1839249</v>
      </c>
      <c r="E3227">
        <v>1</v>
      </c>
      <c r="F3227" t="s">
        <v>3466</v>
      </c>
    </row>
    <row r="3228" spans="1:6" x14ac:dyDescent="0.25">
      <c r="A3228" t="s">
        <v>3229</v>
      </c>
      <c r="B3228" t="s">
        <v>131</v>
      </c>
      <c r="C3228" t="s">
        <v>132</v>
      </c>
      <c r="D3228" t="str">
        <f>HYPERLINK("http://service.sap.com/sap/support/notes/1839630","1839630")</f>
        <v>1839630</v>
      </c>
      <c r="E3228">
        <v>6</v>
      </c>
      <c r="F3228" t="s">
        <v>3467</v>
      </c>
    </row>
    <row r="3229" spans="1:6" x14ac:dyDescent="0.25">
      <c r="A3229" t="s">
        <v>3229</v>
      </c>
      <c r="B3229" t="s">
        <v>131</v>
      </c>
      <c r="C3229" t="s">
        <v>132</v>
      </c>
      <c r="D3229" t="str">
        <f>HYPERLINK("http://service.sap.com/sap/support/notes/1839723","1839723")</f>
        <v>1839723</v>
      </c>
      <c r="E3229">
        <v>1</v>
      </c>
      <c r="F3229" t="s">
        <v>3468</v>
      </c>
    </row>
    <row r="3230" spans="1:6" x14ac:dyDescent="0.25">
      <c r="A3230" t="s">
        <v>3229</v>
      </c>
      <c r="B3230" t="s">
        <v>131</v>
      </c>
      <c r="C3230" t="s">
        <v>132</v>
      </c>
      <c r="D3230" t="str">
        <f>HYPERLINK("http://service.sap.com/sap/support/notes/1840027","1840027")</f>
        <v>1840027</v>
      </c>
      <c r="E3230">
        <v>6</v>
      </c>
      <c r="F3230" t="s">
        <v>3469</v>
      </c>
    </row>
    <row r="3231" spans="1:6" x14ac:dyDescent="0.25">
      <c r="A3231" t="s">
        <v>3229</v>
      </c>
      <c r="B3231" t="s">
        <v>131</v>
      </c>
      <c r="C3231" t="s">
        <v>132</v>
      </c>
      <c r="D3231" t="str">
        <f>HYPERLINK("http://service.sap.com/sap/support/notes/1841296","1841296")</f>
        <v>1841296</v>
      </c>
      <c r="E3231">
        <v>1</v>
      </c>
      <c r="F3231" t="s">
        <v>2906</v>
      </c>
    </row>
    <row r="3232" spans="1:6" x14ac:dyDescent="0.25">
      <c r="A3232" t="s">
        <v>3229</v>
      </c>
      <c r="B3232" t="s">
        <v>131</v>
      </c>
      <c r="C3232" t="s">
        <v>132</v>
      </c>
      <c r="D3232" t="str">
        <f>HYPERLINK("http://service.sap.com/sap/support/notes/1841317","1841317")</f>
        <v>1841317</v>
      </c>
      <c r="E3232">
        <v>2</v>
      </c>
      <c r="F3232" t="s">
        <v>3470</v>
      </c>
    </row>
    <row r="3233" spans="1:6" x14ac:dyDescent="0.25">
      <c r="A3233" t="s">
        <v>3229</v>
      </c>
      <c r="B3233" t="s">
        <v>131</v>
      </c>
      <c r="C3233" t="s">
        <v>132</v>
      </c>
      <c r="D3233" t="str">
        <f>HYPERLINK("http://service.sap.com/sap/support/notes/1843161","1843161")</f>
        <v>1843161</v>
      </c>
      <c r="E3233">
        <v>1</v>
      </c>
      <c r="F3233" t="s">
        <v>3471</v>
      </c>
    </row>
    <row r="3234" spans="1:6" x14ac:dyDescent="0.25">
      <c r="A3234" t="s">
        <v>3229</v>
      </c>
      <c r="B3234" t="s">
        <v>131</v>
      </c>
      <c r="C3234" t="s">
        <v>132</v>
      </c>
      <c r="D3234" t="str">
        <f>HYPERLINK("http://service.sap.com/sap/support/notes/1844906","1844906")</f>
        <v>1844906</v>
      </c>
      <c r="E3234">
        <v>2</v>
      </c>
      <c r="F3234" t="s">
        <v>3472</v>
      </c>
    </row>
    <row r="3235" spans="1:6" x14ac:dyDescent="0.25">
      <c r="A3235" t="s">
        <v>3229</v>
      </c>
      <c r="B3235" t="s">
        <v>131</v>
      </c>
      <c r="C3235" t="s">
        <v>132</v>
      </c>
      <c r="D3235" t="str">
        <f>HYPERLINK("http://service.sap.com/sap/support/notes/1845587","1845587")</f>
        <v>1845587</v>
      </c>
      <c r="E3235">
        <v>1</v>
      </c>
      <c r="F3235" t="s">
        <v>3473</v>
      </c>
    </row>
    <row r="3236" spans="1:6" x14ac:dyDescent="0.25">
      <c r="A3236" t="s">
        <v>3229</v>
      </c>
      <c r="B3236" t="s">
        <v>131</v>
      </c>
      <c r="C3236" t="s">
        <v>132</v>
      </c>
      <c r="D3236" t="str">
        <f>HYPERLINK("http://service.sap.com/sap/support/notes/1846103","1846103")</f>
        <v>1846103</v>
      </c>
      <c r="E3236">
        <v>1</v>
      </c>
      <c r="F3236" t="s">
        <v>3474</v>
      </c>
    </row>
    <row r="3237" spans="1:6" x14ac:dyDescent="0.25">
      <c r="A3237" t="s">
        <v>3229</v>
      </c>
      <c r="B3237" t="s">
        <v>131</v>
      </c>
      <c r="C3237" t="s">
        <v>132</v>
      </c>
      <c r="D3237" t="str">
        <f>HYPERLINK("http://service.sap.com/sap/support/notes/1846179","1846179")</f>
        <v>1846179</v>
      </c>
      <c r="E3237">
        <v>1</v>
      </c>
      <c r="F3237" t="s">
        <v>3475</v>
      </c>
    </row>
    <row r="3238" spans="1:6" x14ac:dyDescent="0.25">
      <c r="A3238" t="s">
        <v>3229</v>
      </c>
      <c r="B3238" t="s">
        <v>703</v>
      </c>
      <c r="C3238" t="s">
        <v>128</v>
      </c>
      <c r="D3238" t="str">
        <f>HYPERLINK("http://service.sap.com/sap/support/notes/1246605","1246605")</f>
        <v>1246605</v>
      </c>
      <c r="E3238">
        <v>1</v>
      </c>
      <c r="F3238" t="s">
        <v>1037</v>
      </c>
    </row>
    <row r="3239" spans="1:6" x14ac:dyDescent="0.25">
      <c r="A3239" t="s">
        <v>3229</v>
      </c>
      <c r="B3239" t="s">
        <v>144</v>
      </c>
      <c r="C3239" t="s">
        <v>145</v>
      </c>
      <c r="D3239" t="str">
        <f>HYPERLINK("http://service.sap.com/sap/support/notes/1640292","1640292")</f>
        <v>1640292</v>
      </c>
      <c r="E3239">
        <v>1</v>
      </c>
      <c r="F3239" t="s">
        <v>3476</v>
      </c>
    </row>
    <row r="3240" spans="1:6" x14ac:dyDescent="0.25">
      <c r="A3240" t="s">
        <v>3229</v>
      </c>
      <c r="B3240" t="s">
        <v>144</v>
      </c>
      <c r="C3240" t="s">
        <v>145</v>
      </c>
      <c r="D3240" t="str">
        <f>HYPERLINK("http://service.sap.com/sap/support/notes/1801950","1801950")</f>
        <v>1801950</v>
      </c>
      <c r="E3240">
        <v>2</v>
      </c>
      <c r="F3240" t="s">
        <v>3477</v>
      </c>
    </row>
    <row r="3241" spans="1:6" x14ac:dyDescent="0.25">
      <c r="A3241" t="s">
        <v>3229</v>
      </c>
      <c r="B3241" t="s">
        <v>144</v>
      </c>
      <c r="C3241" t="s">
        <v>145</v>
      </c>
      <c r="D3241" t="str">
        <f>HYPERLINK("http://service.sap.com/sap/support/notes/1809533","1809533")</f>
        <v>1809533</v>
      </c>
      <c r="E3241">
        <v>2</v>
      </c>
      <c r="F3241" t="s">
        <v>3478</v>
      </c>
    </row>
    <row r="3242" spans="1:6" x14ac:dyDescent="0.25">
      <c r="A3242" t="s">
        <v>3229</v>
      </c>
      <c r="B3242" t="s">
        <v>144</v>
      </c>
      <c r="C3242" t="s">
        <v>145</v>
      </c>
      <c r="D3242" t="str">
        <f>HYPERLINK("http://service.sap.com/sap/support/notes/1820343","1820343")</f>
        <v>1820343</v>
      </c>
      <c r="E3242">
        <v>2</v>
      </c>
      <c r="F3242" t="s">
        <v>3479</v>
      </c>
    </row>
    <row r="3243" spans="1:6" x14ac:dyDescent="0.25">
      <c r="A3243" t="s">
        <v>3229</v>
      </c>
      <c r="B3243" t="s">
        <v>144</v>
      </c>
      <c r="C3243" t="s">
        <v>145</v>
      </c>
      <c r="D3243" t="str">
        <f>HYPERLINK("http://service.sap.com/sap/support/notes/1843273","1843273")</f>
        <v>1843273</v>
      </c>
      <c r="E3243">
        <v>1</v>
      </c>
      <c r="F3243" t="s">
        <v>3480</v>
      </c>
    </row>
    <row r="3244" spans="1:6" x14ac:dyDescent="0.25">
      <c r="A3244" t="s">
        <v>3229</v>
      </c>
      <c r="B3244" t="s">
        <v>150</v>
      </c>
      <c r="C3244" t="s">
        <v>151</v>
      </c>
      <c r="D3244" t="str">
        <f>HYPERLINK("http://service.sap.com/sap/support/notes/1794823","1794823")</f>
        <v>1794823</v>
      </c>
      <c r="E3244">
        <v>4</v>
      </c>
      <c r="F3244" t="s">
        <v>3481</v>
      </c>
    </row>
    <row r="3245" spans="1:6" x14ac:dyDescent="0.25">
      <c r="A3245" t="s">
        <v>3229</v>
      </c>
      <c r="B3245" t="s">
        <v>150</v>
      </c>
      <c r="C3245" t="s">
        <v>151</v>
      </c>
      <c r="D3245" t="str">
        <f>HYPERLINK("http://service.sap.com/sap/support/notes/1807120","1807120")</f>
        <v>1807120</v>
      </c>
      <c r="E3245">
        <v>2</v>
      </c>
      <c r="F3245" t="s">
        <v>3482</v>
      </c>
    </row>
    <row r="3246" spans="1:6" x14ac:dyDescent="0.25">
      <c r="A3246" t="s">
        <v>3229</v>
      </c>
      <c r="B3246" t="s">
        <v>150</v>
      </c>
      <c r="C3246" t="s">
        <v>151</v>
      </c>
      <c r="D3246" t="str">
        <f>HYPERLINK("http://service.sap.com/sap/support/notes/1815896","1815896")</f>
        <v>1815896</v>
      </c>
      <c r="E3246">
        <v>3</v>
      </c>
      <c r="F3246" t="s">
        <v>3483</v>
      </c>
    </row>
    <row r="3247" spans="1:6" x14ac:dyDescent="0.25">
      <c r="A3247" t="s">
        <v>3229</v>
      </c>
      <c r="B3247" t="s">
        <v>155</v>
      </c>
      <c r="C3247" t="s">
        <v>156</v>
      </c>
      <c r="D3247" t="str">
        <f>HYPERLINK("http://service.sap.com/sap/support/notes/1838720","1838720")</f>
        <v>1838720</v>
      </c>
      <c r="E3247">
        <v>2</v>
      </c>
      <c r="F3247" t="s">
        <v>3484</v>
      </c>
    </row>
    <row r="3248" spans="1:6" x14ac:dyDescent="0.25">
      <c r="A3248" t="s">
        <v>3229</v>
      </c>
      <c r="B3248" t="s">
        <v>155</v>
      </c>
      <c r="C3248" t="s">
        <v>156</v>
      </c>
      <c r="D3248" t="str">
        <f>HYPERLINK("http://service.sap.com/sap/support/notes/1843640","1843640")</f>
        <v>1843640</v>
      </c>
      <c r="E3248">
        <v>2</v>
      </c>
      <c r="F3248" t="s">
        <v>3485</v>
      </c>
    </row>
    <row r="3249" spans="1:6" x14ac:dyDescent="0.25">
      <c r="A3249" t="s">
        <v>3229</v>
      </c>
      <c r="B3249" t="s">
        <v>155</v>
      </c>
      <c r="C3249" t="s">
        <v>156</v>
      </c>
      <c r="D3249" t="str">
        <f>HYPERLINK("http://service.sap.com/sap/support/notes/1845771","1845771")</f>
        <v>1845771</v>
      </c>
      <c r="E3249">
        <v>2</v>
      </c>
      <c r="F3249" t="s">
        <v>3486</v>
      </c>
    </row>
    <row r="3250" spans="1:6" x14ac:dyDescent="0.25">
      <c r="A3250" t="s">
        <v>3229</v>
      </c>
      <c r="B3250" t="s">
        <v>572</v>
      </c>
      <c r="C3250" t="s">
        <v>573</v>
      </c>
      <c r="D3250" t="str">
        <f>HYPERLINK("http://service.sap.com/sap/support/notes/1720009","1720009")</f>
        <v>1720009</v>
      </c>
      <c r="E3250">
        <v>2</v>
      </c>
      <c r="F3250" t="s">
        <v>3487</v>
      </c>
    </row>
    <row r="3251" spans="1:6" x14ac:dyDescent="0.25">
      <c r="A3251" t="s">
        <v>3229</v>
      </c>
      <c r="B3251" t="s">
        <v>159</v>
      </c>
      <c r="C3251" t="s">
        <v>160</v>
      </c>
      <c r="D3251" t="str">
        <f>HYPERLINK("http://service.sap.com/sap/support/notes/1706933","1706933")</f>
        <v>1706933</v>
      </c>
      <c r="E3251">
        <v>2</v>
      </c>
      <c r="F3251" t="s">
        <v>2496</v>
      </c>
    </row>
    <row r="3252" spans="1:6" x14ac:dyDescent="0.25">
      <c r="A3252" t="s">
        <v>3229</v>
      </c>
      <c r="B3252" t="s">
        <v>159</v>
      </c>
      <c r="C3252" t="s">
        <v>160</v>
      </c>
      <c r="D3252" t="str">
        <f>HYPERLINK("http://service.sap.com/sap/support/notes/1809948","1809948")</f>
        <v>1809948</v>
      </c>
      <c r="E3252">
        <v>1</v>
      </c>
      <c r="F3252" t="s">
        <v>3488</v>
      </c>
    </row>
    <row r="3253" spans="1:6" x14ac:dyDescent="0.25">
      <c r="A3253" t="s">
        <v>3229</v>
      </c>
      <c r="B3253" t="s">
        <v>159</v>
      </c>
      <c r="C3253" t="s">
        <v>160</v>
      </c>
      <c r="D3253" t="str">
        <f>HYPERLINK("http://service.sap.com/sap/support/notes/1829559","1829559")</f>
        <v>1829559</v>
      </c>
      <c r="E3253">
        <v>1</v>
      </c>
      <c r="F3253" t="s">
        <v>3489</v>
      </c>
    </row>
    <row r="3254" spans="1:6" x14ac:dyDescent="0.25">
      <c r="A3254" t="s">
        <v>3229</v>
      </c>
      <c r="B3254" t="s">
        <v>159</v>
      </c>
      <c r="C3254" t="s">
        <v>160</v>
      </c>
      <c r="D3254" t="str">
        <f>HYPERLINK("http://service.sap.com/sap/support/notes/1832107","1832107")</f>
        <v>1832107</v>
      </c>
      <c r="E3254">
        <v>5</v>
      </c>
      <c r="F3254" t="s">
        <v>3490</v>
      </c>
    </row>
    <row r="3255" spans="1:6" x14ac:dyDescent="0.25">
      <c r="A3255" t="s">
        <v>3229</v>
      </c>
      <c r="B3255" t="s">
        <v>159</v>
      </c>
      <c r="C3255" t="s">
        <v>160</v>
      </c>
      <c r="D3255" t="str">
        <f>HYPERLINK("http://service.sap.com/sap/support/notes/1841218","1841218")</f>
        <v>1841218</v>
      </c>
      <c r="E3255">
        <v>3</v>
      </c>
      <c r="F3255" t="s">
        <v>3491</v>
      </c>
    </row>
    <row r="3256" spans="1:6" x14ac:dyDescent="0.25">
      <c r="A3256" t="s">
        <v>3229</v>
      </c>
      <c r="B3256" t="s">
        <v>165</v>
      </c>
      <c r="C3256" t="s">
        <v>31</v>
      </c>
      <c r="D3256" t="str">
        <f>HYPERLINK("http://service.sap.com/sap/support/notes/1610881","1610881")</f>
        <v>1610881</v>
      </c>
      <c r="E3256">
        <v>1</v>
      </c>
      <c r="F3256" t="s">
        <v>3492</v>
      </c>
    </row>
    <row r="3257" spans="1:6" x14ac:dyDescent="0.25">
      <c r="A3257" t="s">
        <v>3229</v>
      </c>
      <c r="B3257" t="s">
        <v>165</v>
      </c>
      <c r="C3257" t="s">
        <v>31</v>
      </c>
      <c r="D3257" t="str">
        <f>HYPERLINK("http://service.sap.com/sap/support/notes/1808057","1808057")</f>
        <v>1808057</v>
      </c>
      <c r="E3257">
        <v>15</v>
      </c>
      <c r="F3257" t="s">
        <v>3493</v>
      </c>
    </row>
    <row r="3258" spans="1:6" x14ac:dyDescent="0.25">
      <c r="A3258" t="s">
        <v>3229</v>
      </c>
      <c r="B3258" t="s">
        <v>165</v>
      </c>
      <c r="C3258" t="s">
        <v>31</v>
      </c>
      <c r="D3258" t="str">
        <f>HYPERLINK("http://service.sap.com/sap/support/notes/1809651","1809651")</f>
        <v>1809651</v>
      </c>
      <c r="E3258">
        <v>4</v>
      </c>
      <c r="F3258" t="s">
        <v>3494</v>
      </c>
    </row>
    <row r="3259" spans="1:6" x14ac:dyDescent="0.25">
      <c r="A3259" t="s">
        <v>3229</v>
      </c>
      <c r="B3259" t="s">
        <v>165</v>
      </c>
      <c r="C3259" t="s">
        <v>31</v>
      </c>
      <c r="D3259" t="str">
        <f>HYPERLINK("http://service.sap.com/sap/support/notes/1830348","1830348")</f>
        <v>1830348</v>
      </c>
      <c r="E3259">
        <v>2</v>
      </c>
      <c r="F3259" t="s">
        <v>3495</v>
      </c>
    </row>
    <row r="3260" spans="1:6" x14ac:dyDescent="0.25">
      <c r="A3260" t="s">
        <v>3229</v>
      </c>
      <c r="B3260" t="s">
        <v>165</v>
      </c>
      <c r="C3260" t="s">
        <v>31</v>
      </c>
      <c r="D3260" t="str">
        <f>HYPERLINK("http://service.sap.com/sap/support/notes/1833585","1833585")</f>
        <v>1833585</v>
      </c>
      <c r="E3260">
        <v>2</v>
      </c>
      <c r="F3260" t="s">
        <v>3496</v>
      </c>
    </row>
    <row r="3261" spans="1:6" x14ac:dyDescent="0.25">
      <c r="A3261" t="s">
        <v>3229</v>
      </c>
      <c r="B3261" t="s">
        <v>165</v>
      </c>
      <c r="C3261" t="s">
        <v>31</v>
      </c>
      <c r="D3261" t="str">
        <f>HYPERLINK("http://service.sap.com/sap/support/notes/1834601","1834601")</f>
        <v>1834601</v>
      </c>
      <c r="E3261">
        <v>4</v>
      </c>
      <c r="F3261" t="s">
        <v>3497</v>
      </c>
    </row>
    <row r="3262" spans="1:6" x14ac:dyDescent="0.25">
      <c r="A3262" t="s">
        <v>3229</v>
      </c>
      <c r="B3262" t="s">
        <v>165</v>
      </c>
      <c r="C3262" t="s">
        <v>31</v>
      </c>
      <c r="D3262" t="str">
        <f>HYPERLINK("http://service.sap.com/sap/support/notes/1837189","1837189")</f>
        <v>1837189</v>
      </c>
      <c r="E3262">
        <v>2</v>
      </c>
      <c r="F3262" t="s">
        <v>3498</v>
      </c>
    </row>
    <row r="3263" spans="1:6" x14ac:dyDescent="0.25">
      <c r="A3263" t="s">
        <v>3229</v>
      </c>
      <c r="B3263" t="s">
        <v>169</v>
      </c>
      <c r="C3263" t="s">
        <v>34</v>
      </c>
      <c r="D3263" t="str">
        <f>HYPERLINK("http://service.sap.com/sap/support/notes/1836965","1836965")</f>
        <v>1836965</v>
      </c>
      <c r="E3263">
        <v>1</v>
      </c>
      <c r="F3263" t="s">
        <v>3499</v>
      </c>
    </row>
    <row r="3264" spans="1:6" x14ac:dyDescent="0.25">
      <c r="A3264" t="s">
        <v>3229</v>
      </c>
      <c r="B3264" t="s">
        <v>169</v>
      </c>
      <c r="C3264" t="s">
        <v>34</v>
      </c>
      <c r="D3264" t="str">
        <f>HYPERLINK("http://service.sap.com/sap/support/notes/1845287","1845287")</f>
        <v>1845287</v>
      </c>
      <c r="E3264">
        <v>2</v>
      </c>
      <c r="F3264" t="s">
        <v>3500</v>
      </c>
    </row>
    <row r="3265" spans="1:6" x14ac:dyDescent="0.25">
      <c r="A3265" t="s">
        <v>3229</v>
      </c>
      <c r="B3265" t="s">
        <v>169</v>
      </c>
      <c r="C3265" t="s">
        <v>34</v>
      </c>
      <c r="D3265" t="str">
        <f>HYPERLINK("http://service.sap.com/sap/support/notes/1845755","1845755")</f>
        <v>1845755</v>
      </c>
      <c r="E3265">
        <v>1</v>
      </c>
      <c r="F3265" t="s">
        <v>3501</v>
      </c>
    </row>
    <row r="3266" spans="1:6" x14ac:dyDescent="0.25">
      <c r="A3266" t="s">
        <v>3229</v>
      </c>
      <c r="B3266" t="s">
        <v>175</v>
      </c>
      <c r="C3266" t="s">
        <v>176</v>
      </c>
      <c r="D3266" t="str">
        <f>HYPERLINK("http://service.sap.com/sap/support/notes/1836808","1836808")</f>
        <v>1836808</v>
      </c>
      <c r="E3266">
        <v>1</v>
      </c>
      <c r="F3266" t="s">
        <v>3502</v>
      </c>
    </row>
    <row r="3267" spans="1:6" x14ac:dyDescent="0.25">
      <c r="A3267" t="s">
        <v>3229</v>
      </c>
      <c r="B3267" t="s">
        <v>175</v>
      </c>
      <c r="C3267" t="s">
        <v>176</v>
      </c>
      <c r="D3267" t="str">
        <f>HYPERLINK("http://service.sap.com/sap/support/notes/1847606","1847606")</f>
        <v>1847606</v>
      </c>
      <c r="E3267">
        <v>2</v>
      </c>
      <c r="F3267" t="s">
        <v>3503</v>
      </c>
    </row>
    <row r="3268" spans="1:6" x14ac:dyDescent="0.25">
      <c r="A3268" t="s">
        <v>3229</v>
      </c>
      <c r="B3268" t="s">
        <v>177</v>
      </c>
      <c r="C3268" t="s">
        <v>574</v>
      </c>
      <c r="D3268" t="str">
        <f>HYPERLINK("http://service.sap.com/sap/support/notes/1821850","1821850")</f>
        <v>1821850</v>
      </c>
      <c r="E3268">
        <v>1</v>
      </c>
      <c r="F3268" t="s">
        <v>3504</v>
      </c>
    </row>
    <row r="3269" spans="1:6" x14ac:dyDescent="0.25">
      <c r="A3269" t="s">
        <v>3229</v>
      </c>
      <c r="B3269" t="s">
        <v>177</v>
      </c>
      <c r="C3269" t="s">
        <v>574</v>
      </c>
      <c r="D3269" t="str">
        <f>HYPERLINK("http://service.sap.com/sap/support/notes/1829736","1829736")</f>
        <v>1829736</v>
      </c>
      <c r="E3269">
        <v>1</v>
      </c>
      <c r="F3269" t="s">
        <v>3505</v>
      </c>
    </row>
    <row r="3270" spans="1:6" x14ac:dyDescent="0.25">
      <c r="A3270" t="s">
        <v>3229</v>
      </c>
      <c r="B3270" t="s">
        <v>177</v>
      </c>
      <c r="C3270" t="s">
        <v>574</v>
      </c>
      <c r="D3270" t="str">
        <f>HYPERLINK("http://service.sap.com/sap/support/notes/1838969","1838969")</f>
        <v>1838969</v>
      </c>
      <c r="E3270">
        <v>9</v>
      </c>
      <c r="F3270" t="s">
        <v>3506</v>
      </c>
    </row>
    <row r="3271" spans="1:6" x14ac:dyDescent="0.25">
      <c r="A3271" t="s">
        <v>3229</v>
      </c>
      <c r="B3271" t="s">
        <v>180</v>
      </c>
      <c r="C3271" t="s">
        <v>575</v>
      </c>
      <c r="D3271" t="str">
        <f>HYPERLINK("http://service.sap.com/sap/support/notes/1842883","1842883")</f>
        <v>1842883</v>
      </c>
      <c r="E3271">
        <v>1</v>
      </c>
      <c r="F3271" t="s">
        <v>3507</v>
      </c>
    </row>
    <row r="3272" spans="1:6" x14ac:dyDescent="0.25">
      <c r="A3272" t="s">
        <v>3229</v>
      </c>
      <c r="B3272" t="s">
        <v>180</v>
      </c>
      <c r="C3272" t="s">
        <v>575</v>
      </c>
      <c r="D3272" t="str">
        <f>HYPERLINK("http://service.sap.com/sap/support/notes/1843475","1843475")</f>
        <v>1843475</v>
      </c>
      <c r="E3272">
        <v>1</v>
      </c>
      <c r="F3272" t="s">
        <v>3508</v>
      </c>
    </row>
    <row r="3273" spans="1:6" x14ac:dyDescent="0.25">
      <c r="A3273" t="s">
        <v>3229</v>
      </c>
      <c r="B3273" t="s">
        <v>180</v>
      </c>
      <c r="C3273" t="s">
        <v>575</v>
      </c>
      <c r="D3273" t="str">
        <f>HYPERLINK("http://service.sap.com/sap/support/notes/1843569","1843569")</f>
        <v>1843569</v>
      </c>
      <c r="E3273">
        <v>1</v>
      </c>
      <c r="F3273" t="s">
        <v>3509</v>
      </c>
    </row>
    <row r="3274" spans="1:6" x14ac:dyDescent="0.25">
      <c r="A3274" t="s">
        <v>3229</v>
      </c>
      <c r="B3274" t="s">
        <v>183</v>
      </c>
      <c r="C3274" t="s">
        <v>184</v>
      </c>
    </row>
    <row r="3275" spans="1:6" x14ac:dyDescent="0.25">
      <c r="A3275" t="s">
        <v>3229</v>
      </c>
      <c r="B3275" t="s">
        <v>576</v>
      </c>
      <c r="C3275" t="s">
        <v>577</v>
      </c>
      <c r="D3275" t="str">
        <f>HYPERLINK("http://service.sap.com/sap/support/notes/1798258","1798258")</f>
        <v>1798258</v>
      </c>
      <c r="E3275">
        <v>1</v>
      </c>
      <c r="F3275" t="s">
        <v>3510</v>
      </c>
    </row>
    <row r="3276" spans="1:6" x14ac:dyDescent="0.25">
      <c r="A3276" t="s">
        <v>3229</v>
      </c>
      <c r="B3276" t="s">
        <v>576</v>
      </c>
      <c r="C3276" t="s">
        <v>577</v>
      </c>
      <c r="D3276" t="str">
        <f>HYPERLINK("http://service.sap.com/sap/support/notes/1841771","1841771")</f>
        <v>1841771</v>
      </c>
      <c r="E3276">
        <v>3</v>
      </c>
      <c r="F3276" t="s">
        <v>3511</v>
      </c>
    </row>
    <row r="3277" spans="1:6" x14ac:dyDescent="0.25">
      <c r="A3277" t="s">
        <v>3229</v>
      </c>
      <c r="B3277" t="s">
        <v>1522</v>
      </c>
      <c r="C3277" t="s">
        <v>1523</v>
      </c>
      <c r="D3277" t="str">
        <f>HYPERLINK("http://service.sap.com/sap/support/notes/1826553","1826553")</f>
        <v>1826553</v>
      </c>
      <c r="E3277">
        <v>3</v>
      </c>
      <c r="F3277" t="s">
        <v>3512</v>
      </c>
    </row>
    <row r="3278" spans="1:6" x14ac:dyDescent="0.25">
      <c r="A3278" t="s">
        <v>3229</v>
      </c>
      <c r="B3278" t="s">
        <v>1522</v>
      </c>
      <c r="C3278" t="s">
        <v>1523</v>
      </c>
      <c r="D3278" t="str">
        <f>HYPERLINK("http://service.sap.com/sap/support/notes/1838805","1838805")</f>
        <v>1838805</v>
      </c>
      <c r="E3278">
        <v>1</v>
      </c>
      <c r="F3278" t="s">
        <v>3513</v>
      </c>
    </row>
    <row r="3279" spans="1:6" x14ac:dyDescent="0.25">
      <c r="A3279" t="s">
        <v>3229</v>
      </c>
      <c r="B3279" t="s">
        <v>1522</v>
      </c>
      <c r="C3279" t="s">
        <v>1523</v>
      </c>
      <c r="D3279" t="str">
        <f>HYPERLINK("http://service.sap.com/sap/support/notes/1838876","1838876")</f>
        <v>1838876</v>
      </c>
      <c r="E3279">
        <v>2</v>
      </c>
      <c r="F3279" t="s">
        <v>3514</v>
      </c>
    </row>
    <row r="3280" spans="1:6" x14ac:dyDescent="0.25">
      <c r="A3280" t="s">
        <v>3229</v>
      </c>
      <c r="B3280" t="s">
        <v>185</v>
      </c>
      <c r="C3280" t="s">
        <v>186</v>
      </c>
      <c r="D3280" t="str">
        <f>HYPERLINK("http://service.sap.com/sap/support/notes/1825983","1825983")</f>
        <v>1825983</v>
      </c>
      <c r="E3280">
        <v>4</v>
      </c>
      <c r="F3280" t="s">
        <v>3515</v>
      </c>
    </row>
    <row r="3281" spans="1:6" x14ac:dyDescent="0.25">
      <c r="A3281" t="s">
        <v>3229</v>
      </c>
      <c r="B3281" t="s">
        <v>578</v>
      </c>
      <c r="C3281" t="s">
        <v>579</v>
      </c>
      <c r="D3281" t="str">
        <f>HYPERLINK("http://service.sap.com/sap/support/notes/1833986","1833986")</f>
        <v>1833986</v>
      </c>
      <c r="E3281">
        <v>4</v>
      </c>
      <c r="F3281" t="s">
        <v>3516</v>
      </c>
    </row>
    <row r="3282" spans="1:6" x14ac:dyDescent="0.25">
      <c r="A3282" t="s">
        <v>3229</v>
      </c>
      <c r="B3282" t="s">
        <v>191</v>
      </c>
      <c r="C3282" t="s">
        <v>192</v>
      </c>
      <c r="D3282" t="str">
        <f>HYPERLINK("http://service.sap.com/sap/support/notes/1832539","1832539")</f>
        <v>1832539</v>
      </c>
      <c r="E3282">
        <v>1</v>
      </c>
      <c r="F3282" t="s">
        <v>3517</v>
      </c>
    </row>
    <row r="3283" spans="1:6" x14ac:dyDescent="0.25">
      <c r="A3283" t="s">
        <v>3229</v>
      </c>
      <c r="B3283" t="s">
        <v>195</v>
      </c>
      <c r="C3283" t="s">
        <v>196</v>
      </c>
    </row>
    <row r="3284" spans="1:6" x14ac:dyDescent="0.25">
      <c r="A3284" t="s">
        <v>3229</v>
      </c>
      <c r="B3284" t="s">
        <v>197</v>
      </c>
      <c r="C3284" t="s">
        <v>198</v>
      </c>
      <c r="D3284" t="str">
        <f>HYPERLINK("http://service.sap.com/sap/support/notes/1812168","1812168")</f>
        <v>1812168</v>
      </c>
      <c r="E3284">
        <v>2</v>
      </c>
      <c r="F3284" t="s">
        <v>3518</v>
      </c>
    </row>
    <row r="3285" spans="1:6" x14ac:dyDescent="0.25">
      <c r="A3285" t="s">
        <v>3229</v>
      </c>
      <c r="B3285" t="s">
        <v>197</v>
      </c>
      <c r="C3285" t="s">
        <v>198</v>
      </c>
      <c r="D3285" t="str">
        <f>HYPERLINK("http://service.sap.com/sap/support/notes/1828135","1828135")</f>
        <v>1828135</v>
      </c>
      <c r="E3285">
        <v>2</v>
      </c>
      <c r="F3285" t="s">
        <v>3519</v>
      </c>
    </row>
    <row r="3286" spans="1:6" x14ac:dyDescent="0.25">
      <c r="A3286" t="s">
        <v>3229</v>
      </c>
      <c r="B3286" t="s">
        <v>201</v>
      </c>
      <c r="C3286" t="s">
        <v>202</v>
      </c>
      <c r="D3286" t="str">
        <f>HYPERLINK("http://service.sap.com/sap/support/notes/1808841","1808841")</f>
        <v>1808841</v>
      </c>
      <c r="E3286">
        <v>1</v>
      </c>
      <c r="F3286" t="s">
        <v>3520</v>
      </c>
    </row>
    <row r="3287" spans="1:6" x14ac:dyDescent="0.25">
      <c r="A3287" t="s">
        <v>3229</v>
      </c>
      <c r="B3287" t="s">
        <v>201</v>
      </c>
      <c r="C3287" t="s">
        <v>202</v>
      </c>
      <c r="D3287" t="str">
        <f>HYPERLINK("http://service.sap.com/sap/support/notes/1839008","1839008")</f>
        <v>1839008</v>
      </c>
      <c r="E3287">
        <v>1</v>
      </c>
      <c r="F3287" t="s">
        <v>3521</v>
      </c>
    </row>
    <row r="3288" spans="1:6" x14ac:dyDescent="0.25">
      <c r="A3288" t="s">
        <v>3229</v>
      </c>
      <c r="B3288" t="s">
        <v>580</v>
      </c>
      <c r="C3288" t="s">
        <v>581</v>
      </c>
      <c r="D3288" t="str">
        <f>HYPERLINK("http://service.sap.com/sap/support/notes/1772085","1772085")</f>
        <v>1772085</v>
      </c>
      <c r="E3288">
        <v>1</v>
      </c>
      <c r="F3288" t="s">
        <v>3522</v>
      </c>
    </row>
    <row r="3289" spans="1:6" x14ac:dyDescent="0.25">
      <c r="A3289" t="s">
        <v>3229</v>
      </c>
      <c r="B3289" t="s">
        <v>211</v>
      </c>
      <c r="C3289" t="s">
        <v>128</v>
      </c>
      <c r="D3289" t="str">
        <f>HYPERLINK("http://service.sap.com/sap/support/notes/1790736","1790736")</f>
        <v>1790736</v>
      </c>
      <c r="E3289">
        <v>4</v>
      </c>
      <c r="F3289" t="s">
        <v>3523</v>
      </c>
    </row>
    <row r="3290" spans="1:6" x14ac:dyDescent="0.25">
      <c r="A3290" t="s">
        <v>3229</v>
      </c>
      <c r="B3290" t="s">
        <v>211</v>
      </c>
      <c r="C3290" t="s">
        <v>128</v>
      </c>
      <c r="D3290" t="str">
        <f>HYPERLINK("http://service.sap.com/sap/support/notes/1833877","1833877")</f>
        <v>1833877</v>
      </c>
      <c r="E3290">
        <v>1</v>
      </c>
      <c r="F3290" t="s">
        <v>3524</v>
      </c>
    </row>
    <row r="3291" spans="1:6" x14ac:dyDescent="0.25">
      <c r="A3291" t="s">
        <v>3229</v>
      </c>
      <c r="B3291" t="s">
        <v>211</v>
      </c>
      <c r="C3291" t="s">
        <v>128</v>
      </c>
      <c r="D3291" t="str">
        <f>HYPERLINK("http://service.sap.com/sap/support/notes/1841868","1841868")</f>
        <v>1841868</v>
      </c>
      <c r="E3291">
        <v>3</v>
      </c>
      <c r="F3291" t="s">
        <v>3525</v>
      </c>
    </row>
    <row r="3292" spans="1:6" x14ac:dyDescent="0.25">
      <c r="A3292" t="s">
        <v>3229</v>
      </c>
      <c r="B3292" t="s">
        <v>211</v>
      </c>
      <c r="C3292" t="s">
        <v>128</v>
      </c>
      <c r="D3292" t="str">
        <f>HYPERLINK("http://service.sap.com/sap/support/notes/1841872","1841872")</f>
        <v>1841872</v>
      </c>
      <c r="E3292">
        <v>1</v>
      </c>
      <c r="F3292" t="s">
        <v>3526</v>
      </c>
    </row>
    <row r="3293" spans="1:6" x14ac:dyDescent="0.25">
      <c r="A3293" t="s">
        <v>3229</v>
      </c>
      <c r="B3293" t="s">
        <v>211</v>
      </c>
      <c r="C3293" t="s">
        <v>128</v>
      </c>
      <c r="D3293" t="str">
        <f>HYPERLINK("http://service.sap.com/sap/support/notes/1843090","1843090")</f>
        <v>1843090</v>
      </c>
      <c r="E3293">
        <v>1</v>
      </c>
      <c r="F3293" t="s">
        <v>3527</v>
      </c>
    </row>
    <row r="3294" spans="1:6" x14ac:dyDescent="0.25">
      <c r="A3294" t="s">
        <v>3229</v>
      </c>
      <c r="B3294" t="s">
        <v>211</v>
      </c>
      <c r="C3294" t="s">
        <v>128</v>
      </c>
      <c r="D3294" t="str">
        <f>HYPERLINK("http://service.sap.com/sap/support/notes/1844163","1844163")</f>
        <v>1844163</v>
      </c>
      <c r="E3294">
        <v>1</v>
      </c>
      <c r="F3294" t="s">
        <v>3528</v>
      </c>
    </row>
    <row r="3295" spans="1:6" x14ac:dyDescent="0.25">
      <c r="A3295" t="s">
        <v>3229</v>
      </c>
      <c r="B3295" t="s">
        <v>211</v>
      </c>
      <c r="C3295" t="s">
        <v>128</v>
      </c>
      <c r="D3295" t="str">
        <f>HYPERLINK("http://service.sap.com/sap/support/notes/1844892","1844892")</f>
        <v>1844892</v>
      </c>
      <c r="E3295">
        <v>1</v>
      </c>
      <c r="F3295" t="s">
        <v>3529</v>
      </c>
    </row>
    <row r="3296" spans="1:6" x14ac:dyDescent="0.25">
      <c r="A3296" t="s">
        <v>3229</v>
      </c>
      <c r="B3296" t="s">
        <v>211</v>
      </c>
      <c r="C3296" t="s">
        <v>128</v>
      </c>
      <c r="D3296" t="str">
        <f>HYPERLINK("http://service.sap.com/sap/support/notes/1847168","1847168")</f>
        <v>1847168</v>
      </c>
      <c r="E3296">
        <v>2</v>
      </c>
      <c r="F3296" t="s">
        <v>3530</v>
      </c>
    </row>
    <row r="3297" spans="1:6" x14ac:dyDescent="0.25">
      <c r="A3297" t="s">
        <v>3229</v>
      </c>
      <c r="B3297" t="s">
        <v>211</v>
      </c>
      <c r="C3297" t="s">
        <v>128</v>
      </c>
      <c r="D3297" t="str">
        <f>HYPERLINK("http://service.sap.com/sap/support/notes/1848537","1848537")</f>
        <v>1848537</v>
      </c>
      <c r="E3297">
        <v>2</v>
      </c>
      <c r="F3297" t="s">
        <v>3531</v>
      </c>
    </row>
    <row r="3298" spans="1:6" x14ac:dyDescent="0.25">
      <c r="A3298" t="s">
        <v>3229</v>
      </c>
      <c r="B3298" t="s">
        <v>221</v>
      </c>
      <c r="C3298" t="s">
        <v>585</v>
      </c>
      <c r="D3298" t="str">
        <f>HYPERLINK("http://service.sap.com/sap/support/notes/1767107","1767107")</f>
        <v>1767107</v>
      </c>
      <c r="E3298">
        <v>4</v>
      </c>
      <c r="F3298" t="s">
        <v>3532</v>
      </c>
    </row>
    <row r="3299" spans="1:6" x14ac:dyDescent="0.25">
      <c r="A3299" t="s">
        <v>3229</v>
      </c>
      <c r="B3299" t="s">
        <v>221</v>
      </c>
      <c r="C3299" t="s">
        <v>585</v>
      </c>
      <c r="D3299" t="str">
        <f>HYPERLINK("http://service.sap.com/sap/support/notes/1799725","1799725")</f>
        <v>1799725</v>
      </c>
      <c r="E3299">
        <v>1</v>
      </c>
      <c r="F3299" t="s">
        <v>3533</v>
      </c>
    </row>
    <row r="3300" spans="1:6" x14ac:dyDescent="0.25">
      <c r="A3300" t="s">
        <v>3229</v>
      </c>
      <c r="B3300" t="s">
        <v>221</v>
      </c>
      <c r="C3300" t="s">
        <v>585</v>
      </c>
      <c r="D3300" t="str">
        <f>HYPERLINK("http://service.sap.com/sap/support/notes/1837831","1837831")</f>
        <v>1837831</v>
      </c>
      <c r="E3300">
        <v>1</v>
      </c>
      <c r="F3300" t="s">
        <v>3534</v>
      </c>
    </row>
    <row r="3301" spans="1:6" x14ac:dyDescent="0.25">
      <c r="A3301" t="s">
        <v>3229</v>
      </c>
      <c r="B3301" t="s">
        <v>221</v>
      </c>
      <c r="C3301" t="s">
        <v>585</v>
      </c>
      <c r="D3301" t="str">
        <f>HYPERLINK("http://service.sap.com/sap/support/notes/1841618","1841618")</f>
        <v>1841618</v>
      </c>
      <c r="E3301">
        <v>1</v>
      </c>
      <c r="F3301" t="s">
        <v>3535</v>
      </c>
    </row>
    <row r="3302" spans="1:6" x14ac:dyDescent="0.25">
      <c r="A3302" t="s">
        <v>3229</v>
      </c>
      <c r="B3302" t="s">
        <v>221</v>
      </c>
      <c r="C3302" t="s">
        <v>585</v>
      </c>
      <c r="D3302" t="str">
        <f>HYPERLINK("http://service.sap.com/sap/support/notes/1842940","1842940")</f>
        <v>1842940</v>
      </c>
      <c r="E3302">
        <v>1</v>
      </c>
      <c r="F3302" t="s">
        <v>3536</v>
      </c>
    </row>
    <row r="3303" spans="1:6" x14ac:dyDescent="0.25">
      <c r="A3303" t="s">
        <v>3229</v>
      </c>
      <c r="B3303" t="s">
        <v>224</v>
      </c>
      <c r="C3303" t="s">
        <v>156</v>
      </c>
    </row>
    <row r="3304" spans="1:6" x14ac:dyDescent="0.25">
      <c r="A3304" t="s">
        <v>3229</v>
      </c>
      <c r="B3304" t="s">
        <v>589</v>
      </c>
      <c r="C3304" t="s">
        <v>590</v>
      </c>
      <c r="D3304" t="str">
        <f>HYPERLINK("http://service.sap.com/sap/support/notes/1833343","1833343")</f>
        <v>1833343</v>
      </c>
      <c r="E3304">
        <v>2</v>
      </c>
      <c r="F3304" t="s">
        <v>3537</v>
      </c>
    </row>
    <row r="3305" spans="1:6" x14ac:dyDescent="0.25">
      <c r="A3305" t="s">
        <v>3229</v>
      </c>
      <c r="B3305" t="s">
        <v>229</v>
      </c>
      <c r="C3305" t="s">
        <v>230</v>
      </c>
      <c r="D3305" t="str">
        <f>HYPERLINK("http://service.sap.com/sap/support/notes/1017716","1017716")</f>
        <v>1017716</v>
      </c>
      <c r="E3305">
        <v>1</v>
      </c>
      <c r="F3305" t="s">
        <v>1169</v>
      </c>
    </row>
    <row r="3306" spans="1:6" x14ac:dyDescent="0.25">
      <c r="A3306" t="s">
        <v>3229</v>
      </c>
      <c r="B3306" t="s">
        <v>229</v>
      </c>
      <c r="C3306" t="s">
        <v>230</v>
      </c>
      <c r="D3306" t="str">
        <f>HYPERLINK("http://service.sap.com/sap/support/notes/1807457","1807457")</f>
        <v>1807457</v>
      </c>
      <c r="E3306">
        <v>4</v>
      </c>
      <c r="F3306" t="s">
        <v>3538</v>
      </c>
    </row>
    <row r="3307" spans="1:6" x14ac:dyDescent="0.25">
      <c r="A3307" t="s">
        <v>3229</v>
      </c>
      <c r="B3307" t="s">
        <v>229</v>
      </c>
      <c r="C3307" t="s">
        <v>230</v>
      </c>
      <c r="D3307" t="str">
        <f>HYPERLINK("http://service.sap.com/sap/support/notes/1824383","1824383")</f>
        <v>1824383</v>
      </c>
      <c r="E3307">
        <v>3</v>
      </c>
      <c r="F3307" t="s">
        <v>3539</v>
      </c>
    </row>
    <row r="3308" spans="1:6" x14ac:dyDescent="0.25">
      <c r="A3308" t="s">
        <v>3229</v>
      </c>
      <c r="B3308" t="s">
        <v>229</v>
      </c>
      <c r="C3308" t="s">
        <v>230</v>
      </c>
      <c r="D3308" t="str">
        <f>HYPERLINK("http://service.sap.com/sap/support/notes/1830373","1830373")</f>
        <v>1830373</v>
      </c>
      <c r="E3308">
        <v>4</v>
      </c>
      <c r="F3308" t="s">
        <v>3540</v>
      </c>
    </row>
    <row r="3309" spans="1:6" x14ac:dyDescent="0.25">
      <c r="A3309" t="s">
        <v>3229</v>
      </c>
      <c r="B3309" t="s">
        <v>229</v>
      </c>
      <c r="C3309" t="s">
        <v>230</v>
      </c>
      <c r="D3309" t="str">
        <f>HYPERLINK("http://service.sap.com/sap/support/notes/1831052","1831052")</f>
        <v>1831052</v>
      </c>
      <c r="E3309">
        <v>8</v>
      </c>
      <c r="F3309" t="s">
        <v>3541</v>
      </c>
    </row>
    <row r="3310" spans="1:6" x14ac:dyDescent="0.25">
      <c r="A3310" t="s">
        <v>3229</v>
      </c>
      <c r="B3310" t="s">
        <v>229</v>
      </c>
      <c r="C3310" t="s">
        <v>230</v>
      </c>
      <c r="D3310" t="str">
        <f>HYPERLINK("http://service.sap.com/sap/support/notes/1831143","1831143")</f>
        <v>1831143</v>
      </c>
      <c r="E3310">
        <v>3</v>
      </c>
      <c r="F3310" t="s">
        <v>3542</v>
      </c>
    </row>
    <row r="3311" spans="1:6" x14ac:dyDescent="0.25">
      <c r="A3311" t="s">
        <v>3229</v>
      </c>
      <c r="B3311" t="s">
        <v>229</v>
      </c>
      <c r="C3311" t="s">
        <v>230</v>
      </c>
      <c r="D3311" t="str">
        <f>HYPERLINK("http://service.sap.com/sap/support/notes/1834570","1834570")</f>
        <v>1834570</v>
      </c>
      <c r="E3311">
        <v>4</v>
      </c>
      <c r="F3311" t="s">
        <v>3543</v>
      </c>
    </row>
    <row r="3312" spans="1:6" x14ac:dyDescent="0.25">
      <c r="A3312" t="s">
        <v>3229</v>
      </c>
      <c r="B3312" t="s">
        <v>229</v>
      </c>
      <c r="C3312" t="s">
        <v>230</v>
      </c>
      <c r="D3312" t="str">
        <f>HYPERLINK("http://service.sap.com/sap/support/notes/1836316","1836316")</f>
        <v>1836316</v>
      </c>
      <c r="E3312">
        <v>3</v>
      </c>
      <c r="F3312" t="s">
        <v>3544</v>
      </c>
    </row>
    <row r="3313" spans="1:6" x14ac:dyDescent="0.25">
      <c r="A3313" t="s">
        <v>3229</v>
      </c>
      <c r="B3313" t="s">
        <v>229</v>
      </c>
      <c r="C3313" t="s">
        <v>230</v>
      </c>
      <c r="D3313" t="str">
        <f>HYPERLINK("http://service.sap.com/sap/support/notes/1836363","1836363")</f>
        <v>1836363</v>
      </c>
      <c r="E3313">
        <v>4</v>
      </c>
      <c r="F3313" t="s">
        <v>3545</v>
      </c>
    </row>
    <row r="3314" spans="1:6" x14ac:dyDescent="0.25">
      <c r="A3314" t="s">
        <v>3229</v>
      </c>
      <c r="B3314" t="s">
        <v>229</v>
      </c>
      <c r="C3314" t="s">
        <v>230</v>
      </c>
      <c r="D3314" t="str">
        <f>HYPERLINK("http://service.sap.com/sap/support/notes/1837465","1837465")</f>
        <v>1837465</v>
      </c>
      <c r="E3314">
        <v>2</v>
      </c>
      <c r="F3314" t="s">
        <v>3546</v>
      </c>
    </row>
    <row r="3315" spans="1:6" x14ac:dyDescent="0.25">
      <c r="A3315" t="s">
        <v>3229</v>
      </c>
      <c r="B3315" t="s">
        <v>229</v>
      </c>
      <c r="C3315" t="s">
        <v>230</v>
      </c>
      <c r="D3315" t="str">
        <f>HYPERLINK("http://service.sap.com/sap/support/notes/1838663","1838663")</f>
        <v>1838663</v>
      </c>
      <c r="E3315">
        <v>3</v>
      </c>
      <c r="F3315" t="s">
        <v>3547</v>
      </c>
    </row>
    <row r="3316" spans="1:6" x14ac:dyDescent="0.25">
      <c r="A3316" t="s">
        <v>3229</v>
      </c>
      <c r="B3316" t="s">
        <v>229</v>
      </c>
      <c r="C3316" t="s">
        <v>230</v>
      </c>
      <c r="D3316" t="str">
        <f>HYPERLINK("http://service.sap.com/sap/support/notes/1840410","1840410")</f>
        <v>1840410</v>
      </c>
      <c r="E3316">
        <v>6</v>
      </c>
      <c r="F3316" t="s">
        <v>3548</v>
      </c>
    </row>
    <row r="3317" spans="1:6" x14ac:dyDescent="0.25">
      <c r="A3317" t="s">
        <v>3229</v>
      </c>
      <c r="B3317" t="s">
        <v>229</v>
      </c>
      <c r="C3317" t="s">
        <v>230</v>
      </c>
      <c r="D3317" t="str">
        <f>HYPERLINK("http://service.sap.com/sap/support/notes/1840889","1840889")</f>
        <v>1840889</v>
      </c>
      <c r="E3317">
        <v>4</v>
      </c>
      <c r="F3317" t="s">
        <v>3549</v>
      </c>
    </row>
    <row r="3318" spans="1:6" x14ac:dyDescent="0.25">
      <c r="A3318" t="s">
        <v>3229</v>
      </c>
      <c r="B3318" t="s">
        <v>229</v>
      </c>
      <c r="C3318" t="s">
        <v>230</v>
      </c>
      <c r="D3318" t="str">
        <f>HYPERLINK("http://service.sap.com/sap/support/notes/1843115","1843115")</f>
        <v>1843115</v>
      </c>
      <c r="E3318">
        <v>2</v>
      </c>
      <c r="F3318" t="s">
        <v>3550</v>
      </c>
    </row>
    <row r="3319" spans="1:6" x14ac:dyDescent="0.25">
      <c r="A3319" t="s">
        <v>3229</v>
      </c>
      <c r="B3319" t="s">
        <v>229</v>
      </c>
      <c r="C3319" t="s">
        <v>230</v>
      </c>
      <c r="D3319" t="str">
        <f>HYPERLINK("http://service.sap.com/sap/support/notes/1843283","1843283")</f>
        <v>1843283</v>
      </c>
      <c r="E3319">
        <v>2</v>
      </c>
      <c r="F3319" t="s">
        <v>3551</v>
      </c>
    </row>
    <row r="3320" spans="1:6" x14ac:dyDescent="0.25">
      <c r="A3320" t="s">
        <v>3229</v>
      </c>
      <c r="B3320" t="s">
        <v>229</v>
      </c>
      <c r="C3320" t="s">
        <v>230</v>
      </c>
      <c r="D3320" t="str">
        <f>HYPERLINK("http://service.sap.com/sap/support/notes/1843840","1843840")</f>
        <v>1843840</v>
      </c>
      <c r="E3320">
        <v>2</v>
      </c>
      <c r="F3320" t="s">
        <v>3552</v>
      </c>
    </row>
    <row r="3321" spans="1:6" x14ac:dyDescent="0.25">
      <c r="A3321" t="s">
        <v>3229</v>
      </c>
      <c r="B3321" t="s">
        <v>229</v>
      </c>
      <c r="C3321" t="s">
        <v>230</v>
      </c>
      <c r="D3321" t="str">
        <f>HYPERLINK("http://service.sap.com/sap/support/notes/1843994","1843994")</f>
        <v>1843994</v>
      </c>
      <c r="E3321">
        <v>1</v>
      </c>
      <c r="F3321" t="s">
        <v>3553</v>
      </c>
    </row>
    <row r="3322" spans="1:6" x14ac:dyDescent="0.25">
      <c r="A3322" t="s">
        <v>3229</v>
      </c>
      <c r="B3322" t="s">
        <v>229</v>
      </c>
      <c r="C3322" t="s">
        <v>230</v>
      </c>
      <c r="D3322" t="str">
        <f>HYPERLINK("http://service.sap.com/sap/support/notes/1844574","1844574")</f>
        <v>1844574</v>
      </c>
      <c r="E3322">
        <v>2</v>
      </c>
      <c r="F3322" t="s">
        <v>3554</v>
      </c>
    </row>
    <row r="3323" spans="1:6" x14ac:dyDescent="0.25">
      <c r="A3323" t="s">
        <v>3229</v>
      </c>
      <c r="B3323" t="s">
        <v>229</v>
      </c>
      <c r="C3323" t="s">
        <v>230</v>
      </c>
      <c r="D3323" t="str">
        <f>HYPERLINK("http://service.sap.com/sap/support/notes/1845052","1845052")</f>
        <v>1845052</v>
      </c>
      <c r="E3323">
        <v>1</v>
      </c>
      <c r="F3323" t="s">
        <v>3555</v>
      </c>
    </row>
    <row r="3324" spans="1:6" x14ac:dyDescent="0.25">
      <c r="A3324" t="s">
        <v>3229</v>
      </c>
      <c r="B3324" t="s">
        <v>229</v>
      </c>
      <c r="C3324" t="s">
        <v>230</v>
      </c>
      <c r="D3324" t="str">
        <f>HYPERLINK("http://service.sap.com/sap/support/notes/1845117","1845117")</f>
        <v>1845117</v>
      </c>
      <c r="E3324">
        <v>2</v>
      </c>
      <c r="F3324" t="s">
        <v>3556</v>
      </c>
    </row>
    <row r="3325" spans="1:6" x14ac:dyDescent="0.25">
      <c r="A3325" t="s">
        <v>3229</v>
      </c>
      <c r="B3325" t="s">
        <v>229</v>
      </c>
      <c r="C3325" t="s">
        <v>230</v>
      </c>
      <c r="D3325" t="str">
        <f>HYPERLINK("http://service.sap.com/sap/support/notes/1845642","1845642")</f>
        <v>1845642</v>
      </c>
      <c r="E3325">
        <v>2</v>
      </c>
      <c r="F3325" t="s">
        <v>3557</v>
      </c>
    </row>
    <row r="3326" spans="1:6" x14ac:dyDescent="0.25">
      <c r="A3326" t="s">
        <v>3229</v>
      </c>
      <c r="B3326" t="s">
        <v>229</v>
      </c>
      <c r="C3326" t="s">
        <v>230</v>
      </c>
      <c r="D3326" t="str">
        <f>HYPERLINK("http://service.sap.com/sap/support/notes/1845669","1845669")</f>
        <v>1845669</v>
      </c>
      <c r="E3326">
        <v>2</v>
      </c>
      <c r="F3326" t="s">
        <v>3558</v>
      </c>
    </row>
    <row r="3327" spans="1:6" x14ac:dyDescent="0.25">
      <c r="A3327" t="s">
        <v>3229</v>
      </c>
      <c r="B3327" t="s">
        <v>229</v>
      </c>
      <c r="C3327" t="s">
        <v>230</v>
      </c>
      <c r="D3327" t="str">
        <f>HYPERLINK("http://service.sap.com/sap/support/notes/1846648","1846648")</f>
        <v>1846648</v>
      </c>
      <c r="E3327">
        <v>1</v>
      </c>
      <c r="F3327" t="s">
        <v>3559</v>
      </c>
    </row>
    <row r="3328" spans="1:6" x14ac:dyDescent="0.25">
      <c r="A3328" t="s">
        <v>3229</v>
      </c>
      <c r="B3328" t="s">
        <v>229</v>
      </c>
      <c r="C3328" t="s">
        <v>230</v>
      </c>
      <c r="D3328" t="str">
        <f>HYPERLINK("http://service.sap.com/sap/support/notes/1848056","1848056")</f>
        <v>1848056</v>
      </c>
      <c r="E3328">
        <v>1</v>
      </c>
      <c r="F3328" t="s">
        <v>3560</v>
      </c>
    </row>
    <row r="3329" spans="1:6" x14ac:dyDescent="0.25">
      <c r="A3329" t="s">
        <v>3229</v>
      </c>
      <c r="B3329" t="s">
        <v>260</v>
      </c>
      <c r="C3329" t="s">
        <v>37</v>
      </c>
      <c r="D3329" t="str">
        <f>HYPERLINK("http://service.sap.com/sap/support/notes/1790657","1790657")</f>
        <v>1790657</v>
      </c>
      <c r="E3329">
        <v>3</v>
      </c>
      <c r="F3329" t="s">
        <v>3561</v>
      </c>
    </row>
    <row r="3330" spans="1:6" x14ac:dyDescent="0.25">
      <c r="A3330" t="s">
        <v>3229</v>
      </c>
      <c r="B3330" t="s">
        <v>260</v>
      </c>
      <c r="C3330" t="s">
        <v>37</v>
      </c>
      <c r="D3330" t="str">
        <f>HYPERLINK("http://service.sap.com/sap/support/notes/1819472","1819472")</f>
        <v>1819472</v>
      </c>
      <c r="E3330">
        <v>1</v>
      </c>
      <c r="F3330" t="s">
        <v>3562</v>
      </c>
    </row>
    <row r="3331" spans="1:6" x14ac:dyDescent="0.25">
      <c r="A3331" t="s">
        <v>3229</v>
      </c>
      <c r="B3331" t="s">
        <v>263</v>
      </c>
      <c r="C3331" t="s">
        <v>41</v>
      </c>
      <c r="D3331" t="str">
        <f>HYPERLINK("http://service.sap.com/sap/support/notes/1787289","1787289")</f>
        <v>1787289</v>
      </c>
      <c r="E3331">
        <v>8</v>
      </c>
      <c r="F3331" t="s">
        <v>3563</v>
      </c>
    </row>
    <row r="3332" spans="1:6" x14ac:dyDescent="0.25">
      <c r="A3332" t="s">
        <v>3229</v>
      </c>
      <c r="B3332" t="s">
        <v>263</v>
      </c>
      <c r="C3332" t="s">
        <v>41</v>
      </c>
      <c r="D3332" t="str">
        <f>HYPERLINK("http://service.sap.com/sap/support/notes/1813312","1813312")</f>
        <v>1813312</v>
      </c>
      <c r="E3332">
        <v>5</v>
      </c>
      <c r="F3332" t="s">
        <v>3564</v>
      </c>
    </row>
    <row r="3333" spans="1:6" x14ac:dyDescent="0.25">
      <c r="A3333" t="s">
        <v>3229</v>
      </c>
      <c r="B3333" t="s">
        <v>263</v>
      </c>
      <c r="C3333" t="s">
        <v>41</v>
      </c>
      <c r="D3333" t="str">
        <f>HYPERLINK("http://service.sap.com/sap/support/notes/1819527","1819527")</f>
        <v>1819527</v>
      </c>
      <c r="E3333">
        <v>3</v>
      </c>
      <c r="F3333" t="s">
        <v>3565</v>
      </c>
    </row>
    <row r="3334" spans="1:6" x14ac:dyDescent="0.25">
      <c r="A3334" t="s">
        <v>3229</v>
      </c>
      <c r="B3334" t="s">
        <v>263</v>
      </c>
      <c r="C3334" t="s">
        <v>41</v>
      </c>
      <c r="D3334" t="str">
        <f>HYPERLINK("http://service.sap.com/sap/support/notes/1819943","1819943")</f>
        <v>1819943</v>
      </c>
      <c r="E3334">
        <v>2</v>
      </c>
      <c r="F3334" t="s">
        <v>3566</v>
      </c>
    </row>
    <row r="3335" spans="1:6" x14ac:dyDescent="0.25">
      <c r="A3335" t="s">
        <v>3229</v>
      </c>
      <c r="B3335" t="s">
        <v>263</v>
      </c>
      <c r="C3335" t="s">
        <v>41</v>
      </c>
      <c r="D3335" t="str">
        <f>HYPERLINK("http://service.sap.com/sap/support/notes/1825725","1825725")</f>
        <v>1825725</v>
      </c>
      <c r="E3335">
        <v>6</v>
      </c>
      <c r="F3335" t="s">
        <v>3567</v>
      </c>
    </row>
    <row r="3336" spans="1:6" x14ac:dyDescent="0.25">
      <c r="A3336" t="s">
        <v>3229</v>
      </c>
      <c r="B3336" t="s">
        <v>263</v>
      </c>
      <c r="C3336" t="s">
        <v>41</v>
      </c>
      <c r="D3336" t="str">
        <f>HYPERLINK("http://service.sap.com/sap/support/notes/1830007","1830007")</f>
        <v>1830007</v>
      </c>
      <c r="E3336">
        <v>1</v>
      </c>
      <c r="F3336" t="s">
        <v>3568</v>
      </c>
    </row>
    <row r="3337" spans="1:6" x14ac:dyDescent="0.25">
      <c r="A3337" t="s">
        <v>3229</v>
      </c>
      <c r="B3337" t="s">
        <v>263</v>
      </c>
      <c r="C3337" t="s">
        <v>41</v>
      </c>
      <c r="D3337" t="str">
        <f>HYPERLINK("http://service.sap.com/sap/support/notes/1830445","1830445")</f>
        <v>1830445</v>
      </c>
      <c r="E3337">
        <v>1</v>
      </c>
      <c r="F3337" t="s">
        <v>3569</v>
      </c>
    </row>
    <row r="3338" spans="1:6" x14ac:dyDescent="0.25">
      <c r="A3338" t="s">
        <v>3229</v>
      </c>
      <c r="B3338" t="s">
        <v>263</v>
      </c>
      <c r="C3338" t="s">
        <v>41</v>
      </c>
      <c r="D3338" t="str">
        <f>HYPERLINK("http://service.sap.com/sap/support/notes/1831819","1831819")</f>
        <v>1831819</v>
      </c>
      <c r="E3338">
        <v>1</v>
      </c>
      <c r="F3338" t="s">
        <v>3570</v>
      </c>
    </row>
    <row r="3339" spans="1:6" x14ac:dyDescent="0.25">
      <c r="A3339" t="s">
        <v>3229</v>
      </c>
      <c r="B3339" t="s">
        <v>263</v>
      </c>
      <c r="C3339" t="s">
        <v>41</v>
      </c>
      <c r="D3339" t="str">
        <f>HYPERLINK("http://service.sap.com/sap/support/notes/1833973","1833973")</f>
        <v>1833973</v>
      </c>
      <c r="E3339">
        <v>2</v>
      </c>
      <c r="F3339" t="s">
        <v>3033</v>
      </c>
    </row>
    <row r="3340" spans="1:6" x14ac:dyDescent="0.25">
      <c r="A3340" t="s">
        <v>3229</v>
      </c>
      <c r="B3340" t="s">
        <v>263</v>
      </c>
      <c r="C3340" t="s">
        <v>41</v>
      </c>
      <c r="D3340" t="str">
        <f>HYPERLINK("http://service.sap.com/sap/support/notes/1837156","1837156")</f>
        <v>1837156</v>
      </c>
      <c r="E3340">
        <v>3</v>
      </c>
      <c r="F3340" t="s">
        <v>3571</v>
      </c>
    </row>
    <row r="3341" spans="1:6" x14ac:dyDescent="0.25">
      <c r="A3341" t="s">
        <v>3229</v>
      </c>
      <c r="B3341" t="s">
        <v>263</v>
      </c>
      <c r="C3341" t="s">
        <v>41</v>
      </c>
      <c r="D3341" t="str">
        <f>HYPERLINK("http://service.sap.com/sap/support/notes/1838972","1838972")</f>
        <v>1838972</v>
      </c>
      <c r="E3341">
        <v>1</v>
      </c>
      <c r="F3341" t="s">
        <v>3572</v>
      </c>
    </row>
    <row r="3342" spans="1:6" x14ac:dyDescent="0.25">
      <c r="A3342" t="s">
        <v>3229</v>
      </c>
      <c r="B3342" t="s">
        <v>263</v>
      </c>
      <c r="C3342" t="s">
        <v>41</v>
      </c>
      <c r="D3342" t="str">
        <f>HYPERLINK("http://service.sap.com/sap/support/notes/1839846","1839846")</f>
        <v>1839846</v>
      </c>
      <c r="E3342">
        <v>2</v>
      </c>
      <c r="F3342" t="s">
        <v>3573</v>
      </c>
    </row>
    <row r="3343" spans="1:6" x14ac:dyDescent="0.25">
      <c r="A3343" t="s">
        <v>3229</v>
      </c>
      <c r="B3343" t="s">
        <v>263</v>
      </c>
      <c r="C3343" t="s">
        <v>41</v>
      </c>
      <c r="D3343" t="str">
        <f>HYPERLINK("http://service.sap.com/sap/support/notes/1841184","1841184")</f>
        <v>1841184</v>
      </c>
      <c r="E3343">
        <v>2</v>
      </c>
      <c r="F3343" t="s">
        <v>3574</v>
      </c>
    </row>
    <row r="3344" spans="1:6" x14ac:dyDescent="0.25">
      <c r="A3344" t="s">
        <v>3229</v>
      </c>
      <c r="B3344" t="s">
        <v>263</v>
      </c>
      <c r="C3344" t="s">
        <v>41</v>
      </c>
      <c r="D3344" t="str">
        <f>HYPERLINK("http://service.sap.com/sap/support/notes/1842209","1842209")</f>
        <v>1842209</v>
      </c>
      <c r="E3344">
        <v>1</v>
      </c>
      <c r="F3344" t="s">
        <v>3575</v>
      </c>
    </row>
    <row r="3345" spans="1:6" x14ac:dyDescent="0.25">
      <c r="A3345" t="s">
        <v>3229</v>
      </c>
      <c r="B3345" t="s">
        <v>263</v>
      </c>
      <c r="C3345" t="s">
        <v>41</v>
      </c>
      <c r="D3345" t="str">
        <f>HYPERLINK("http://service.sap.com/sap/support/notes/1843172","1843172")</f>
        <v>1843172</v>
      </c>
      <c r="E3345">
        <v>1</v>
      </c>
      <c r="F3345" t="s">
        <v>3576</v>
      </c>
    </row>
    <row r="3346" spans="1:6" x14ac:dyDescent="0.25">
      <c r="A3346" t="s">
        <v>3229</v>
      </c>
      <c r="B3346" t="s">
        <v>263</v>
      </c>
      <c r="C3346" t="s">
        <v>41</v>
      </c>
      <c r="D3346" t="str">
        <f>HYPERLINK("http://service.sap.com/sap/support/notes/1843210","1843210")</f>
        <v>1843210</v>
      </c>
      <c r="E3346">
        <v>2</v>
      </c>
      <c r="F3346" t="s">
        <v>3577</v>
      </c>
    </row>
    <row r="3347" spans="1:6" x14ac:dyDescent="0.25">
      <c r="A3347" t="s">
        <v>3229</v>
      </c>
      <c r="B3347" t="s">
        <v>263</v>
      </c>
      <c r="C3347" t="s">
        <v>41</v>
      </c>
      <c r="D3347" t="str">
        <f>HYPERLINK("http://service.sap.com/sap/support/notes/1844701","1844701")</f>
        <v>1844701</v>
      </c>
      <c r="E3347">
        <v>3</v>
      </c>
      <c r="F3347" t="s">
        <v>3578</v>
      </c>
    </row>
    <row r="3348" spans="1:6" x14ac:dyDescent="0.25">
      <c r="A3348" t="s">
        <v>3229</v>
      </c>
      <c r="B3348" t="s">
        <v>263</v>
      </c>
      <c r="C3348" t="s">
        <v>41</v>
      </c>
      <c r="D3348" t="str">
        <f>HYPERLINK("http://service.sap.com/sap/support/notes/1845695","1845695")</f>
        <v>1845695</v>
      </c>
      <c r="E3348">
        <v>3</v>
      </c>
      <c r="F3348" t="s">
        <v>3579</v>
      </c>
    </row>
    <row r="3349" spans="1:6" x14ac:dyDescent="0.25">
      <c r="A3349" t="s">
        <v>3229</v>
      </c>
      <c r="B3349" t="s">
        <v>263</v>
      </c>
      <c r="C3349" t="s">
        <v>41</v>
      </c>
      <c r="D3349" t="str">
        <f>HYPERLINK("http://service.sap.com/sap/support/notes/1845873","1845873")</f>
        <v>1845873</v>
      </c>
      <c r="E3349">
        <v>2</v>
      </c>
      <c r="F3349" t="s">
        <v>3580</v>
      </c>
    </row>
    <row r="3350" spans="1:6" x14ac:dyDescent="0.25">
      <c r="A3350" t="s">
        <v>3229</v>
      </c>
      <c r="B3350" t="s">
        <v>263</v>
      </c>
      <c r="C3350" t="s">
        <v>41</v>
      </c>
      <c r="D3350" t="str">
        <f>HYPERLINK("http://service.sap.com/sap/support/notes/1846331","1846331")</f>
        <v>1846331</v>
      </c>
      <c r="E3350">
        <v>1</v>
      </c>
      <c r="F3350" t="s">
        <v>3581</v>
      </c>
    </row>
    <row r="3351" spans="1:6" x14ac:dyDescent="0.25">
      <c r="A3351" t="s">
        <v>3229</v>
      </c>
      <c r="B3351" t="s">
        <v>263</v>
      </c>
      <c r="C3351" t="s">
        <v>41</v>
      </c>
      <c r="D3351" t="str">
        <f>HYPERLINK("http://service.sap.com/sap/support/notes/1846660","1846660")</f>
        <v>1846660</v>
      </c>
      <c r="E3351">
        <v>2</v>
      </c>
      <c r="F3351" t="s">
        <v>3582</v>
      </c>
    </row>
    <row r="3352" spans="1:6" x14ac:dyDescent="0.25">
      <c r="A3352" t="s">
        <v>3229</v>
      </c>
      <c r="B3352" t="s">
        <v>263</v>
      </c>
      <c r="C3352" t="s">
        <v>41</v>
      </c>
      <c r="D3352" t="str">
        <f>HYPERLINK("http://service.sap.com/sap/support/notes/1846737","1846737")</f>
        <v>1846737</v>
      </c>
      <c r="E3352">
        <v>1</v>
      </c>
      <c r="F3352" t="s">
        <v>3583</v>
      </c>
    </row>
    <row r="3353" spans="1:6" x14ac:dyDescent="0.25">
      <c r="A3353" t="s">
        <v>3229</v>
      </c>
      <c r="B3353" t="s">
        <v>263</v>
      </c>
      <c r="C3353" t="s">
        <v>41</v>
      </c>
      <c r="D3353" t="str">
        <f>HYPERLINK("http://service.sap.com/sap/support/notes/1849033","1849033")</f>
        <v>1849033</v>
      </c>
      <c r="E3353">
        <v>1</v>
      </c>
      <c r="F3353" t="s">
        <v>3584</v>
      </c>
    </row>
    <row r="3354" spans="1:6" x14ac:dyDescent="0.25">
      <c r="A3354" t="s">
        <v>3229</v>
      </c>
      <c r="B3354" t="s">
        <v>704</v>
      </c>
      <c r="C3354" t="s">
        <v>128</v>
      </c>
      <c r="D3354" t="str">
        <f>HYPERLINK("http://service.sap.com/sap/support/notes/1825416","1825416")</f>
        <v>1825416</v>
      </c>
      <c r="E3354">
        <v>2</v>
      </c>
      <c r="F3354" t="s">
        <v>3585</v>
      </c>
    </row>
    <row r="3355" spans="1:6" x14ac:dyDescent="0.25">
      <c r="A3355" t="s">
        <v>3229</v>
      </c>
      <c r="B3355" t="s">
        <v>704</v>
      </c>
      <c r="C3355" t="s">
        <v>128</v>
      </c>
      <c r="D3355" t="str">
        <f>HYPERLINK("http://service.sap.com/sap/support/notes/1846806","1846806")</f>
        <v>1846806</v>
      </c>
      <c r="E3355">
        <v>2</v>
      </c>
      <c r="F3355" t="s">
        <v>3586</v>
      </c>
    </row>
    <row r="3356" spans="1:6" x14ac:dyDescent="0.25">
      <c r="A3356" t="s">
        <v>3229</v>
      </c>
      <c r="B3356" t="s">
        <v>286</v>
      </c>
      <c r="C3356" t="s">
        <v>287</v>
      </c>
      <c r="D3356" t="str">
        <f>HYPERLINK("http://service.sap.com/sap/support/notes/1826515","1826515")</f>
        <v>1826515</v>
      </c>
      <c r="E3356">
        <v>2</v>
      </c>
      <c r="F3356" t="s">
        <v>2653</v>
      </c>
    </row>
    <row r="3357" spans="1:6" x14ac:dyDescent="0.25">
      <c r="A3357" t="s">
        <v>3229</v>
      </c>
      <c r="B3357" t="s">
        <v>286</v>
      </c>
      <c r="C3357" t="s">
        <v>287</v>
      </c>
      <c r="D3357" t="str">
        <f>HYPERLINK("http://service.sap.com/sap/support/notes/1827387","1827387")</f>
        <v>1827387</v>
      </c>
      <c r="E3357">
        <v>5</v>
      </c>
      <c r="F3357" t="s">
        <v>3587</v>
      </c>
    </row>
    <row r="3358" spans="1:6" x14ac:dyDescent="0.25">
      <c r="A3358" t="s">
        <v>3229</v>
      </c>
      <c r="B3358" t="s">
        <v>286</v>
      </c>
      <c r="C3358" t="s">
        <v>287</v>
      </c>
      <c r="D3358" t="str">
        <f>HYPERLINK("http://service.sap.com/sap/support/notes/1835240","1835240")</f>
        <v>1835240</v>
      </c>
      <c r="E3358">
        <v>2</v>
      </c>
      <c r="F3358" t="s">
        <v>3588</v>
      </c>
    </row>
    <row r="3359" spans="1:6" x14ac:dyDescent="0.25">
      <c r="A3359" t="s">
        <v>3229</v>
      </c>
      <c r="B3359" t="s">
        <v>286</v>
      </c>
      <c r="C3359" t="s">
        <v>287</v>
      </c>
      <c r="D3359" t="str">
        <f>HYPERLINK("http://service.sap.com/sap/support/notes/1835614","1835614")</f>
        <v>1835614</v>
      </c>
      <c r="E3359">
        <v>1</v>
      </c>
      <c r="F3359" t="s">
        <v>3589</v>
      </c>
    </row>
    <row r="3360" spans="1:6" x14ac:dyDescent="0.25">
      <c r="A3360" t="s">
        <v>3229</v>
      </c>
      <c r="B3360" t="s">
        <v>286</v>
      </c>
      <c r="C3360" t="s">
        <v>287</v>
      </c>
      <c r="D3360" t="str">
        <f>HYPERLINK("http://service.sap.com/sap/support/notes/1837047","1837047")</f>
        <v>1837047</v>
      </c>
      <c r="E3360">
        <v>6</v>
      </c>
      <c r="F3360" t="s">
        <v>3590</v>
      </c>
    </row>
    <row r="3361" spans="1:6" x14ac:dyDescent="0.25">
      <c r="A3361" t="s">
        <v>3229</v>
      </c>
      <c r="B3361" t="s">
        <v>286</v>
      </c>
      <c r="C3361" t="s">
        <v>287</v>
      </c>
      <c r="D3361" t="str">
        <f>HYPERLINK("http://service.sap.com/sap/support/notes/1837313","1837313")</f>
        <v>1837313</v>
      </c>
      <c r="E3361">
        <v>2</v>
      </c>
      <c r="F3361" t="s">
        <v>3591</v>
      </c>
    </row>
    <row r="3362" spans="1:6" x14ac:dyDescent="0.25">
      <c r="A3362" t="s">
        <v>3229</v>
      </c>
      <c r="B3362" t="s">
        <v>286</v>
      </c>
      <c r="C3362" t="s">
        <v>287</v>
      </c>
      <c r="D3362" t="str">
        <f>HYPERLINK("http://service.sap.com/sap/support/notes/1837682","1837682")</f>
        <v>1837682</v>
      </c>
      <c r="E3362">
        <v>2</v>
      </c>
      <c r="F3362" t="s">
        <v>3592</v>
      </c>
    </row>
    <row r="3363" spans="1:6" x14ac:dyDescent="0.25">
      <c r="A3363" t="s">
        <v>3229</v>
      </c>
      <c r="B3363" t="s">
        <v>286</v>
      </c>
      <c r="C3363" t="s">
        <v>287</v>
      </c>
      <c r="D3363" t="str">
        <f>HYPERLINK("http://service.sap.com/sap/support/notes/1839345","1839345")</f>
        <v>1839345</v>
      </c>
      <c r="E3363">
        <v>2</v>
      </c>
      <c r="F3363" t="s">
        <v>3593</v>
      </c>
    </row>
    <row r="3364" spans="1:6" x14ac:dyDescent="0.25">
      <c r="A3364" t="s">
        <v>3229</v>
      </c>
      <c r="B3364" t="s">
        <v>286</v>
      </c>
      <c r="C3364" t="s">
        <v>287</v>
      </c>
      <c r="D3364" t="str">
        <f>HYPERLINK("http://service.sap.com/sap/support/notes/1839644","1839644")</f>
        <v>1839644</v>
      </c>
      <c r="E3364">
        <v>1</v>
      </c>
      <c r="F3364" t="s">
        <v>3594</v>
      </c>
    </row>
    <row r="3365" spans="1:6" x14ac:dyDescent="0.25">
      <c r="A3365" t="s">
        <v>3229</v>
      </c>
      <c r="B3365" t="s">
        <v>286</v>
      </c>
      <c r="C3365" t="s">
        <v>287</v>
      </c>
      <c r="D3365" t="str">
        <f>HYPERLINK("http://service.sap.com/sap/support/notes/1839649","1839649")</f>
        <v>1839649</v>
      </c>
      <c r="E3365">
        <v>1</v>
      </c>
      <c r="F3365" t="s">
        <v>3595</v>
      </c>
    </row>
    <row r="3366" spans="1:6" x14ac:dyDescent="0.25">
      <c r="A3366" t="s">
        <v>3229</v>
      </c>
      <c r="B3366" t="s">
        <v>286</v>
      </c>
      <c r="C3366" t="s">
        <v>287</v>
      </c>
      <c r="D3366" t="str">
        <f>HYPERLINK("http://service.sap.com/sap/support/notes/1839897","1839897")</f>
        <v>1839897</v>
      </c>
      <c r="E3366">
        <v>3</v>
      </c>
      <c r="F3366" t="s">
        <v>3596</v>
      </c>
    </row>
    <row r="3367" spans="1:6" x14ac:dyDescent="0.25">
      <c r="A3367" t="s">
        <v>3229</v>
      </c>
      <c r="B3367" t="s">
        <v>286</v>
      </c>
      <c r="C3367" t="s">
        <v>287</v>
      </c>
      <c r="D3367" t="str">
        <f>HYPERLINK("http://service.sap.com/sap/support/notes/1840221","1840221")</f>
        <v>1840221</v>
      </c>
      <c r="E3367">
        <v>1</v>
      </c>
      <c r="F3367" t="s">
        <v>3597</v>
      </c>
    </row>
    <row r="3368" spans="1:6" x14ac:dyDescent="0.25">
      <c r="A3368" t="s">
        <v>3229</v>
      </c>
      <c r="B3368" t="s">
        <v>286</v>
      </c>
      <c r="C3368" t="s">
        <v>287</v>
      </c>
      <c r="D3368" t="str">
        <f>HYPERLINK("http://service.sap.com/sap/support/notes/1840562","1840562")</f>
        <v>1840562</v>
      </c>
      <c r="E3368">
        <v>2</v>
      </c>
      <c r="F3368" t="s">
        <v>3598</v>
      </c>
    </row>
    <row r="3369" spans="1:6" x14ac:dyDescent="0.25">
      <c r="A3369" t="s">
        <v>3229</v>
      </c>
      <c r="B3369" t="s">
        <v>286</v>
      </c>
      <c r="C3369" t="s">
        <v>287</v>
      </c>
      <c r="D3369" t="str">
        <f>HYPERLINK("http://service.sap.com/sap/support/notes/1840590","1840590")</f>
        <v>1840590</v>
      </c>
      <c r="E3369">
        <v>2</v>
      </c>
      <c r="F3369" t="s">
        <v>3599</v>
      </c>
    </row>
    <row r="3370" spans="1:6" x14ac:dyDescent="0.25">
      <c r="A3370" t="s">
        <v>3229</v>
      </c>
      <c r="B3370" t="s">
        <v>286</v>
      </c>
      <c r="C3370" t="s">
        <v>287</v>
      </c>
      <c r="D3370" t="str">
        <f>HYPERLINK("http://service.sap.com/sap/support/notes/1842271","1842271")</f>
        <v>1842271</v>
      </c>
      <c r="E3370">
        <v>1</v>
      </c>
      <c r="F3370" t="s">
        <v>3600</v>
      </c>
    </row>
    <row r="3371" spans="1:6" x14ac:dyDescent="0.25">
      <c r="A3371" t="s">
        <v>3229</v>
      </c>
      <c r="B3371" t="s">
        <v>286</v>
      </c>
      <c r="C3371" t="s">
        <v>287</v>
      </c>
      <c r="D3371" t="str">
        <f>HYPERLINK("http://service.sap.com/sap/support/notes/1842760","1842760")</f>
        <v>1842760</v>
      </c>
      <c r="E3371">
        <v>2</v>
      </c>
      <c r="F3371" t="s">
        <v>3601</v>
      </c>
    </row>
    <row r="3372" spans="1:6" x14ac:dyDescent="0.25">
      <c r="A3372" t="s">
        <v>3229</v>
      </c>
      <c r="B3372" t="s">
        <v>286</v>
      </c>
      <c r="C3372" t="s">
        <v>287</v>
      </c>
      <c r="D3372" t="str">
        <f>HYPERLINK("http://service.sap.com/sap/support/notes/1843118","1843118")</f>
        <v>1843118</v>
      </c>
      <c r="E3372">
        <v>1</v>
      </c>
      <c r="F3372" t="s">
        <v>3602</v>
      </c>
    </row>
    <row r="3373" spans="1:6" x14ac:dyDescent="0.25">
      <c r="A3373" t="s">
        <v>3229</v>
      </c>
      <c r="B3373" t="s">
        <v>286</v>
      </c>
      <c r="C3373" t="s">
        <v>287</v>
      </c>
      <c r="D3373" t="str">
        <f>HYPERLINK("http://service.sap.com/sap/support/notes/1844492","1844492")</f>
        <v>1844492</v>
      </c>
      <c r="E3373">
        <v>3</v>
      </c>
      <c r="F3373" t="s">
        <v>3603</v>
      </c>
    </row>
    <row r="3374" spans="1:6" x14ac:dyDescent="0.25">
      <c r="A3374" t="s">
        <v>3229</v>
      </c>
      <c r="B3374" t="s">
        <v>286</v>
      </c>
      <c r="C3374" t="s">
        <v>287</v>
      </c>
      <c r="D3374" t="str">
        <f>HYPERLINK("http://service.sap.com/sap/support/notes/1844652","1844652")</f>
        <v>1844652</v>
      </c>
      <c r="E3374">
        <v>1</v>
      </c>
      <c r="F3374" t="s">
        <v>3604</v>
      </c>
    </row>
    <row r="3375" spans="1:6" x14ac:dyDescent="0.25">
      <c r="A3375" t="s">
        <v>3229</v>
      </c>
      <c r="B3375" t="s">
        <v>286</v>
      </c>
      <c r="C3375" t="s">
        <v>287</v>
      </c>
      <c r="D3375" t="str">
        <f>HYPERLINK("http://service.sap.com/sap/support/notes/1845118","1845118")</f>
        <v>1845118</v>
      </c>
      <c r="E3375">
        <v>1</v>
      </c>
      <c r="F3375" t="s">
        <v>3605</v>
      </c>
    </row>
    <row r="3376" spans="1:6" x14ac:dyDescent="0.25">
      <c r="A3376" t="s">
        <v>3229</v>
      </c>
      <c r="B3376" t="s">
        <v>286</v>
      </c>
      <c r="C3376" t="s">
        <v>287</v>
      </c>
      <c r="D3376" t="str">
        <f>HYPERLINK("http://service.sap.com/sap/support/notes/1845554","1845554")</f>
        <v>1845554</v>
      </c>
      <c r="E3376">
        <v>1</v>
      </c>
      <c r="F3376" t="s">
        <v>3606</v>
      </c>
    </row>
    <row r="3377" spans="1:6" x14ac:dyDescent="0.25">
      <c r="A3377" t="s">
        <v>3229</v>
      </c>
      <c r="B3377" t="s">
        <v>286</v>
      </c>
      <c r="C3377" t="s">
        <v>287</v>
      </c>
      <c r="D3377" t="str">
        <f>HYPERLINK("http://service.sap.com/sap/support/notes/1846487","1846487")</f>
        <v>1846487</v>
      </c>
      <c r="E3377">
        <v>1</v>
      </c>
      <c r="F3377" t="s">
        <v>3607</v>
      </c>
    </row>
    <row r="3378" spans="1:6" x14ac:dyDescent="0.25">
      <c r="A3378" t="s">
        <v>3229</v>
      </c>
      <c r="B3378" t="s">
        <v>286</v>
      </c>
      <c r="C3378" t="s">
        <v>287</v>
      </c>
      <c r="D3378" t="str">
        <f>HYPERLINK("http://service.sap.com/sap/support/notes/1846605","1846605")</f>
        <v>1846605</v>
      </c>
      <c r="E3378">
        <v>1</v>
      </c>
      <c r="F3378" t="s">
        <v>3608</v>
      </c>
    </row>
    <row r="3379" spans="1:6" x14ac:dyDescent="0.25">
      <c r="A3379" t="s">
        <v>3229</v>
      </c>
      <c r="B3379" t="s">
        <v>286</v>
      </c>
      <c r="C3379" t="s">
        <v>287</v>
      </c>
      <c r="D3379" t="str">
        <f>HYPERLINK("http://service.sap.com/sap/support/notes/1846879","1846879")</f>
        <v>1846879</v>
      </c>
      <c r="E3379">
        <v>1</v>
      </c>
      <c r="F3379" t="s">
        <v>3609</v>
      </c>
    </row>
    <row r="3380" spans="1:6" x14ac:dyDescent="0.25">
      <c r="A3380" t="s">
        <v>3229</v>
      </c>
      <c r="B3380" t="s">
        <v>286</v>
      </c>
      <c r="C3380" t="s">
        <v>287</v>
      </c>
      <c r="D3380" t="str">
        <f>HYPERLINK("http://service.sap.com/sap/support/notes/1847481","1847481")</f>
        <v>1847481</v>
      </c>
      <c r="E3380">
        <v>4</v>
      </c>
      <c r="F3380" t="s">
        <v>3610</v>
      </c>
    </row>
    <row r="3381" spans="1:6" x14ac:dyDescent="0.25">
      <c r="A3381" t="s">
        <v>3229</v>
      </c>
      <c r="B3381" t="s">
        <v>286</v>
      </c>
      <c r="C3381" t="s">
        <v>287</v>
      </c>
      <c r="D3381" t="str">
        <f>HYPERLINK("http://service.sap.com/sap/support/notes/1848310","1848310")</f>
        <v>1848310</v>
      </c>
      <c r="E3381">
        <v>1</v>
      </c>
      <c r="F3381" t="s">
        <v>3611</v>
      </c>
    </row>
    <row r="3382" spans="1:6" x14ac:dyDescent="0.25">
      <c r="A3382" t="s">
        <v>3229</v>
      </c>
      <c r="B3382" t="s">
        <v>286</v>
      </c>
      <c r="C3382" t="s">
        <v>287</v>
      </c>
      <c r="D3382" t="str">
        <f>HYPERLINK("http://service.sap.com/sap/support/notes/1851385","1851385")</f>
        <v>1851385</v>
      </c>
      <c r="E3382">
        <v>1</v>
      </c>
      <c r="F3382" t="s">
        <v>3612</v>
      </c>
    </row>
    <row r="3383" spans="1:6" x14ac:dyDescent="0.25">
      <c r="A3383" t="s">
        <v>3229</v>
      </c>
      <c r="B3383" t="s">
        <v>292</v>
      </c>
      <c r="C3383" t="s">
        <v>196</v>
      </c>
    </row>
    <row r="3384" spans="1:6" x14ac:dyDescent="0.25">
      <c r="A3384" t="s">
        <v>3229</v>
      </c>
      <c r="B3384" t="s">
        <v>592</v>
      </c>
      <c r="C3384" t="s">
        <v>205</v>
      </c>
      <c r="D3384" t="str">
        <f>HYPERLINK("http://service.sap.com/sap/support/notes/1845490","1845490")</f>
        <v>1845490</v>
      </c>
      <c r="E3384">
        <v>1</v>
      </c>
      <c r="F3384" t="s">
        <v>3613</v>
      </c>
    </row>
    <row r="3385" spans="1:6" x14ac:dyDescent="0.25">
      <c r="A3385" t="s">
        <v>3229</v>
      </c>
      <c r="B3385" t="s">
        <v>301</v>
      </c>
      <c r="C3385" t="s">
        <v>156</v>
      </c>
    </row>
    <row r="3386" spans="1:6" x14ac:dyDescent="0.25">
      <c r="A3386" t="s">
        <v>3229</v>
      </c>
      <c r="B3386" t="s">
        <v>302</v>
      </c>
      <c r="C3386" t="s">
        <v>303</v>
      </c>
      <c r="D3386" t="str">
        <f>HYPERLINK("http://service.sap.com/sap/support/notes/1836243","1836243")</f>
        <v>1836243</v>
      </c>
      <c r="E3386">
        <v>2</v>
      </c>
      <c r="F3386" t="s">
        <v>3614</v>
      </c>
    </row>
    <row r="3387" spans="1:6" x14ac:dyDescent="0.25">
      <c r="A3387" t="s">
        <v>3229</v>
      </c>
      <c r="B3387" t="s">
        <v>302</v>
      </c>
      <c r="C3387" t="s">
        <v>303</v>
      </c>
      <c r="D3387" t="str">
        <f>HYPERLINK("http://service.sap.com/sap/support/notes/1838918","1838918")</f>
        <v>1838918</v>
      </c>
      <c r="E3387">
        <v>1</v>
      </c>
      <c r="F3387" t="s">
        <v>3615</v>
      </c>
    </row>
    <row r="3388" spans="1:6" x14ac:dyDescent="0.25">
      <c r="A3388" t="s">
        <v>3229</v>
      </c>
      <c r="B3388" t="s">
        <v>302</v>
      </c>
      <c r="C3388" t="s">
        <v>303</v>
      </c>
      <c r="D3388" t="str">
        <f>HYPERLINK("http://service.sap.com/sap/support/notes/1841122","1841122")</f>
        <v>1841122</v>
      </c>
      <c r="E3388">
        <v>8</v>
      </c>
      <c r="F3388" t="s">
        <v>3616</v>
      </c>
    </row>
    <row r="3389" spans="1:6" x14ac:dyDescent="0.25">
      <c r="A3389" t="s">
        <v>3229</v>
      </c>
      <c r="B3389" t="s">
        <v>302</v>
      </c>
      <c r="C3389" t="s">
        <v>303</v>
      </c>
      <c r="D3389" t="str">
        <f>HYPERLINK("http://service.sap.com/sap/support/notes/1842604","1842604")</f>
        <v>1842604</v>
      </c>
      <c r="E3389">
        <v>1</v>
      </c>
      <c r="F3389" t="s">
        <v>3617</v>
      </c>
    </row>
    <row r="3390" spans="1:6" x14ac:dyDescent="0.25">
      <c r="A3390" t="s">
        <v>3229</v>
      </c>
      <c r="B3390" t="s">
        <v>306</v>
      </c>
      <c r="C3390" t="s">
        <v>307</v>
      </c>
      <c r="D3390" t="str">
        <f>HYPERLINK("http://service.sap.com/sap/support/notes/1816777","1816777")</f>
        <v>1816777</v>
      </c>
      <c r="E3390">
        <v>3</v>
      </c>
      <c r="F3390" t="s">
        <v>3618</v>
      </c>
    </row>
    <row r="3391" spans="1:6" x14ac:dyDescent="0.25">
      <c r="A3391" t="s">
        <v>3229</v>
      </c>
      <c r="B3391" t="s">
        <v>306</v>
      </c>
      <c r="C3391" t="s">
        <v>307</v>
      </c>
      <c r="D3391" t="str">
        <f>HYPERLINK("http://service.sap.com/sap/support/notes/1838751","1838751")</f>
        <v>1838751</v>
      </c>
      <c r="E3391">
        <v>1</v>
      </c>
      <c r="F3391" t="s">
        <v>3619</v>
      </c>
    </row>
    <row r="3392" spans="1:6" x14ac:dyDescent="0.25">
      <c r="A3392" t="s">
        <v>3229</v>
      </c>
      <c r="B3392" t="s">
        <v>306</v>
      </c>
      <c r="C3392" t="s">
        <v>307</v>
      </c>
      <c r="D3392" t="str">
        <f>HYPERLINK("http://service.sap.com/sap/support/notes/1845761","1845761")</f>
        <v>1845761</v>
      </c>
      <c r="E3392">
        <v>1</v>
      </c>
      <c r="F3392" t="s">
        <v>3620</v>
      </c>
    </row>
    <row r="3393" spans="1:6" x14ac:dyDescent="0.25">
      <c r="A3393" t="s">
        <v>3229</v>
      </c>
      <c r="B3393" t="s">
        <v>313</v>
      </c>
      <c r="C3393" t="s">
        <v>314</v>
      </c>
      <c r="D3393" t="str">
        <f>HYPERLINK("http://service.sap.com/sap/support/notes/1852891","1852891")</f>
        <v>1852891</v>
      </c>
      <c r="E3393">
        <v>1</v>
      </c>
      <c r="F3393" t="s">
        <v>3621</v>
      </c>
    </row>
    <row r="3394" spans="1:6" x14ac:dyDescent="0.25">
      <c r="A3394" t="s">
        <v>3229</v>
      </c>
      <c r="B3394" t="s">
        <v>668</v>
      </c>
      <c r="C3394" t="s">
        <v>156</v>
      </c>
    </row>
    <row r="3395" spans="1:6" x14ac:dyDescent="0.25">
      <c r="A3395" t="s">
        <v>3229</v>
      </c>
      <c r="B3395" t="s">
        <v>669</v>
      </c>
      <c r="C3395" t="s">
        <v>303</v>
      </c>
      <c r="D3395" t="str">
        <f>HYPERLINK("http://service.sap.com/sap/support/notes/1829432","1829432")</f>
        <v>1829432</v>
      </c>
      <c r="E3395">
        <v>5</v>
      </c>
      <c r="F3395" t="s">
        <v>3622</v>
      </c>
    </row>
    <row r="3396" spans="1:6" x14ac:dyDescent="0.25">
      <c r="A3396" t="s">
        <v>3229</v>
      </c>
      <c r="B3396" t="s">
        <v>319</v>
      </c>
      <c r="C3396" t="s">
        <v>320</v>
      </c>
      <c r="D3396" t="str">
        <f>HYPERLINK("http://service.sap.com/sap/support/notes/1788995","1788995")</f>
        <v>1788995</v>
      </c>
      <c r="E3396">
        <v>1</v>
      </c>
      <c r="F3396" t="s">
        <v>3623</v>
      </c>
    </row>
    <row r="3397" spans="1:6" x14ac:dyDescent="0.25">
      <c r="A3397" t="s">
        <v>3229</v>
      </c>
      <c r="B3397" t="s">
        <v>319</v>
      </c>
      <c r="C3397" t="s">
        <v>320</v>
      </c>
      <c r="D3397" t="str">
        <f>HYPERLINK("http://service.sap.com/sap/support/notes/1835814","1835814")</f>
        <v>1835814</v>
      </c>
      <c r="E3397">
        <v>2</v>
      </c>
      <c r="F3397" t="s">
        <v>3624</v>
      </c>
    </row>
    <row r="3398" spans="1:6" x14ac:dyDescent="0.25">
      <c r="A3398" t="s">
        <v>3229</v>
      </c>
      <c r="B3398" t="s">
        <v>319</v>
      </c>
      <c r="C3398" t="s">
        <v>320</v>
      </c>
      <c r="D3398" t="str">
        <f>HYPERLINK("http://service.sap.com/sap/support/notes/1838956","1838956")</f>
        <v>1838956</v>
      </c>
      <c r="E3398">
        <v>4</v>
      </c>
      <c r="F3398" t="s">
        <v>3625</v>
      </c>
    </row>
    <row r="3399" spans="1:6" x14ac:dyDescent="0.25">
      <c r="A3399" t="s">
        <v>3229</v>
      </c>
      <c r="B3399" t="s">
        <v>319</v>
      </c>
      <c r="C3399" t="s">
        <v>320</v>
      </c>
      <c r="D3399" t="str">
        <f>HYPERLINK("http://service.sap.com/sap/support/notes/1839995","1839995")</f>
        <v>1839995</v>
      </c>
      <c r="E3399">
        <v>1</v>
      </c>
      <c r="F3399" t="s">
        <v>3626</v>
      </c>
    </row>
    <row r="3400" spans="1:6" x14ac:dyDescent="0.25">
      <c r="A3400" t="s">
        <v>3229</v>
      </c>
      <c r="B3400" t="s">
        <v>319</v>
      </c>
      <c r="C3400" t="s">
        <v>320</v>
      </c>
      <c r="D3400" t="str">
        <f>HYPERLINK("http://service.sap.com/sap/support/notes/1840856","1840856")</f>
        <v>1840856</v>
      </c>
      <c r="E3400">
        <v>2</v>
      </c>
      <c r="F3400" t="s">
        <v>3627</v>
      </c>
    </row>
    <row r="3401" spans="1:6" x14ac:dyDescent="0.25">
      <c r="A3401" t="s">
        <v>3229</v>
      </c>
      <c r="B3401" t="s">
        <v>319</v>
      </c>
      <c r="C3401" t="s">
        <v>320</v>
      </c>
      <c r="D3401" t="str">
        <f>HYPERLINK("http://service.sap.com/sap/support/notes/1844277","1844277")</f>
        <v>1844277</v>
      </c>
      <c r="E3401">
        <v>2</v>
      </c>
      <c r="F3401" t="s">
        <v>3628</v>
      </c>
    </row>
    <row r="3402" spans="1:6" x14ac:dyDescent="0.25">
      <c r="A3402" t="s">
        <v>3229</v>
      </c>
      <c r="B3402" t="s">
        <v>2263</v>
      </c>
      <c r="C3402" t="s">
        <v>2264</v>
      </c>
      <c r="D3402" t="str">
        <f>HYPERLINK("http://service.sap.com/sap/support/notes/1176415","1176415")</f>
        <v>1176415</v>
      </c>
      <c r="E3402">
        <v>1</v>
      </c>
      <c r="F3402" t="s">
        <v>3629</v>
      </c>
    </row>
    <row r="3403" spans="1:6" x14ac:dyDescent="0.25">
      <c r="A3403" t="s">
        <v>3229</v>
      </c>
      <c r="B3403" t="s">
        <v>327</v>
      </c>
      <c r="C3403" t="s">
        <v>328</v>
      </c>
      <c r="D3403" t="str">
        <f>HYPERLINK("http://service.sap.com/sap/support/notes/1671588","1671588")</f>
        <v>1671588</v>
      </c>
      <c r="E3403">
        <v>1</v>
      </c>
      <c r="F3403" t="s">
        <v>3630</v>
      </c>
    </row>
    <row r="3404" spans="1:6" x14ac:dyDescent="0.25">
      <c r="A3404" t="s">
        <v>3229</v>
      </c>
      <c r="B3404" t="s">
        <v>327</v>
      </c>
      <c r="C3404" t="s">
        <v>328</v>
      </c>
      <c r="D3404" t="str">
        <f>HYPERLINK("http://service.sap.com/sap/support/notes/1676440","1676440")</f>
        <v>1676440</v>
      </c>
      <c r="E3404">
        <v>3</v>
      </c>
      <c r="F3404" t="s">
        <v>3631</v>
      </c>
    </row>
    <row r="3405" spans="1:6" x14ac:dyDescent="0.25">
      <c r="A3405" t="s">
        <v>3229</v>
      </c>
      <c r="B3405" t="s">
        <v>327</v>
      </c>
      <c r="C3405" t="s">
        <v>328</v>
      </c>
      <c r="D3405" t="str">
        <f>HYPERLINK("http://service.sap.com/sap/support/notes/1773627","1773627")</f>
        <v>1773627</v>
      </c>
      <c r="E3405">
        <v>6</v>
      </c>
      <c r="F3405" t="s">
        <v>3632</v>
      </c>
    </row>
    <row r="3406" spans="1:6" x14ac:dyDescent="0.25">
      <c r="A3406" t="s">
        <v>3229</v>
      </c>
      <c r="B3406" t="s">
        <v>327</v>
      </c>
      <c r="C3406" t="s">
        <v>328</v>
      </c>
      <c r="D3406" t="str">
        <f>HYPERLINK("http://service.sap.com/sap/support/notes/1791037","1791037")</f>
        <v>1791037</v>
      </c>
      <c r="E3406">
        <v>2</v>
      </c>
      <c r="F3406" t="s">
        <v>3633</v>
      </c>
    </row>
    <row r="3407" spans="1:6" x14ac:dyDescent="0.25">
      <c r="A3407" t="s">
        <v>3229</v>
      </c>
      <c r="B3407" t="s">
        <v>327</v>
      </c>
      <c r="C3407" t="s">
        <v>328</v>
      </c>
      <c r="D3407" t="str">
        <f>HYPERLINK("http://service.sap.com/sap/support/notes/1794670","1794670")</f>
        <v>1794670</v>
      </c>
      <c r="E3407">
        <v>1</v>
      </c>
      <c r="F3407" t="s">
        <v>3634</v>
      </c>
    </row>
    <row r="3408" spans="1:6" x14ac:dyDescent="0.25">
      <c r="A3408" t="s">
        <v>3229</v>
      </c>
      <c r="B3408" t="s">
        <v>327</v>
      </c>
      <c r="C3408" t="s">
        <v>328</v>
      </c>
      <c r="D3408" t="str">
        <f>HYPERLINK("http://service.sap.com/sap/support/notes/1810097","1810097")</f>
        <v>1810097</v>
      </c>
      <c r="E3408">
        <v>2</v>
      </c>
      <c r="F3408" t="s">
        <v>3635</v>
      </c>
    </row>
    <row r="3409" spans="1:6" x14ac:dyDescent="0.25">
      <c r="A3409" t="s">
        <v>3229</v>
      </c>
      <c r="B3409" t="s">
        <v>327</v>
      </c>
      <c r="C3409" t="s">
        <v>328</v>
      </c>
      <c r="D3409" t="str">
        <f>HYPERLINK("http://service.sap.com/sap/support/notes/1815973","1815973")</f>
        <v>1815973</v>
      </c>
      <c r="E3409">
        <v>2</v>
      </c>
      <c r="F3409" t="s">
        <v>3636</v>
      </c>
    </row>
    <row r="3410" spans="1:6" x14ac:dyDescent="0.25">
      <c r="A3410" t="s">
        <v>3229</v>
      </c>
      <c r="B3410" t="s">
        <v>327</v>
      </c>
      <c r="C3410" t="s">
        <v>328</v>
      </c>
      <c r="D3410" t="str">
        <f>HYPERLINK("http://service.sap.com/sap/support/notes/1824160","1824160")</f>
        <v>1824160</v>
      </c>
      <c r="E3410">
        <v>4</v>
      </c>
      <c r="F3410" t="s">
        <v>3637</v>
      </c>
    </row>
    <row r="3411" spans="1:6" x14ac:dyDescent="0.25">
      <c r="A3411" t="s">
        <v>3229</v>
      </c>
      <c r="B3411" t="s">
        <v>327</v>
      </c>
      <c r="C3411" t="s">
        <v>328</v>
      </c>
      <c r="D3411" t="str">
        <f>HYPERLINK("http://service.sap.com/sap/support/notes/1829838","1829838")</f>
        <v>1829838</v>
      </c>
      <c r="E3411">
        <v>5</v>
      </c>
      <c r="F3411" t="s">
        <v>3638</v>
      </c>
    </row>
    <row r="3412" spans="1:6" x14ac:dyDescent="0.25">
      <c r="A3412" t="s">
        <v>3229</v>
      </c>
      <c r="B3412" t="s">
        <v>327</v>
      </c>
      <c r="C3412" t="s">
        <v>328</v>
      </c>
      <c r="D3412" t="str">
        <f>HYPERLINK("http://service.sap.com/sap/support/notes/1833950","1833950")</f>
        <v>1833950</v>
      </c>
      <c r="E3412">
        <v>3</v>
      </c>
      <c r="F3412" t="s">
        <v>3639</v>
      </c>
    </row>
    <row r="3413" spans="1:6" x14ac:dyDescent="0.25">
      <c r="A3413" t="s">
        <v>3229</v>
      </c>
      <c r="B3413" t="s">
        <v>327</v>
      </c>
      <c r="C3413" t="s">
        <v>328</v>
      </c>
      <c r="D3413" t="str">
        <f>HYPERLINK("http://service.sap.com/sap/support/notes/1834403","1834403")</f>
        <v>1834403</v>
      </c>
      <c r="E3413">
        <v>2</v>
      </c>
      <c r="F3413" t="s">
        <v>3640</v>
      </c>
    </row>
    <row r="3414" spans="1:6" x14ac:dyDescent="0.25">
      <c r="A3414" t="s">
        <v>3229</v>
      </c>
      <c r="B3414" t="s">
        <v>327</v>
      </c>
      <c r="C3414" t="s">
        <v>328</v>
      </c>
      <c r="D3414" t="str">
        <f>HYPERLINK("http://service.sap.com/sap/support/notes/1834596","1834596")</f>
        <v>1834596</v>
      </c>
      <c r="E3414">
        <v>2</v>
      </c>
      <c r="F3414" t="s">
        <v>3641</v>
      </c>
    </row>
    <row r="3415" spans="1:6" x14ac:dyDescent="0.25">
      <c r="A3415" t="s">
        <v>3229</v>
      </c>
      <c r="B3415" t="s">
        <v>327</v>
      </c>
      <c r="C3415" t="s">
        <v>328</v>
      </c>
      <c r="D3415" t="str">
        <f>HYPERLINK("http://service.sap.com/sap/support/notes/1836315","1836315")</f>
        <v>1836315</v>
      </c>
      <c r="E3415">
        <v>2</v>
      </c>
      <c r="F3415" t="s">
        <v>3642</v>
      </c>
    </row>
    <row r="3416" spans="1:6" x14ac:dyDescent="0.25">
      <c r="A3416" t="s">
        <v>3229</v>
      </c>
      <c r="B3416" t="s">
        <v>327</v>
      </c>
      <c r="C3416" t="s">
        <v>328</v>
      </c>
      <c r="D3416" t="str">
        <f>HYPERLINK("http://service.sap.com/sap/support/notes/1836317","1836317")</f>
        <v>1836317</v>
      </c>
      <c r="E3416">
        <v>4</v>
      </c>
      <c r="F3416" t="s">
        <v>3643</v>
      </c>
    </row>
    <row r="3417" spans="1:6" x14ac:dyDescent="0.25">
      <c r="A3417" t="s">
        <v>3229</v>
      </c>
      <c r="B3417" t="s">
        <v>327</v>
      </c>
      <c r="C3417" t="s">
        <v>328</v>
      </c>
      <c r="D3417" t="str">
        <f>HYPERLINK("http://service.sap.com/sap/support/notes/1838016","1838016")</f>
        <v>1838016</v>
      </c>
      <c r="E3417">
        <v>1</v>
      </c>
      <c r="F3417" t="s">
        <v>3644</v>
      </c>
    </row>
    <row r="3418" spans="1:6" x14ac:dyDescent="0.25">
      <c r="A3418" t="s">
        <v>3229</v>
      </c>
      <c r="B3418" t="s">
        <v>327</v>
      </c>
      <c r="C3418" t="s">
        <v>328</v>
      </c>
      <c r="D3418" t="str">
        <f>HYPERLINK("http://service.sap.com/sap/support/notes/1845671","1845671")</f>
        <v>1845671</v>
      </c>
      <c r="E3418">
        <v>2</v>
      </c>
      <c r="F3418" t="s">
        <v>3645</v>
      </c>
    </row>
    <row r="3419" spans="1:6" x14ac:dyDescent="0.25">
      <c r="A3419" t="s">
        <v>3229</v>
      </c>
      <c r="B3419" t="s">
        <v>327</v>
      </c>
      <c r="C3419" t="s">
        <v>328</v>
      </c>
      <c r="D3419" t="str">
        <f>HYPERLINK("http://service.sap.com/sap/support/notes/1845688","1845688")</f>
        <v>1845688</v>
      </c>
      <c r="E3419">
        <v>2</v>
      </c>
      <c r="F3419" t="s">
        <v>3646</v>
      </c>
    </row>
    <row r="3420" spans="1:6" x14ac:dyDescent="0.25">
      <c r="A3420" t="s">
        <v>3229</v>
      </c>
      <c r="B3420" t="s">
        <v>327</v>
      </c>
      <c r="C3420" t="s">
        <v>328</v>
      </c>
      <c r="D3420" t="str">
        <f>HYPERLINK("http://service.sap.com/sap/support/notes/1847493","1847493")</f>
        <v>1847493</v>
      </c>
      <c r="E3420">
        <v>5</v>
      </c>
      <c r="F3420" t="s">
        <v>3647</v>
      </c>
    </row>
    <row r="3421" spans="1:6" x14ac:dyDescent="0.25">
      <c r="A3421" t="s">
        <v>3229</v>
      </c>
      <c r="B3421" t="s">
        <v>594</v>
      </c>
      <c r="C3421" t="s">
        <v>128</v>
      </c>
      <c r="D3421" t="str">
        <f>HYPERLINK("http://service.sap.com/sap/support/notes/1824363","1824363")</f>
        <v>1824363</v>
      </c>
      <c r="E3421">
        <v>1</v>
      </c>
      <c r="F3421" t="s">
        <v>3087</v>
      </c>
    </row>
    <row r="3422" spans="1:6" x14ac:dyDescent="0.25">
      <c r="A3422" t="s">
        <v>3229</v>
      </c>
      <c r="B3422" t="s">
        <v>337</v>
      </c>
      <c r="C3422" t="s">
        <v>48</v>
      </c>
      <c r="D3422" t="str">
        <f>HYPERLINK("http://service.sap.com/sap/support/notes/1812401","1812401")</f>
        <v>1812401</v>
      </c>
      <c r="E3422">
        <v>1</v>
      </c>
      <c r="F3422" t="s">
        <v>3648</v>
      </c>
    </row>
    <row r="3423" spans="1:6" x14ac:dyDescent="0.25">
      <c r="A3423" t="s">
        <v>3229</v>
      </c>
      <c r="B3423" t="s">
        <v>337</v>
      </c>
      <c r="C3423" t="s">
        <v>48</v>
      </c>
      <c r="D3423" t="str">
        <f>HYPERLINK("http://service.sap.com/sap/support/notes/1817821","1817821")</f>
        <v>1817821</v>
      </c>
      <c r="E3423">
        <v>2</v>
      </c>
      <c r="F3423" t="s">
        <v>3649</v>
      </c>
    </row>
    <row r="3424" spans="1:6" x14ac:dyDescent="0.25">
      <c r="A3424" t="s">
        <v>3229</v>
      </c>
      <c r="B3424" t="s">
        <v>337</v>
      </c>
      <c r="C3424" t="s">
        <v>48</v>
      </c>
      <c r="D3424" t="str">
        <f>HYPERLINK("http://service.sap.com/sap/support/notes/1818360","1818360")</f>
        <v>1818360</v>
      </c>
      <c r="E3424">
        <v>2</v>
      </c>
      <c r="F3424" t="s">
        <v>3650</v>
      </c>
    </row>
    <row r="3425" spans="1:6" x14ac:dyDescent="0.25">
      <c r="A3425" t="s">
        <v>3229</v>
      </c>
      <c r="B3425" t="s">
        <v>337</v>
      </c>
      <c r="C3425" t="s">
        <v>48</v>
      </c>
      <c r="D3425" t="str">
        <f>HYPERLINK("http://service.sap.com/sap/support/notes/1826223","1826223")</f>
        <v>1826223</v>
      </c>
      <c r="E3425">
        <v>2</v>
      </c>
      <c r="F3425" t="s">
        <v>3651</v>
      </c>
    </row>
    <row r="3426" spans="1:6" x14ac:dyDescent="0.25">
      <c r="A3426" t="s">
        <v>3229</v>
      </c>
      <c r="B3426" t="s">
        <v>337</v>
      </c>
      <c r="C3426" t="s">
        <v>48</v>
      </c>
      <c r="D3426" t="str">
        <f>HYPERLINK("http://service.sap.com/sap/support/notes/1840994","1840994")</f>
        <v>1840994</v>
      </c>
      <c r="E3426">
        <v>1</v>
      </c>
      <c r="F3426" t="s">
        <v>3652</v>
      </c>
    </row>
    <row r="3427" spans="1:6" x14ac:dyDescent="0.25">
      <c r="A3427" t="s">
        <v>3229</v>
      </c>
      <c r="B3427" t="s">
        <v>340</v>
      </c>
      <c r="C3427" t="s">
        <v>52</v>
      </c>
      <c r="D3427" t="str">
        <f>HYPERLINK("http://service.sap.com/sap/support/notes/1831602","1831602")</f>
        <v>1831602</v>
      </c>
      <c r="E3427">
        <v>4</v>
      </c>
      <c r="F3427" t="s">
        <v>3100</v>
      </c>
    </row>
    <row r="3428" spans="1:6" x14ac:dyDescent="0.25">
      <c r="A3428" t="s">
        <v>3229</v>
      </c>
      <c r="B3428" t="s">
        <v>340</v>
      </c>
      <c r="C3428" t="s">
        <v>52</v>
      </c>
      <c r="D3428" t="str">
        <f>HYPERLINK("http://service.sap.com/sap/support/notes/1841568","1841568")</f>
        <v>1841568</v>
      </c>
      <c r="E3428">
        <v>1</v>
      </c>
      <c r="F3428" t="s">
        <v>3653</v>
      </c>
    </row>
    <row r="3429" spans="1:6" x14ac:dyDescent="0.25">
      <c r="A3429" t="s">
        <v>3229</v>
      </c>
      <c r="B3429" t="s">
        <v>340</v>
      </c>
      <c r="C3429" t="s">
        <v>52</v>
      </c>
      <c r="D3429" t="str">
        <f>HYPERLINK("http://service.sap.com/sap/support/notes/1843366","1843366")</f>
        <v>1843366</v>
      </c>
      <c r="E3429">
        <v>3</v>
      </c>
      <c r="F3429" t="s">
        <v>3654</v>
      </c>
    </row>
    <row r="3430" spans="1:6" x14ac:dyDescent="0.25">
      <c r="A3430" t="s">
        <v>3229</v>
      </c>
      <c r="B3430" t="s">
        <v>340</v>
      </c>
      <c r="C3430" t="s">
        <v>52</v>
      </c>
      <c r="D3430" t="str">
        <f>HYPERLINK("http://service.sap.com/sap/support/notes/1843399","1843399")</f>
        <v>1843399</v>
      </c>
      <c r="E3430">
        <v>2</v>
      </c>
      <c r="F3430" t="s">
        <v>3655</v>
      </c>
    </row>
    <row r="3431" spans="1:6" x14ac:dyDescent="0.25">
      <c r="A3431" t="s">
        <v>3229</v>
      </c>
      <c r="B3431" t="s">
        <v>340</v>
      </c>
      <c r="C3431" t="s">
        <v>52</v>
      </c>
      <c r="D3431" t="str">
        <f>HYPERLINK("http://service.sap.com/sap/support/notes/1848107","1848107")</f>
        <v>1848107</v>
      </c>
      <c r="E3431">
        <v>4</v>
      </c>
      <c r="F3431" t="s">
        <v>3656</v>
      </c>
    </row>
    <row r="3432" spans="1:6" x14ac:dyDescent="0.25">
      <c r="A3432" t="s">
        <v>3229</v>
      </c>
      <c r="B3432" t="s">
        <v>344</v>
      </c>
      <c r="C3432" t="s">
        <v>345</v>
      </c>
      <c r="D3432" t="str">
        <f>HYPERLINK("http://service.sap.com/sap/support/notes/1764976","1764976")</f>
        <v>1764976</v>
      </c>
      <c r="E3432">
        <v>1</v>
      </c>
      <c r="F3432" t="s">
        <v>3657</v>
      </c>
    </row>
    <row r="3433" spans="1:6" x14ac:dyDescent="0.25">
      <c r="A3433" t="s">
        <v>3229</v>
      </c>
      <c r="B3433" t="s">
        <v>344</v>
      </c>
      <c r="C3433" t="s">
        <v>345</v>
      </c>
      <c r="D3433" t="str">
        <f>HYPERLINK("http://service.sap.com/sap/support/notes/1823799","1823799")</f>
        <v>1823799</v>
      </c>
      <c r="E3433">
        <v>2</v>
      </c>
      <c r="F3433" t="s">
        <v>3658</v>
      </c>
    </row>
    <row r="3434" spans="1:6" x14ac:dyDescent="0.25">
      <c r="A3434" t="s">
        <v>3229</v>
      </c>
      <c r="B3434" t="s">
        <v>344</v>
      </c>
      <c r="C3434" t="s">
        <v>345</v>
      </c>
      <c r="D3434" t="str">
        <f>HYPERLINK("http://service.sap.com/sap/support/notes/1836859","1836859")</f>
        <v>1836859</v>
      </c>
      <c r="E3434">
        <v>2</v>
      </c>
      <c r="F3434" t="s">
        <v>3659</v>
      </c>
    </row>
    <row r="3435" spans="1:6" x14ac:dyDescent="0.25">
      <c r="A3435" t="s">
        <v>3229</v>
      </c>
      <c r="B3435" t="s">
        <v>350</v>
      </c>
      <c r="C3435" t="s">
        <v>351</v>
      </c>
      <c r="D3435" t="str">
        <f>HYPERLINK("http://service.sap.com/sap/support/notes/1824447","1824447")</f>
        <v>1824447</v>
      </c>
      <c r="E3435">
        <v>5</v>
      </c>
      <c r="F3435" t="s">
        <v>3660</v>
      </c>
    </row>
    <row r="3436" spans="1:6" x14ac:dyDescent="0.25">
      <c r="A3436" t="s">
        <v>3229</v>
      </c>
      <c r="B3436" t="s">
        <v>350</v>
      </c>
      <c r="C3436" t="s">
        <v>351</v>
      </c>
      <c r="D3436" t="str">
        <f>HYPERLINK("http://service.sap.com/sap/support/notes/1832010","1832010")</f>
        <v>1832010</v>
      </c>
      <c r="E3436">
        <v>1</v>
      </c>
      <c r="F3436" t="s">
        <v>3661</v>
      </c>
    </row>
    <row r="3437" spans="1:6" x14ac:dyDescent="0.25">
      <c r="A3437" t="s">
        <v>3229</v>
      </c>
      <c r="B3437" t="s">
        <v>350</v>
      </c>
      <c r="C3437" t="s">
        <v>351</v>
      </c>
      <c r="D3437" t="str">
        <f>HYPERLINK("http://service.sap.com/sap/support/notes/1838726","1838726")</f>
        <v>1838726</v>
      </c>
      <c r="E3437">
        <v>1</v>
      </c>
      <c r="F3437" t="s">
        <v>3662</v>
      </c>
    </row>
    <row r="3438" spans="1:6" x14ac:dyDescent="0.25">
      <c r="A3438" t="s">
        <v>3229</v>
      </c>
      <c r="B3438" t="s">
        <v>350</v>
      </c>
      <c r="C3438" t="s">
        <v>351</v>
      </c>
      <c r="D3438" t="str">
        <f>HYPERLINK("http://service.sap.com/sap/support/notes/1838736","1838736")</f>
        <v>1838736</v>
      </c>
      <c r="E3438">
        <v>3</v>
      </c>
      <c r="F3438" t="s">
        <v>3663</v>
      </c>
    </row>
    <row r="3439" spans="1:6" x14ac:dyDescent="0.25">
      <c r="A3439" t="s">
        <v>3229</v>
      </c>
      <c r="B3439" t="s">
        <v>350</v>
      </c>
      <c r="C3439" t="s">
        <v>351</v>
      </c>
      <c r="D3439" t="str">
        <f>HYPERLINK("http://service.sap.com/sap/support/notes/1842788","1842788")</f>
        <v>1842788</v>
      </c>
      <c r="E3439">
        <v>1</v>
      </c>
      <c r="F3439" t="s">
        <v>3664</v>
      </c>
    </row>
    <row r="3440" spans="1:6" x14ac:dyDescent="0.25">
      <c r="A3440" t="s">
        <v>3229</v>
      </c>
      <c r="B3440" t="s">
        <v>350</v>
      </c>
      <c r="C3440" t="s">
        <v>351</v>
      </c>
      <c r="D3440" t="str">
        <f>HYPERLINK("http://service.sap.com/sap/support/notes/1845758","1845758")</f>
        <v>1845758</v>
      </c>
      <c r="E3440">
        <v>1</v>
      </c>
      <c r="F3440" t="s">
        <v>3665</v>
      </c>
    </row>
    <row r="3441" spans="1:6" x14ac:dyDescent="0.25">
      <c r="A3441" t="s">
        <v>3229</v>
      </c>
      <c r="B3441" t="s">
        <v>350</v>
      </c>
      <c r="C3441" t="s">
        <v>351</v>
      </c>
      <c r="D3441" t="str">
        <f>HYPERLINK("http://service.sap.com/sap/support/notes/1846444","1846444")</f>
        <v>1846444</v>
      </c>
      <c r="E3441">
        <v>1</v>
      </c>
      <c r="F3441" t="s">
        <v>3666</v>
      </c>
    </row>
    <row r="3442" spans="1:6" x14ac:dyDescent="0.25">
      <c r="A3442" t="s">
        <v>3229</v>
      </c>
      <c r="B3442" t="s">
        <v>350</v>
      </c>
      <c r="C3442" t="s">
        <v>351</v>
      </c>
      <c r="D3442" t="str">
        <f>HYPERLINK("http://service.sap.com/sap/support/notes/1846850","1846850")</f>
        <v>1846850</v>
      </c>
      <c r="E3442">
        <v>1</v>
      </c>
      <c r="F3442" t="s">
        <v>3667</v>
      </c>
    </row>
    <row r="3443" spans="1:6" x14ac:dyDescent="0.25">
      <c r="A3443" t="s">
        <v>3229</v>
      </c>
      <c r="B3443" t="s">
        <v>350</v>
      </c>
      <c r="C3443" t="s">
        <v>351</v>
      </c>
      <c r="D3443" t="str">
        <f>HYPERLINK("http://service.sap.com/sap/support/notes/1847589","1847589")</f>
        <v>1847589</v>
      </c>
      <c r="E3443">
        <v>1</v>
      </c>
      <c r="F3443" t="s">
        <v>3668</v>
      </c>
    </row>
    <row r="3444" spans="1:6" x14ac:dyDescent="0.25">
      <c r="A3444" t="s">
        <v>3229</v>
      </c>
      <c r="B3444" t="s">
        <v>356</v>
      </c>
      <c r="C3444" t="s">
        <v>55</v>
      </c>
      <c r="D3444" t="str">
        <f>HYPERLINK("http://service.sap.com/sap/support/notes/1837091","1837091")</f>
        <v>1837091</v>
      </c>
      <c r="E3444">
        <v>1</v>
      </c>
      <c r="F3444" t="s">
        <v>3669</v>
      </c>
    </row>
    <row r="3445" spans="1:6" x14ac:dyDescent="0.25">
      <c r="A3445" t="s">
        <v>3229</v>
      </c>
      <c r="B3445" t="s">
        <v>356</v>
      </c>
      <c r="C3445" t="s">
        <v>55</v>
      </c>
      <c r="D3445" t="str">
        <f>HYPERLINK("http://service.sap.com/sap/support/notes/1837813","1837813")</f>
        <v>1837813</v>
      </c>
      <c r="E3445">
        <v>2</v>
      </c>
      <c r="F3445" t="s">
        <v>3670</v>
      </c>
    </row>
    <row r="3446" spans="1:6" x14ac:dyDescent="0.25">
      <c r="A3446" t="s">
        <v>3229</v>
      </c>
      <c r="B3446" t="s">
        <v>356</v>
      </c>
      <c r="C3446" t="s">
        <v>55</v>
      </c>
      <c r="D3446" t="str">
        <f>HYPERLINK("http://service.sap.com/sap/support/notes/1839756","1839756")</f>
        <v>1839756</v>
      </c>
      <c r="E3446">
        <v>1</v>
      </c>
      <c r="F3446" t="s">
        <v>3671</v>
      </c>
    </row>
    <row r="3447" spans="1:6" x14ac:dyDescent="0.25">
      <c r="A3447" t="s">
        <v>3229</v>
      </c>
      <c r="B3447" t="s">
        <v>356</v>
      </c>
      <c r="C3447" t="s">
        <v>55</v>
      </c>
      <c r="D3447" t="str">
        <f>HYPERLINK("http://service.sap.com/sap/support/notes/1841391","1841391")</f>
        <v>1841391</v>
      </c>
    </row>
    <row r="3448" spans="1:6" x14ac:dyDescent="0.25">
      <c r="A3448" t="s">
        <v>3229</v>
      </c>
      <c r="B3448" t="s">
        <v>356</v>
      </c>
      <c r="C3448" t="s">
        <v>55</v>
      </c>
      <c r="D3448" t="str">
        <f>HYPERLINK("http://service.sap.com/sap/support/notes/1841893","1841893")</f>
        <v>1841893</v>
      </c>
    </row>
    <row r="3449" spans="1:6" x14ac:dyDescent="0.25">
      <c r="A3449" t="s">
        <v>3229</v>
      </c>
      <c r="B3449" t="s">
        <v>356</v>
      </c>
      <c r="C3449" t="s">
        <v>55</v>
      </c>
      <c r="D3449" t="str">
        <f>HYPERLINK("http://service.sap.com/sap/support/notes/1844138","1844138")</f>
        <v>1844138</v>
      </c>
    </row>
    <row r="3450" spans="1:6" x14ac:dyDescent="0.25">
      <c r="A3450" t="s">
        <v>3229</v>
      </c>
      <c r="B3450" t="s">
        <v>356</v>
      </c>
      <c r="C3450" t="s">
        <v>55</v>
      </c>
      <c r="D3450" t="str">
        <f>HYPERLINK("http://service.sap.com/sap/support/notes/1844304","1844304")</f>
        <v>1844304</v>
      </c>
      <c r="E3450">
        <v>1</v>
      </c>
      <c r="F3450" t="s">
        <v>3672</v>
      </c>
    </row>
    <row r="3451" spans="1:6" x14ac:dyDescent="0.25">
      <c r="A3451" t="s">
        <v>3229</v>
      </c>
      <c r="B3451" t="s">
        <v>356</v>
      </c>
      <c r="C3451" t="s">
        <v>55</v>
      </c>
      <c r="D3451" t="str">
        <f>HYPERLINK("http://service.sap.com/sap/support/notes/1844703","1844703")</f>
        <v>1844703</v>
      </c>
      <c r="E3451">
        <v>1</v>
      </c>
      <c r="F3451" t="s">
        <v>3673</v>
      </c>
    </row>
    <row r="3452" spans="1:6" x14ac:dyDescent="0.25">
      <c r="A3452" t="s">
        <v>3229</v>
      </c>
      <c r="B3452" t="s">
        <v>356</v>
      </c>
      <c r="C3452" t="s">
        <v>55</v>
      </c>
      <c r="D3452" t="str">
        <f>HYPERLINK("http://service.sap.com/sap/support/notes/1848170","1848170")</f>
        <v>1848170</v>
      </c>
      <c r="E3452">
        <v>2</v>
      </c>
      <c r="F3452" t="s">
        <v>3674</v>
      </c>
    </row>
    <row r="3453" spans="1:6" x14ac:dyDescent="0.25">
      <c r="A3453" t="s">
        <v>3229</v>
      </c>
      <c r="B3453" t="s">
        <v>356</v>
      </c>
      <c r="C3453" t="s">
        <v>55</v>
      </c>
      <c r="D3453" t="str">
        <f>HYPERLINK("http://service.sap.com/sap/support/notes/1848719","1848719")</f>
        <v>1848719</v>
      </c>
      <c r="E3453">
        <v>1</v>
      </c>
      <c r="F3453" t="s">
        <v>3675</v>
      </c>
    </row>
    <row r="3454" spans="1:6" x14ac:dyDescent="0.25">
      <c r="A3454" t="s">
        <v>3229</v>
      </c>
      <c r="B3454" t="s">
        <v>362</v>
      </c>
      <c r="C3454" t="s">
        <v>363</v>
      </c>
      <c r="D3454" t="str">
        <f>HYPERLINK("http://service.sap.com/sap/support/notes/1801708","1801708")</f>
        <v>1801708</v>
      </c>
      <c r="E3454">
        <v>1</v>
      </c>
      <c r="F3454" t="s">
        <v>3676</v>
      </c>
    </row>
    <row r="3455" spans="1:6" x14ac:dyDescent="0.25">
      <c r="A3455" t="s">
        <v>3229</v>
      </c>
      <c r="B3455" t="s">
        <v>362</v>
      </c>
      <c r="C3455" t="s">
        <v>363</v>
      </c>
      <c r="D3455" t="str">
        <f>HYPERLINK("http://service.sap.com/sap/support/notes/1820108","1820108")</f>
        <v>1820108</v>
      </c>
      <c r="E3455">
        <v>2</v>
      </c>
      <c r="F3455" t="s">
        <v>3677</v>
      </c>
    </row>
    <row r="3456" spans="1:6" x14ac:dyDescent="0.25">
      <c r="A3456" t="s">
        <v>3229</v>
      </c>
      <c r="B3456" t="s">
        <v>362</v>
      </c>
      <c r="C3456" t="s">
        <v>363</v>
      </c>
      <c r="D3456" t="str">
        <f>HYPERLINK("http://service.sap.com/sap/support/notes/1828376","1828376")</f>
        <v>1828376</v>
      </c>
      <c r="E3456">
        <v>1</v>
      </c>
      <c r="F3456" t="s">
        <v>3678</v>
      </c>
    </row>
    <row r="3457" spans="1:6" x14ac:dyDescent="0.25">
      <c r="A3457" t="s">
        <v>3229</v>
      </c>
      <c r="B3457" t="s">
        <v>362</v>
      </c>
      <c r="C3457" t="s">
        <v>363</v>
      </c>
      <c r="D3457" t="str">
        <f>HYPERLINK("http://service.sap.com/sap/support/notes/1839023","1839023")</f>
        <v>1839023</v>
      </c>
      <c r="E3457">
        <v>2</v>
      </c>
      <c r="F3457" t="s">
        <v>3679</v>
      </c>
    </row>
    <row r="3458" spans="1:6" x14ac:dyDescent="0.25">
      <c r="A3458" t="s">
        <v>3229</v>
      </c>
      <c r="B3458" t="s">
        <v>362</v>
      </c>
      <c r="C3458" t="s">
        <v>363</v>
      </c>
      <c r="D3458" t="str">
        <f>HYPERLINK("http://service.sap.com/sap/support/notes/1841387","1841387")</f>
        <v>1841387</v>
      </c>
      <c r="E3458">
        <v>2</v>
      </c>
      <c r="F3458" t="s">
        <v>3680</v>
      </c>
    </row>
    <row r="3459" spans="1:6" x14ac:dyDescent="0.25">
      <c r="A3459" t="s">
        <v>3229</v>
      </c>
      <c r="B3459" t="s">
        <v>362</v>
      </c>
      <c r="C3459" t="s">
        <v>363</v>
      </c>
      <c r="D3459" t="str">
        <f>HYPERLINK("http://service.sap.com/sap/support/notes/1841626","1841626")</f>
        <v>1841626</v>
      </c>
      <c r="E3459">
        <v>2</v>
      </c>
      <c r="F3459" t="s">
        <v>3681</v>
      </c>
    </row>
    <row r="3460" spans="1:6" x14ac:dyDescent="0.25">
      <c r="A3460" t="s">
        <v>3229</v>
      </c>
      <c r="B3460" t="s">
        <v>362</v>
      </c>
      <c r="C3460" t="s">
        <v>363</v>
      </c>
      <c r="D3460" t="str">
        <f>HYPERLINK("http://service.sap.com/sap/support/notes/1841656","1841656")</f>
        <v>1841656</v>
      </c>
      <c r="E3460">
        <v>3</v>
      </c>
      <c r="F3460" t="s">
        <v>3682</v>
      </c>
    </row>
    <row r="3461" spans="1:6" x14ac:dyDescent="0.25">
      <c r="A3461" t="s">
        <v>3229</v>
      </c>
      <c r="B3461" t="s">
        <v>362</v>
      </c>
      <c r="C3461" t="s">
        <v>363</v>
      </c>
      <c r="D3461" t="str">
        <f>HYPERLINK("http://service.sap.com/sap/support/notes/1843595","1843595")</f>
        <v>1843595</v>
      </c>
      <c r="E3461">
        <v>1</v>
      </c>
      <c r="F3461" t="s">
        <v>3683</v>
      </c>
    </row>
    <row r="3462" spans="1:6" x14ac:dyDescent="0.25">
      <c r="A3462" t="s">
        <v>3229</v>
      </c>
      <c r="B3462" t="s">
        <v>362</v>
      </c>
      <c r="C3462" t="s">
        <v>363</v>
      </c>
      <c r="D3462" t="str">
        <f>HYPERLINK("http://service.sap.com/sap/support/notes/1843742","1843742")</f>
        <v>1843742</v>
      </c>
      <c r="E3462">
        <v>2</v>
      </c>
      <c r="F3462" t="s">
        <v>3684</v>
      </c>
    </row>
    <row r="3463" spans="1:6" x14ac:dyDescent="0.25">
      <c r="A3463" t="s">
        <v>3229</v>
      </c>
      <c r="B3463" t="s">
        <v>362</v>
      </c>
      <c r="C3463" t="s">
        <v>363</v>
      </c>
      <c r="D3463" t="str">
        <f>HYPERLINK("http://service.sap.com/sap/support/notes/1845077","1845077")</f>
        <v>1845077</v>
      </c>
      <c r="E3463">
        <v>2</v>
      </c>
      <c r="F3463" t="s">
        <v>3685</v>
      </c>
    </row>
    <row r="3464" spans="1:6" x14ac:dyDescent="0.25">
      <c r="A3464" t="s">
        <v>3229</v>
      </c>
      <c r="B3464" t="s">
        <v>362</v>
      </c>
      <c r="C3464" t="s">
        <v>363</v>
      </c>
      <c r="D3464" t="str">
        <f>HYPERLINK("http://service.sap.com/sap/support/notes/1847201","1847201")</f>
        <v>1847201</v>
      </c>
      <c r="E3464">
        <v>4</v>
      </c>
      <c r="F3464" t="s">
        <v>3686</v>
      </c>
    </row>
    <row r="3465" spans="1:6" x14ac:dyDescent="0.25">
      <c r="A3465" t="s">
        <v>3229</v>
      </c>
      <c r="B3465" t="s">
        <v>362</v>
      </c>
      <c r="C3465" t="s">
        <v>363</v>
      </c>
      <c r="D3465" t="str">
        <f>HYPERLINK("http://service.sap.com/sap/support/notes/1849285","1849285")</f>
        <v>1849285</v>
      </c>
      <c r="E3465">
        <v>2</v>
      </c>
      <c r="F3465" t="s">
        <v>3687</v>
      </c>
    </row>
    <row r="3466" spans="1:6" x14ac:dyDescent="0.25">
      <c r="A3466" t="s">
        <v>3229</v>
      </c>
      <c r="B3466" t="s">
        <v>379</v>
      </c>
      <c r="C3466" t="s">
        <v>1356</v>
      </c>
      <c r="D3466" t="str">
        <f>HYPERLINK("http://service.sap.com/sap/support/notes/1843749","1843749")</f>
        <v>1843749</v>
      </c>
      <c r="E3466">
        <v>3</v>
      </c>
      <c r="F3466" t="s">
        <v>3688</v>
      </c>
    </row>
    <row r="3467" spans="1:6" x14ac:dyDescent="0.25">
      <c r="A3467" t="s">
        <v>3229</v>
      </c>
      <c r="B3467" t="s">
        <v>384</v>
      </c>
      <c r="C3467" t="s">
        <v>595</v>
      </c>
      <c r="D3467" t="str">
        <f>HYPERLINK("http://service.sap.com/sap/support/notes/1724017","1724017")</f>
        <v>1724017</v>
      </c>
      <c r="E3467">
        <v>1</v>
      </c>
      <c r="F3467" t="s">
        <v>387</v>
      </c>
    </row>
    <row r="3468" spans="1:6" x14ac:dyDescent="0.25">
      <c r="A3468" t="s">
        <v>3229</v>
      </c>
      <c r="B3468" t="s">
        <v>384</v>
      </c>
      <c r="C3468" t="s">
        <v>595</v>
      </c>
      <c r="D3468" t="str">
        <f>HYPERLINK("http://service.sap.com/sap/support/notes/1824968","1824968")</f>
        <v>1824968</v>
      </c>
      <c r="E3468">
        <v>1</v>
      </c>
      <c r="F3468" t="s">
        <v>3689</v>
      </c>
    </row>
    <row r="3469" spans="1:6" x14ac:dyDescent="0.25">
      <c r="A3469" t="s">
        <v>3229</v>
      </c>
      <c r="B3469" t="s">
        <v>395</v>
      </c>
      <c r="C3469" t="s">
        <v>396</v>
      </c>
      <c r="D3469" t="str">
        <f>HYPERLINK("http://service.sap.com/sap/support/notes/1821715","1821715")</f>
        <v>1821715</v>
      </c>
      <c r="E3469">
        <v>1</v>
      </c>
      <c r="F3469" t="s">
        <v>3690</v>
      </c>
    </row>
    <row r="3470" spans="1:6" x14ac:dyDescent="0.25">
      <c r="A3470" t="s">
        <v>3229</v>
      </c>
      <c r="B3470" t="s">
        <v>395</v>
      </c>
      <c r="C3470" t="s">
        <v>396</v>
      </c>
      <c r="D3470" t="str">
        <f>HYPERLINK("http://service.sap.com/sap/support/notes/1836546","1836546")</f>
        <v>1836546</v>
      </c>
      <c r="E3470">
        <v>1</v>
      </c>
      <c r="F3470" t="s">
        <v>3691</v>
      </c>
    </row>
    <row r="3471" spans="1:6" x14ac:dyDescent="0.25">
      <c r="A3471" t="s">
        <v>3229</v>
      </c>
      <c r="B3471" t="s">
        <v>395</v>
      </c>
      <c r="C3471" t="s">
        <v>396</v>
      </c>
      <c r="D3471" t="str">
        <f>HYPERLINK("http://service.sap.com/sap/support/notes/1838246","1838246")</f>
        <v>1838246</v>
      </c>
      <c r="E3471">
        <v>1</v>
      </c>
      <c r="F3471" t="s">
        <v>3692</v>
      </c>
    </row>
    <row r="3472" spans="1:6" x14ac:dyDescent="0.25">
      <c r="A3472" t="s">
        <v>3229</v>
      </c>
      <c r="B3472" t="s">
        <v>395</v>
      </c>
      <c r="C3472" t="s">
        <v>396</v>
      </c>
      <c r="D3472" t="str">
        <f>HYPERLINK("http://service.sap.com/sap/support/notes/1838572","1838572")</f>
        <v>1838572</v>
      </c>
      <c r="E3472">
        <v>1</v>
      </c>
      <c r="F3472" t="s">
        <v>3693</v>
      </c>
    </row>
    <row r="3473" spans="1:6" x14ac:dyDescent="0.25">
      <c r="A3473" t="s">
        <v>3229</v>
      </c>
      <c r="B3473" t="s">
        <v>395</v>
      </c>
      <c r="C3473" t="s">
        <v>396</v>
      </c>
      <c r="D3473" t="str">
        <f>HYPERLINK("http://service.sap.com/sap/support/notes/1843342","1843342")</f>
        <v>1843342</v>
      </c>
      <c r="E3473">
        <v>4</v>
      </c>
      <c r="F3473" t="s">
        <v>3694</v>
      </c>
    </row>
    <row r="3474" spans="1:6" x14ac:dyDescent="0.25">
      <c r="A3474" t="s">
        <v>3229</v>
      </c>
      <c r="B3474" t="s">
        <v>406</v>
      </c>
      <c r="C3474" t="s">
        <v>407</v>
      </c>
      <c r="D3474" t="str">
        <f>HYPERLINK("http://service.sap.com/sap/support/notes/1060820","1060820")</f>
        <v>1060820</v>
      </c>
      <c r="E3474">
        <v>1</v>
      </c>
      <c r="F3474" t="s">
        <v>596</v>
      </c>
    </row>
    <row r="3475" spans="1:6" x14ac:dyDescent="0.25">
      <c r="A3475" t="s">
        <v>3229</v>
      </c>
      <c r="B3475" t="s">
        <v>406</v>
      </c>
      <c r="C3475" t="s">
        <v>407</v>
      </c>
      <c r="D3475" t="str">
        <f>HYPERLINK("http://service.sap.com/sap/support/notes/1794129","1794129")</f>
        <v>1794129</v>
      </c>
      <c r="E3475">
        <v>3</v>
      </c>
      <c r="F3475" t="s">
        <v>3695</v>
      </c>
    </row>
    <row r="3476" spans="1:6" x14ac:dyDescent="0.25">
      <c r="A3476" t="s">
        <v>3229</v>
      </c>
      <c r="B3476" t="s">
        <v>406</v>
      </c>
      <c r="C3476" t="s">
        <v>407</v>
      </c>
      <c r="D3476" t="str">
        <f>HYPERLINK("http://service.sap.com/sap/support/notes/1804775","1804775")</f>
        <v>1804775</v>
      </c>
      <c r="E3476">
        <v>4</v>
      </c>
      <c r="F3476" t="s">
        <v>3696</v>
      </c>
    </row>
    <row r="3477" spans="1:6" x14ac:dyDescent="0.25">
      <c r="A3477" t="s">
        <v>3229</v>
      </c>
      <c r="B3477" t="s">
        <v>406</v>
      </c>
      <c r="C3477" t="s">
        <v>407</v>
      </c>
      <c r="D3477" t="str">
        <f>HYPERLINK("http://service.sap.com/sap/support/notes/1812361","1812361")</f>
        <v>1812361</v>
      </c>
      <c r="E3477">
        <v>3</v>
      </c>
      <c r="F3477" t="s">
        <v>3697</v>
      </c>
    </row>
    <row r="3478" spans="1:6" x14ac:dyDescent="0.25">
      <c r="A3478" t="s">
        <v>3229</v>
      </c>
      <c r="B3478" t="s">
        <v>406</v>
      </c>
      <c r="C3478" t="s">
        <v>407</v>
      </c>
      <c r="D3478" t="str">
        <f>HYPERLINK("http://service.sap.com/sap/support/notes/1812689","1812689")</f>
        <v>1812689</v>
      </c>
      <c r="E3478">
        <v>2</v>
      </c>
      <c r="F3478" t="s">
        <v>3698</v>
      </c>
    </row>
    <row r="3479" spans="1:6" x14ac:dyDescent="0.25">
      <c r="A3479" t="s">
        <v>3229</v>
      </c>
      <c r="B3479" t="s">
        <v>406</v>
      </c>
      <c r="C3479" t="s">
        <v>407</v>
      </c>
      <c r="D3479" t="str">
        <f>HYPERLINK("http://service.sap.com/sap/support/notes/1814739","1814739")</f>
        <v>1814739</v>
      </c>
      <c r="E3479">
        <v>2</v>
      </c>
      <c r="F3479" t="s">
        <v>3699</v>
      </c>
    </row>
    <row r="3480" spans="1:6" x14ac:dyDescent="0.25">
      <c r="A3480" t="s">
        <v>3229</v>
      </c>
      <c r="B3480" t="s">
        <v>406</v>
      </c>
      <c r="C3480" t="s">
        <v>407</v>
      </c>
      <c r="D3480" t="str">
        <f>HYPERLINK("http://service.sap.com/sap/support/notes/1824393","1824393")</f>
        <v>1824393</v>
      </c>
      <c r="E3480">
        <v>7</v>
      </c>
      <c r="F3480" t="s">
        <v>3700</v>
      </c>
    </row>
    <row r="3481" spans="1:6" x14ac:dyDescent="0.25">
      <c r="A3481" t="s">
        <v>3229</v>
      </c>
      <c r="B3481" t="s">
        <v>406</v>
      </c>
      <c r="C3481" t="s">
        <v>407</v>
      </c>
      <c r="D3481" t="str">
        <f>HYPERLINK("http://service.sap.com/sap/support/notes/1824887","1824887")</f>
        <v>1824887</v>
      </c>
      <c r="E3481">
        <v>5</v>
      </c>
      <c r="F3481" t="s">
        <v>3701</v>
      </c>
    </row>
    <row r="3482" spans="1:6" x14ac:dyDescent="0.25">
      <c r="A3482" t="s">
        <v>3229</v>
      </c>
      <c r="B3482" t="s">
        <v>406</v>
      </c>
      <c r="C3482" t="s">
        <v>407</v>
      </c>
      <c r="D3482" t="str">
        <f>HYPERLINK("http://service.sap.com/sap/support/notes/1825802","1825802")</f>
        <v>1825802</v>
      </c>
      <c r="E3482">
        <v>2</v>
      </c>
      <c r="F3482" t="s">
        <v>3702</v>
      </c>
    </row>
    <row r="3483" spans="1:6" x14ac:dyDescent="0.25">
      <c r="A3483" t="s">
        <v>3229</v>
      </c>
      <c r="B3483" t="s">
        <v>406</v>
      </c>
      <c r="C3483" t="s">
        <v>407</v>
      </c>
      <c r="D3483" t="str">
        <f>HYPERLINK("http://service.sap.com/sap/support/notes/1826430","1826430")</f>
        <v>1826430</v>
      </c>
      <c r="E3483">
        <v>5</v>
      </c>
      <c r="F3483" t="s">
        <v>3703</v>
      </c>
    </row>
    <row r="3484" spans="1:6" x14ac:dyDescent="0.25">
      <c r="A3484" t="s">
        <v>3229</v>
      </c>
      <c r="B3484" t="s">
        <v>406</v>
      </c>
      <c r="C3484" t="s">
        <v>407</v>
      </c>
      <c r="D3484" t="str">
        <f>HYPERLINK("http://service.sap.com/sap/support/notes/1832601","1832601")</f>
        <v>1832601</v>
      </c>
      <c r="E3484">
        <v>8</v>
      </c>
      <c r="F3484" t="s">
        <v>3704</v>
      </c>
    </row>
    <row r="3485" spans="1:6" x14ac:dyDescent="0.25">
      <c r="A3485" t="s">
        <v>3229</v>
      </c>
      <c r="B3485" t="s">
        <v>406</v>
      </c>
      <c r="C3485" t="s">
        <v>407</v>
      </c>
      <c r="D3485" t="str">
        <f>HYPERLINK("http://service.sap.com/sap/support/notes/1833879","1833879")</f>
        <v>1833879</v>
      </c>
      <c r="E3485">
        <v>6</v>
      </c>
      <c r="F3485" t="s">
        <v>3705</v>
      </c>
    </row>
    <row r="3486" spans="1:6" x14ac:dyDescent="0.25">
      <c r="A3486" t="s">
        <v>3229</v>
      </c>
      <c r="B3486" t="s">
        <v>406</v>
      </c>
      <c r="C3486" t="s">
        <v>407</v>
      </c>
      <c r="D3486" t="str">
        <f>HYPERLINK("http://service.sap.com/sap/support/notes/1836672","1836672")</f>
        <v>1836672</v>
      </c>
      <c r="E3486">
        <v>1</v>
      </c>
      <c r="F3486" t="s">
        <v>3706</v>
      </c>
    </row>
    <row r="3487" spans="1:6" x14ac:dyDescent="0.25">
      <c r="A3487" t="s">
        <v>3229</v>
      </c>
      <c r="B3487" t="s">
        <v>406</v>
      </c>
      <c r="C3487" t="s">
        <v>407</v>
      </c>
      <c r="D3487" t="str">
        <f>HYPERLINK("http://service.sap.com/sap/support/notes/1840905","1840905")</f>
        <v>1840905</v>
      </c>
      <c r="E3487">
        <v>3</v>
      </c>
      <c r="F3487" t="s">
        <v>3707</v>
      </c>
    </row>
    <row r="3488" spans="1:6" x14ac:dyDescent="0.25">
      <c r="A3488" t="s">
        <v>3229</v>
      </c>
      <c r="B3488" t="s">
        <v>406</v>
      </c>
      <c r="C3488" t="s">
        <v>407</v>
      </c>
      <c r="D3488" t="str">
        <f>HYPERLINK("http://service.sap.com/sap/support/notes/1841421","1841421")</f>
        <v>1841421</v>
      </c>
      <c r="F3488" t="s">
        <v>3708</v>
      </c>
    </row>
    <row r="3489" spans="1:6" x14ac:dyDescent="0.25">
      <c r="A3489" t="s">
        <v>3229</v>
      </c>
      <c r="B3489" t="s">
        <v>406</v>
      </c>
      <c r="C3489" t="s">
        <v>407</v>
      </c>
      <c r="D3489" t="str">
        <f>HYPERLINK("http://service.sap.com/sap/support/notes/1841937","1841937")</f>
        <v>1841937</v>
      </c>
      <c r="E3489">
        <v>7</v>
      </c>
      <c r="F3489" t="s">
        <v>3709</v>
      </c>
    </row>
    <row r="3490" spans="1:6" x14ac:dyDescent="0.25">
      <c r="A3490" t="s">
        <v>3229</v>
      </c>
      <c r="B3490" t="s">
        <v>406</v>
      </c>
      <c r="C3490" t="s">
        <v>407</v>
      </c>
      <c r="D3490" t="str">
        <f>HYPERLINK("http://service.sap.com/sap/support/notes/1846165","1846165")</f>
        <v>1846165</v>
      </c>
      <c r="E3490">
        <v>6</v>
      </c>
      <c r="F3490" t="s">
        <v>3710</v>
      </c>
    </row>
    <row r="3491" spans="1:6" x14ac:dyDescent="0.25">
      <c r="A3491" t="s">
        <v>3229</v>
      </c>
      <c r="B3491" t="s">
        <v>409</v>
      </c>
      <c r="C3491" t="s">
        <v>597</v>
      </c>
      <c r="D3491" t="str">
        <f>HYPERLINK("http://service.sap.com/sap/support/notes/1764052","1764052")</f>
        <v>1764052</v>
      </c>
      <c r="E3491">
        <v>5</v>
      </c>
      <c r="F3491" t="s">
        <v>3711</v>
      </c>
    </row>
    <row r="3492" spans="1:6" x14ac:dyDescent="0.25">
      <c r="A3492" t="s">
        <v>3229</v>
      </c>
      <c r="B3492" t="s">
        <v>409</v>
      </c>
      <c r="C3492" t="s">
        <v>597</v>
      </c>
      <c r="D3492" t="str">
        <f>HYPERLINK("http://service.sap.com/sap/support/notes/1802360","1802360")</f>
        <v>1802360</v>
      </c>
      <c r="E3492">
        <v>1</v>
      </c>
      <c r="F3492" t="s">
        <v>3712</v>
      </c>
    </row>
    <row r="3493" spans="1:6" x14ac:dyDescent="0.25">
      <c r="A3493" t="s">
        <v>3229</v>
      </c>
      <c r="B3493" t="s">
        <v>409</v>
      </c>
      <c r="C3493" t="s">
        <v>597</v>
      </c>
      <c r="D3493" t="str">
        <f>HYPERLINK("http://service.sap.com/sap/support/notes/1806057","1806057")</f>
        <v>1806057</v>
      </c>
      <c r="E3493">
        <v>3</v>
      </c>
      <c r="F3493" t="s">
        <v>3713</v>
      </c>
    </row>
    <row r="3494" spans="1:6" x14ac:dyDescent="0.25">
      <c r="A3494" t="s">
        <v>3229</v>
      </c>
      <c r="B3494" t="s">
        <v>409</v>
      </c>
      <c r="C3494" t="s">
        <v>597</v>
      </c>
      <c r="D3494" t="str">
        <f>HYPERLINK("http://service.sap.com/sap/support/notes/1814727","1814727")</f>
        <v>1814727</v>
      </c>
      <c r="E3494">
        <v>2</v>
      </c>
      <c r="F3494" t="s">
        <v>3714</v>
      </c>
    </row>
    <row r="3495" spans="1:6" x14ac:dyDescent="0.25">
      <c r="A3495" t="s">
        <v>3229</v>
      </c>
      <c r="B3495" t="s">
        <v>409</v>
      </c>
      <c r="C3495" t="s">
        <v>597</v>
      </c>
      <c r="D3495" t="str">
        <f>HYPERLINK("http://service.sap.com/sap/support/notes/1822675","1822675")</f>
        <v>1822675</v>
      </c>
      <c r="E3495">
        <v>13</v>
      </c>
      <c r="F3495" t="s">
        <v>3715</v>
      </c>
    </row>
    <row r="3496" spans="1:6" x14ac:dyDescent="0.25">
      <c r="A3496" t="s">
        <v>3229</v>
      </c>
      <c r="B3496" t="s">
        <v>409</v>
      </c>
      <c r="C3496" t="s">
        <v>597</v>
      </c>
      <c r="D3496" t="str">
        <f>HYPERLINK("http://service.sap.com/sap/support/notes/1834078","1834078")</f>
        <v>1834078</v>
      </c>
      <c r="E3496">
        <v>2</v>
      </c>
      <c r="F3496" t="s">
        <v>3716</v>
      </c>
    </row>
    <row r="3497" spans="1:6" x14ac:dyDescent="0.25">
      <c r="A3497" t="s">
        <v>3229</v>
      </c>
      <c r="B3497" t="s">
        <v>409</v>
      </c>
      <c r="C3497" t="s">
        <v>597</v>
      </c>
      <c r="D3497" t="str">
        <f>HYPERLINK("http://service.sap.com/sap/support/notes/1837493","1837493")</f>
        <v>1837493</v>
      </c>
      <c r="E3497">
        <v>4</v>
      </c>
      <c r="F3497" t="s">
        <v>3717</v>
      </c>
    </row>
    <row r="3498" spans="1:6" x14ac:dyDescent="0.25">
      <c r="A3498" t="s">
        <v>3229</v>
      </c>
      <c r="B3498" t="s">
        <v>409</v>
      </c>
      <c r="C3498" t="s">
        <v>597</v>
      </c>
      <c r="D3498" t="str">
        <f>HYPERLINK("http://service.sap.com/sap/support/notes/1839002","1839002")</f>
        <v>1839002</v>
      </c>
      <c r="E3498">
        <v>3</v>
      </c>
      <c r="F3498" t="s">
        <v>3718</v>
      </c>
    </row>
    <row r="3499" spans="1:6" x14ac:dyDescent="0.25">
      <c r="A3499" t="s">
        <v>3229</v>
      </c>
      <c r="B3499" t="s">
        <v>409</v>
      </c>
      <c r="C3499" t="s">
        <v>597</v>
      </c>
      <c r="D3499" t="str">
        <f>HYPERLINK("http://service.sap.com/sap/support/notes/1843304","1843304")</f>
        <v>1843304</v>
      </c>
      <c r="E3499">
        <v>3</v>
      </c>
      <c r="F3499" t="s">
        <v>3719</v>
      </c>
    </row>
    <row r="3500" spans="1:6" x14ac:dyDescent="0.25">
      <c r="A3500" t="s">
        <v>3229</v>
      </c>
      <c r="B3500" t="s">
        <v>418</v>
      </c>
      <c r="C3500" t="s">
        <v>61</v>
      </c>
      <c r="D3500" t="str">
        <f>HYPERLINK("http://service.sap.com/sap/support/notes/1811940","1811940")</f>
        <v>1811940</v>
      </c>
      <c r="E3500">
        <v>1</v>
      </c>
      <c r="F3500" t="s">
        <v>3720</v>
      </c>
    </row>
    <row r="3501" spans="1:6" x14ac:dyDescent="0.25">
      <c r="A3501" t="s">
        <v>3229</v>
      </c>
      <c r="B3501" t="s">
        <v>418</v>
      </c>
      <c r="C3501" t="s">
        <v>61</v>
      </c>
      <c r="D3501" t="str">
        <f>HYPERLINK("http://service.sap.com/sap/support/notes/1837590","1837590")</f>
        <v>1837590</v>
      </c>
      <c r="E3501">
        <v>2</v>
      </c>
      <c r="F3501" t="s">
        <v>3721</v>
      </c>
    </row>
    <row r="3502" spans="1:6" x14ac:dyDescent="0.25">
      <c r="A3502" t="s">
        <v>3229</v>
      </c>
      <c r="B3502" t="s">
        <v>418</v>
      </c>
      <c r="C3502" t="s">
        <v>61</v>
      </c>
      <c r="D3502" t="str">
        <f>HYPERLINK("http://service.sap.com/sap/support/notes/1838214","1838214")</f>
        <v>1838214</v>
      </c>
      <c r="E3502">
        <v>1</v>
      </c>
      <c r="F3502" t="s">
        <v>3722</v>
      </c>
    </row>
    <row r="3503" spans="1:6" x14ac:dyDescent="0.25">
      <c r="A3503" t="s">
        <v>3229</v>
      </c>
      <c r="B3503" t="s">
        <v>420</v>
      </c>
      <c r="C3503" t="s">
        <v>3723</v>
      </c>
      <c r="D3503" t="str">
        <f>HYPERLINK("http://service.sap.com/sap/support/notes/1813059","1813059")</f>
        <v>1813059</v>
      </c>
      <c r="E3503">
        <v>1</v>
      </c>
      <c r="F3503" t="s">
        <v>3724</v>
      </c>
    </row>
    <row r="3504" spans="1:6" x14ac:dyDescent="0.25">
      <c r="A3504" t="s">
        <v>3229</v>
      </c>
      <c r="B3504" t="s">
        <v>423</v>
      </c>
      <c r="C3504" t="s">
        <v>598</v>
      </c>
      <c r="D3504" t="str">
        <f>HYPERLINK("http://service.sap.com/sap/support/notes/1835933","1835933")</f>
        <v>1835933</v>
      </c>
      <c r="E3504">
        <v>3</v>
      </c>
      <c r="F3504" t="s">
        <v>3725</v>
      </c>
    </row>
    <row r="3505" spans="1:6" x14ac:dyDescent="0.25">
      <c r="A3505" t="s">
        <v>3229</v>
      </c>
      <c r="B3505" t="s">
        <v>423</v>
      </c>
      <c r="C3505" t="s">
        <v>598</v>
      </c>
      <c r="D3505" t="str">
        <f>HYPERLINK("http://service.sap.com/sap/support/notes/1837290","1837290")</f>
        <v>1837290</v>
      </c>
      <c r="E3505">
        <v>1</v>
      </c>
      <c r="F3505" t="s">
        <v>3726</v>
      </c>
    </row>
    <row r="3506" spans="1:6" x14ac:dyDescent="0.25">
      <c r="A3506" t="s">
        <v>3229</v>
      </c>
      <c r="B3506" t="s">
        <v>423</v>
      </c>
      <c r="C3506" t="s">
        <v>598</v>
      </c>
      <c r="D3506" t="str">
        <f>HYPERLINK("http://service.sap.com/sap/support/notes/1839648","1839648")</f>
        <v>1839648</v>
      </c>
      <c r="E3506">
        <v>2</v>
      </c>
      <c r="F3506" t="s">
        <v>3727</v>
      </c>
    </row>
    <row r="3507" spans="1:6" x14ac:dyDescent="0.25">
      <c r="A3507" t="s">
        <v>3229</v>
      </c>
      <c r="B3507" t="s">
        <v>423</v>
      </c>
      <c r="C3507" t="s">
        <v>598</v>
      </c>
      <c r="D3507" t="str">
        <f>HYPERLINK("http://service.sap.com/sap/support/notes/1839815","1839815")</f>
        <v>1839815</v>
      </c>
      <c r="E3507">
        <v>5</v>
      </c>
      <c r="F3507" t="s">
        <v>3728</v>
      </c>
    </row>
    <row r="3508" spans="1:6" x14ac:dyDescent="0.25">
      <c r="A3508" t="s">
        <v>3229</v>
      </c>
      <c r="B3508" t="s">
        <v>423</v>
      </c>
      <c r="C3508" t="s">
        <v>598</v>
      </c>
      <c r="D3508" t="str">
        <f>HYPERLINK("http://service.sap.com/sap/support/notes/1840111","1840111")</f>
        <v>1840111</v>
      </c>
      <c r="E3508">
        <v>3</v>
      </c>
      <c r="F3508" t="s">
        <v>3729</v>
      </c>
    </row>
    <row r="3509" spans="1:6" x14ac:dyDescent="0.25">
      <c r="A3509" t="s">
        <v>3229</v>
      </c>
      <c r="B3509" t="s">
        <v>423</v>
      </c>
      <c r="C3509" t="s">
        <v>598</v>
      </c>
      <c r="D3509" t="str">
        <f>HYPERLINK("http://service.sap.com/sap/support/notes/1840750","1840750")</f>
        <v>1840750</v>
      </c>
      <c r="E3509">
        <v>2</v>
      </c>
      <c r="F3509" t="s">
        <v>3730</v>
      </c>
    </row>
    <row r="3510" spans="1:6" x14ac:dyDescent="0.25">
      <c r="A3510" t="s">
        <v>3229</v>
      </c>
      <c r="B3510" t="s">
        <v>423</v>
      </c>
      <c r="C3510" t="s">
        <v>598</v>
      </c>
      <c r="D3510" t="str">
        <f>HYPERLINK("http://service.sap.com/sap/support/notes/1841630","1841630")</f>
        <v>1841630</v>
      </c>
      <c r="E3510">
        <v>1</v>
      </c>
      <c r="F3510" t="s">
        <v>3731</v>
      </c>
    </row>
    <row r="3511" spans="1:6" x14ac:dyDescent="0.25">
      <c r="A3511" t="s">
        <v>3229</v>
      </c>
      <c r="B3511" t="s">
        <v>423</v>
      </c>
      <c r="C3511" t="s">
        <v>598</v>
      </c>
      <c r="D3511" t="str">
        <f>HYPERLINK("http://service.sap.com/sap/support/notes/1845275","1845275")</f>
        <v>1845275</v>
      </c>
      <c r="E3511">
        <v>7</v>
      </c>
      <c r="F3511" t="s">
        <v>3732</v>
      </c>
    </row>
    <row r="3512" spans="1:6" x14ac:dyDescent="0.25">
      <c r="A3512" t="s">
        <v>3229</v>
      </c>
      <c r="B3512" t="s">
        <v>430</v>
      </c>
      <c r="C3512" t="s">
        <v>431</v>
      </c>
      <c r="D3512" t="str">
        <f>HYPERLINK("http://service.sap.com/sap/support/notes/1790450","1790450")</f>
        <v>1790450</v>
      </c>
      <c r="E3512">
        <v>2</v>
      </c>
      <c r="F3512" t="s">
        <v>3733</v>
      </c>
    </row>
    <row r="3513" spans="1:6" x14ac:dyDescent="0.25">
      <c r="A3513" t="s">
        <v>3229</v>
      </c>
      <c r="B3513" t="s">
        <v>430</v>
      </c>
      <c r="C3513" t="s">
        <v>431</v>
      </c>
      <c r="D3513" t="str">
        <f>HYPERLINK("http://service.sap.com/sap/support/notes/1793742","1793742")</f>
        <v>1793742</v>
      </c>
      <c r="E3513">
        <v>5</v>
      </c>
      <c r="F3513" t="s">
        <v>3734</v>
      </c>
    </row>
    <row r="3514" spans="1:6" x14ac:dyDescent="0.25">
      <c r="A3514" t="s">
        <v>3229</v>
      </c>
      <c r="B3514" t="s">
        <v>430</v>
      </c>
      <c r="C3514" t="s">
        <v>431</v>
      </c>
      <c r="D3514" t="str">
        <f>HYPERLINK("http://service.sap.com/sap/support/notes/1814476","1814476")</f>
        <v>1814476</v>
      </c>
      <c r="E3514">
        <v>2</v>
      </c>
      <c r="F3514" t="s">
        <v>3169</v>
      </c>
    </row>
    <row r="3515" spans="1:6" x14ac:dyDescent="0.25">
      <c r="A3515" t="s">
        <v>3229</v>
      </c>
      <c r="B3515" t="s">
        <v>430</v>
      </c>
      <c r="C3515" t="s">
        <v>431</v>
      </c>
      <c r="D3515" t="str">
        <f>HYPERLINK("http://service.sap.com/sap/support/notes/1818627","1818627")</f>
        <v>1818627</v>
      </c>
      <c r="E3515">
        <v>3</v>
      </c>
      <c r="F3515" t="s">
        <v>3735</v>
      </c>
    </row>
    <row r="3516" spans="1:6" x14ac:dyDescent="0.25">
      <c r="A3516" t="s">
        <v>3229</v>
      </c>
      <c r="B3516" t="s">
        <v>430</v>
      </c>
      <c r="C3516" t="s">
        <v>431</v>
      </c>
      <c r="D3516" t="str">
        <f>HYPERLINK("http://service.sap.com/sap/support/notes/1840262","1840262")</f>
        <v>1840262</v>
      </c>
      <c r="E3516">
        <v>1</v>
      </c>
      <c r="F3516" t="s">
        <v>3736</v>
      </c>
    </row>
    <row r="3517" spans="1:6" x14ac:dyDescent="0.25">
      <c r="A3517" t="s">
        <v>3229</v>
      </c>
      <c r="B3517" t="s">
        <v>430</v>
      </c>
      <c r="C3517" t="s">
        <v>431</v>
      </c>
      <c r="D3517" t="str">
        <f>HYPERLINK("http://service.sap.com/sap/support/notes/1843814","1843814")</f>
        <v>1843814</v>
      </c>
      <c r="E3517">
        <v>2</v>
      </c>
      <c r="F3517" t="s">
        <v>3737</v>
      </c>
    </row>
    <row r="3518" spans="1:6" x14ac:dyDescent="0.25">
      <c r="A3518" t="s">
        <v>3229</v>
      </c>
      <c r="B3518" t="s">
        <v>430</v>
      </c>
      <c r="C3518" t="s">
        <v>431</v>
      </c>
      <c r="D3518" t="str">
        <f>HYPERLINK("http://service.sap.com/sap/support/notes/1844210","1844210")</f>
        <v>1844210</v>
      </c>
      <c r="E3518">
        <v>2</v>
      </c>
      <c r="F3518" t="s">
        <v>3738</v>
      </c>
    </row>
    <row r="3519" spans="1:6" x14ac:dyDescent="0.25">
      <c r="A3519" t="s">
        <v>3229</v>
      </c>
      <c r="B3519" t="s">
        <v>430</v>
      </c>
      <c r="C3519" t="s">
        <v>431</v>
      </c>
      <c r="D3519" t="str">
        <f>HYPERLINK("http://service.sap.com/sap/support/notes/1847604","1847604")</f>
        <v>1847604</v>
      </c>
      <c r="E3519">
        <v>1</v>
      </c>
      <c r="F3519" t="s">
        <v>3739</v>
      </c>
    </row>
    <row r="3520" spans="1:6" x14ac:dyDescent="0.25">
      <c r="A3520" t="s">
        <v>3229</v>
      </c>
      <c r="B3520" t="s">
        <v>437</v>
      </c>
      <c r="C3520" t="s">
        <v>438</v>
      </c>
      <c r="D3520" t="str">
        <f>HYPERLINK("http://service.sap.com/sap/support/notes/1832951","1832951")</f>
        <v>1832951</v>
      </c>
      <c r="E3520">
        <v>1</v>
      </c>
      <c r="F3520" t="s">
        <v>3740</v>
      </c>
    </row>
    <row r="3521" spans="1:6" x14ac:dyDescent="0.25">
      <c r="A3521" t="s">
        <v>3229</v>
      </c>
      <c r="B3521" t="s">
        <v>437</v>
      </c>
      <c r="C3521" t="s">
        <v>438</v>
      </c>
      <c r="D3521" t="str">
        <f>HYPERLINK("http://service.sap.com/sap/support/notes/1833130","1833130")</f>
        <v>1833130</v>
      </c>
      <c r="E3521">
        <v>2</v>
      </c>
      <c r="F3521" t="s">
        <v>3741</v>
      </c>
    </row>
    <row r="3522" spans="1:6" x14ac:dyDescent="0.25">
      <c r="A3522" t="s">
        <v>3229</v>
      </c>
      <c r="B3522" t="s">
        <v>437</v>
      </c>
      <c r="C3522" t="s">
        <v>438</v>
      </c>
      <c r="D3522" t="str">
        <f>HYPERLINK("http://service.sap.com/sap/support/notes/1839526","1839526")</f>
        <v>1839526</v>
      </c>
      <c r="E3522">
        <v>1</v>
      </c>
      <c r="F3522" t="s">
        <v>3742</v>
      </c>
    </row>
    <row r="3523" spans="1:6" x14ac:dyDescent="0.25">
      <c r="A3523" t="s">
        <v>3229</v>
      </c>
      <c r="B3523" t="s">
        <v>437</v>
      </c>
      <c r="C3523" t="s">
        <v>438</v>
      </c>
      <c r="D3523" t="str">
        <f>HYPERLINK("http://service.sap.com/sap/support/notes/1846993","1846993")</f>
        <v>1846993</v>
      </c>
      <c r="E3523">
        <v>2</v>
      </c>
      <c r="F3523" t="s">
        <v>3743</v>
      </c>
    </row>
    <row r="3524" spans="1:6" x14ac:dyDescent="0.25">
      <c r="A3524" t="s">
        <v>3229</v>
      </c>
      <c r="B3524" t="s">
        <v>443</v>
      </c>
      <c r="C3524" t="s">
        <v>444</v>
      </c>
      <c r="D3524" t="str">
        <f>HYPERLINK("http://service.sap.com/sap/support/notes/1816222","1816222")</f>
        <v>1816222</v>
      </c>
      <c r="E3524">
        <v>2</v>
      </c>
      <c r="F3524" t="s">
        <v>3744</v>
      </c>
    </row>
    <row r="3525" spans="1:6" x14ac:dyDescent="0.25">
      <c r="A3525" t="s">
        <v>3229</v>
      </c>
      <c r="B3525" t="s">
        <v>443</v>
      </c>
      <c r="C3525" t="s">
        <v>444</v>
      </c>
      <c r="D3525" t="str">
        <f>HYPERLINK("http://service.sap.com/sap/support/notes/1842800","1842800")</f>
        <v>1842800</v>
      </c>
      <c r="E3525">
        <v>1</v>
      </c>
      <c r="F3525" t="s">
        <v>3745</v>
      </c>
    </row>
    <row r="3526" spans="1:6" x14ac:dyDescent="0.25">
      <c r="A3526" t="s">
        <v>3229</v>
      </c>
      <c r="B3526" t="s">
        <v>443</v>
      </c>
      <c r="C3526" t="s">
        <v>444</v>
      </c>
      <c r="D3526" t="str">
        <f>HYPERLINK("http://service.sap.com/sap/support/notes/1844568","1844568")</f>
        <v>1844568</v>
      </c>
      <c r="E3526">
        <v>1</v>
      </c>
      <c r="F3526" t="s">
        <v>3746</v>
      </c>
    </row>
    <row r="3527" spans="1:6" x14ac:dyDescent="0.25">
      <c r="A3527" t="s">
        <v>3229</v>
      </c>
      <c r="B3527" t="s">
        <v>450</v>
      </c>
      <c r="C3527" t="s">
        <v>451</v>
      </c>
      <c r="D3527" t="str">
        <f>HYPERLINK("http://service.sap.com/sap/support/notes/1828539","1828539")</f>
        <v>1828539</v>
      </c>
      <c r="E3527">
        <v>1</v>
      </c>
      <c r="F3527" t="s">
        <v>3747</v>
      </c>
    </row>
    <row r="3528" spans="1:6" x14ac:dyDescent="0.25">
      <c r="A3528" t="s">
        <v>3229</v>
      </c>
      <c r="B3528" t="s">
        <v>450</v>
      </c>
      <c r="C3528" t="s">
        <v>451</v>
      </c>
      <c r="D3528" t="str">
        <f>HYPERLINK("http://service.sap.com/sap/support/notes/1837078","1837078")</f>
        <v>1837078</v>
      </c>
      <c r="E3528">
        <v>1</v>
      </c>
      <c r="F3528" t="s">
        <v>3748</v>
      </c>
    </row>
    <row r="3529" spans="1:6" x14ac:dyDescent="0.25">
      <c r="A3529" t="s">
        <v>3229</v>
      </c>
      <c r="B3529" t="s">
        <v>450</v>
      </c>
      <c r="C3529" t="s">
        <v>451</v>
      </c>
      <c r="D3529" t="str">
        <f>HYPERLINK("http://service.sap.com/sap/support/notes/1838206","1838206")</f>
        <v>1838206</v>
      </c>
      <c r="E3529">
        <v>2</v>
      </c>
      <c r="F3529" t="s">
        <v>3749</v>
      </c>
    </row>
    <row r="3530" spans="1:6" x14ac:dyDescent="0.25">
      <c r="A3530" t="s">
        <v>3229</v>
      </c>
      <c r="B3530" t="s">
        <v>450</v>
      </c>
      <c r="C3530" t="s">
        <v>451</v>
      </c>
      <c r="D3530" t="str">
        <f>HYPERLINK("http://service.sap.com/sap/support/notes/1838222","1838222")</f>
        <v>1838222</v>
      </c>
      <c r="E3530">
        <v>1</v>
      </c>
      <c r="F3530" t="s">
        <v>3750</v>
      </c>
    </row>
    <row r="3531" spans="1:6" x14ac:dyDescent="0.25">
      <c r="A3531" t="s">
        <v>3229</v>
      </c>
      <c r="B3531" t="s">
        <v>450</v>
      </c>
      <c r="C3531" t="s">
        <v>451</v>
      </c>
      <c r="D3531" t="str">
        <f>HYPERLINK("http://service.sap.com/sap/support/notes/1840003","1840003")</f>
        <v>1840003</v>
      </c>
      <c r="E3531">
        <v>1</v>
      </c>
      <c r="F3531" t="s">
        <v>3751</v>
      </c>
    </row>
    <row r="3532" spans="1:6" x14ac:dyDescent="0.25">
      <c r="A3532" t="s">
        <v>3229</v>
      </c>
      <c r="B3532" t="s">
        <v>450</v>
      </c>
      <c r="C3532" t="s">
        <v>451</v>
      </c>
      <c r="D3532" t="str">
        <f>HYPERLINK("http://service.sap.com/sap/support/notes/1840777","1840777")</f>
        <v>1840777</v>
      </c>
      <c r="E3532">
        <v>2</v>
      </c>
      <c r="F3532" t="s">
        <v>3752</v>
      </c>
    </row>
    <row r="3533" spans="1:6" x14ac:dyDescent="0.25">
      <c r="A3533" t="s">
        <v>3229</v>
      </c>
      <c r="B3533" t="s">
        <v>450</v>
      </c>
      <c r="C3533" t="s">
        <v>451</v>
      </c>
      <c r="D3533" t="str">
        <f>HYPERLINK("http://service.sap.com/sap/support/notes/1842145","1842145")</f>
        <v>1842145</v>
      </c>
      <c r="E3533">
        <v>1</v>
      </c>
      <c r="F3533" t="s">
        <v>3753</v>
      </c>
    </row>
    <row r="3534" spans="1:6" x14ac:dyDescent="0.25">
      <c r="A3534" t="s">
        <v>3229</v>
      </c>
      <c r="B3534" t="s">
        <v>450</v>
      </c>
      <c r="C3534" t="s">
        <v>451</v>
      </c>
      <c r="D3534" t="str">
        <f>HYPERLINK("http://service.sap.com/sap/support/notes/1846353","1846353")</f>
        <v>1846353</v>
      </c>
      <c r="E3534">
        <v>1</v>
      </c>
      <c r="F3534" t="s">
        <v>3754</v>
      </c>
    </row>
    <row r="3535" spans="1:6" x14ac:dyDescent="0.25">
      <c r="A3535" t="s">
        <v>3229</v>
      </c>
      <c r="B3535" t="s">
        <v>453</v>
      </c>
      <c r="C3535" t="s">
        <v>74</v>
      </c>
      <c r="D3535" t="str">
        <f>HYPERLINK("http://service.sap.com/sap/support/notes/1794988","1794988")</f>
        <v>1794988</v>
      </c>
      <c r="E3535">
        <v>1</v>
      </c>
      <c r="F3535" t="s">
        <v>1760</v>
      </c>
    </row>
    <row r="3536" spans="1:6" x14ac:dyDescent="0.25">
      <c r="A3536" t="s">
        <v>3229</v>
      </c>
      <c r="B3536" t="s">
        <v>453</v>
      </c>
      <c r="C3536" t="s">
        <v>74</v>
      </c>
      <c r="D3536" t="str">
        <f>HYPERLINK("http://service.sap.com/sap/support/notes/1806434","1806434")</f>
        <v>1806434</v>
      </c>
      <c r="E3536">
        <v>1</v>
      </c>
      <c r="F3536" t="s">
        <v>3755</v>
      </c>
    </row>
    <row r="3537" spans="1:6" x14ac:dyDescent="0.25">
      <c r="A3537" t="s">
        <v>3229</v>
      </c>
      <c r="B3537" t="s">
        <v>453</v>
      </c>
      <c r="C3537" t="s">
        <v>74</v>
      </c>
      <c r="D3537" t="str">
        <f>HYPERLINK("http://service.sap.com/sap/support/notes/1846159","1846159")</f>
        <v>1846159</v>
      </c>
      <c r="E3537">
        <v>2</v>
      </c>
      <c r="F3537" t="s">
        <v>3756</v>
      </c>
    </row>
    <row r="3538" spans="1:6" x14ac:dyDescent="0.25">
      <c r="A3538" t="s">
        <v>3229</v>
      </c>
      <c r="B3538" t="s">
        <v>453</v>
      </c>
      <c r="C3538" t="s">
        <v>74</v>
      </c>
      <c r="D3538" t="str">
        <f>HYPERLINK("http://service.sap.com/sap/support/notes/1847447","1847447")</f>
        <v>1847447</v>
      </c>
      <c r="E3538">
        <v>1</v>
      </c>
      <c r="F3538" t="s">
        <v>3757</v>
      </c>
    </row>
    <row r="3539" spans="1:6" x14ac:dyDescent="0.25">
      <c r="A3539" t="s">
        <v>3229</v>
      </c>
      <c r="B3539" t="s">
        <v>601</v>
      </c>
      <c r="C3539" t="s">
        <v>196</v>
      </c>
    </row>
    <row r="3540" spans="1:6" x14ac:dyDescent="0.25">
      <c r="A3540" t="s">
        <v>3229</v>
      </c>
      <c r="B3540" t="s">
        <v>602</v>
      </c>
      <c r="C3540" t="s">
        <v>603</v>
      </c>
      <c r="D3540" t="str">
        <f>HYPERLINK("http://service.sap.com/sap/support/notes/1831110","1831110")</f>
        <v>1831110</v>
      </c>
      <c r="E3540">
        <v>2</v>
      </c>
      <c r="F3540" t="s">
        <v>3758</v>
      </c>
    </row>
    <row r="3541" spans="1:6" x14ac:dyDescent="0.25">
      <c r="A3541" t="s">
        <v>3229</v>
      </c>
      <c r="B3541" t="s">
        <v>607</v>
      </c>
      <c r="C3541" t="s">
        <v>156</v>
      </c>
      <c r="D3541" t="str">
        <f>HYPERLINK("http://service.sap.com/sap/support/notes/1807795","1807795")</f>
        <v>1807795</v>
      </c>
      <c r="E3541">
        <v>5</v>
      </c>
      <c r="F3541" t="s">
        <v>3759</v>
      </c>
    </row>
    <row r="3542" spans="1:6" x14ac:dyDescent="0.25">
      <c r="A3542" t="s">
        <v>3229</v>
      </c>
      <c r="B3542" t="s">
        <v>454</v>
      </c>
      <c r="C3542" t="s">
        <v>573</v>
      </c>
      <c r="D3542" t="str">
        <f>HYPERLINK("http://service.sap.com/sap/support/notes/1732752","1732752")</f>
        <v>1732752</v>
      </c>
      <c r="E3542">
        <v>6</v>
      </c>
      <c r="F3542" t="s">
        <v>3760</v>
      </c>
    </row>
    <row r="3543" spans="1:6" x14ac:dyDescent="0.25">
      <c r="A3543" t="s">
        <v>3229</v>
      </c>
      <c r="B3543" t="s">
        <v>454</v>
      </c>
      <c r="C3543" t="s">
        <v>573</v>
      </c>
      <c r="D3543" t="str">
        <f>HYPERLINK("http://service.sap.com/sap/support/notes/1807961","1807961")</f>
        <v>1807961</v>
      </c>
      <c r="E3543">
        <v>3</v>
      </c>
      <c r="F3543" t="s">
        <v>3761</v>
      </c>
    </row>
    <row r="3544" spans="1:6" x14ac:dyDescent="0.25">
      <c r="A3544" t="s">
        <v>3229</v>
      </c>
      <c r="B3544" t="s">
        <v>457</v>
      </c>
      <c r="C3544" t="s">
        <v>458</v>
      </c>
      <c r="D3544" t="str">
        <f>HYPERLINK("http://service.sap.com/sap/support/notes/1713582","1713582")</f>
        <v>1713582</v>
      </c>
      <c r="E3544">
        <v>3</v>
      </c>
      <c r="F3544" t="s">
        <v>3762</v>
      </c>
    </row>
    <row r="3545" spans="1:6" x14ac:dyDescent="0.25">
      <c r="A3545" t="s">
        <v>3229</v>
      </c>
      <c r="B3545" t="s">
        <v>457</v>
      </c>
      <c r="C3545" t="s">
        <v>458</v>
      </c>
      <c r="D3545" t="str">
        <f>HYPERLINK("http://service.sap.com/sap/support/notes/1784129","1784129")</f>
        <v>1784129</v>
      </c>
      <c r="E3545">
        <v>4</v>
      </c>
      <c r="F3545" t="s">
        <v>3763</v>
      </c>
    </row>
    <row r="3546" spans="1:6" x14ac:dyDescent="0.25">
      <c r="A3546" t="s">
        <v>3229</v>
      </c>
      <c r="B3546" t="s">
        <v>457</v>
      </c>
      <c r="C3546" t="s">
        <v>458</v>
      </c>
      <c r="D3546" t="str">
        <f>HYPERLINK("http://service.sap.com/sap/support/notes/1784569","1784569")</f>
        <v>1784569</v>
      </c>
      <c r="E3546">
        <v>6</v>
      </c>
      <c r="F3546" t="s">
        <v>3764</v>
      </c>
    </row>
    <row r="3547" spans="1:6" x14ac:dyDescent="0.25">
      <c r="A3547" t="s">
        <v>3229</v>
      </c>
      <c r="B3547" t="s">
        <v>457</v>
      </c>
      <c r="C3547" t="s">
        <v>458</v>
      </c>
      <c r="D3547" t="str">
        <f>HYPERLINK("http://service.sap.com/sap/support/notes/1811707","1811707")</f>
        <v>1811707</v>
      </c>
      <c r="E3547">
        <v>4</v>
      </c>
      <c r="F3547" t="s">
        <v>3765</v>
      </c>
    </row>
    <row r="3548" spans="1:6" x14ac:dyDescent="0.25">
      <c r="A3548" t="s">
        <v>3229</v>
      </c>
      <c r="B3548" t="s">
        <v>457</v>
      </c>
      <c r="C3548" t="s">
        <v>458</v>
      </c>
      <c r="D3548" t="str">
        <f>HYPERLINK("http://service.sap.com/sap/support/notes/1832183","1832183")</f>
        <v>1832183</v>
      </c>
      <c r="E3548">
        <v>2</v>
      </c>
      <c r="F3548" t="s">
        <v>3766</v>
      </c>
    </row>
    <row r="3549" spans="1:6" x14ac:dyDescent="0.25">
      <c r="A3549" t="s">
        <v>3229</v>
      </c>
      <c r="B3549" t="s">
        <v>457</v>
      </c>
      <c r="C3549" t="s">
        <v>458</v>
      </c>
      <c r="D3549" t="str">
        <f>HYPERLINK("http://service.sap.com/sap/support/notes/1834049","1834049")</f>
        <v>1834049</v>
      </c>
      <c r="E3549">
        <v>2</v>
      </c>
      <c r="F3549" t="s">
        <v>3767</v>
      </c>
    </row>
    <row r="3550" spans="1:6" x14ac:dyDescent="0.25">
      <c r="A3550" t="s">
        <v>3229</v>
      </c>
      <c r="B3550" t="s">
        <v>457</v>
      </c>
      <c r="C3550" t="s">
        <v>458</v>
      </c>
      <c r="D3550" t="str">
        <f>HYPERLINK("http://service.sap.com/sap/support/notes/1836924","1836924")</f>
        <v>1836924</v>
      </c>
      <c r="E3550">
        <v>2</v>
      </c>
      <c r="F3550" t="s">
        <v>3768</v>
      </c>
    </row>
    <row r="3551" spans="1:6" x14ac:dyDescent="0.25">
      <c r="A3551" t="s">
        <v>3229</v>
      </c>
      <c r="B3551" t="s">
        <v>457</v>
      </c>
      <c r="C3551" t="s">
        <v>458</v>
      </c>
      <c r="D3551" t="str">
        <f>HYPERLINK("http://service.sap.com/sap/support/notes/1837335","1837335")</f>
        <v>1837335</v>
      </c>
      <c r="E3551">
        <v>2</v>
      </c>
      <c r="F3551" t="s">
        <v>3769</v>
      </c>
    </row>
    <row r="3552" spans="1:6" x14ac:dyDescent="0.25">
      <c r="A3552" t="s">
        <v>3229</v>
      </c>
      <c r="B3552" t="s">
        <v>457</v>
      </c>
      <c r="C3552" t="s">
        <v>458</v>
      </c>
      <c r="D3552" t="str">
        <f>HYPERLINK("http://service.sap.com/sap/support/notes/1839062","1839062")</f>
        <v>1839062</v>
      </c>
      <c r="E3552">
        <v>2</v>
      </c>
      <c r="F3552" t="s">
        <v>3770</v>
      </c>
    </row>
    <row r="3553" spans="1:6" x14ac:dyDescent="0.25">
      <c r="A3553" t="s">
        <v>3229</v>
      </c>
      <c r="B3553" t="s">
        <v>457</v>
      </c>
      <c r="C3553" t="s">
        <v>458</v>
      </c>
      <c r="D3553" t="str">
        <f>HYPERLINK("http://service.sap.com/sap/support/notes/1840466","1840466")</f>
        <v>1840466</v>
      </c>
      <c r="E3553">
        <v>3</v>
      </c>
      <c r="F3553" t="s">
        <v>3771</v>
      </c>
    </row>
    <row r="3554" spans="1:6" x14ac:dyDescent="0.25">
      <c r="A3554" t="s">
        <v>3229</v>
      </c>
      <c r="B3554" t="s">
        <v>608</v>
      </c>
      <c r="C3554" t="s">
        <v>609</v>
      </c>
      <c r="D3554" t="str">
        <f>HYPERLINK("http://service.sap.com/sap/support/notes/1836869","1836869")</f>
        <v>1836869</v>
      </c>
      <c r="E3554">
        <v>2</v>
      </c>
      <c r="F3554" t="s">
        <v>3772</v>
      </c>
    </row>
    <row r="3555" spans="1:6" x14ac:dyDescent="0.25">
      <c r="A3555" t="s">
        <v>3229</v>
      </c>
      <c r="B3555" t="s">
        <v>608</v>
      </c>
      <c r="C3555" t="s">
        <v>609</v>
      </c>
      <c r="D3555" t="str">
        <f>HYPERLINK("http://service.sap.com/sap/support/notes/1840867","1840867")</f>
        <v>1840867</v>
      </c>
      <c r="E3555">
        <v>1</v>
      </c>
      <c r="F3555" t="s">
        <v>3773</v>
      </c>
    </row>
    <row r="3556" spans="1:6" x14ac:dyDescent="0.25">
      <c r="A3556" t="s">
        <v>3229</v>
      </c>
      <c r="B3556" t="s">
        <v>461</v>
      </c>
      <c r="C3556" t="s">
        <v>462</v>
      </c>
      <c r="D3556" t="str">
        <f>HYPERLINK("http://service.sap.com/sap/support/notes/1784500","1784500")</f>
        <v>1784500</v>
      </c>
      <c r="E3556">
        <v>5</v>
      </c>
      <c r="F3556" t="s">
        <v>3774</v>
      </c>
    </row>
    <row r="3557" spans="1:6" x14ac:dyDescent="0.25">
      <c r="A3557" t="s">
        <v>3229</v>
      </c>
      <c r="B3557" t="s">
        <v>461</v>
      </c>
      <c r="C3557" t="s">
        <v>462</v>
      </c>
      <c r="D3557" t="str">
        <f>HYPERLINK("http://service.sap.com/sap/support/notes/1819394","1819394")</f>
        <v>1819394</v>
      </c>
      <c r="E3557">
        <v>5</v>
      </c>
      <c r="F3557" t="s">
        <v>3775</v>
      </c>
    </row>
    <row r="3558" spans="1:6" x14ac:dyDescent="0.25">
      <c r="A3558" t="s">
        <v>3229</v>
      </c>
      <c r="B3558" t="s">
        <v>461</v>
      </c>
      <c r="C3558" t="s">
        <v>462</v>
      </c>
      <c r="D3558" t="str">
        <f>HYPERLINK("http://service.sap.com/sap/support/notes/1831117","1831117")</f>
        <v>1831117</v>
      </c>
      <c r="E3558">
        <v>4</v>
      </c>
      <c r="F3558" t="s">
        <v>3776</v>
      </c>
    </row>
    <row r="3559" spans="1:6" x14ac:dyDescent="0.25">
      <c r="A3559" t="s">
        <v>3229</v>
      </c>
      <c r="B3559" t="s">
        <v>461</v>
      </c>
      <c r="C3559" t="s">
        <v>462</v>
      </c>
      <c r="D3559" t="str">
        <f>HYPERLINK("http://service.sap.com/sap/support/notes/1839727","1839727")</f>
        <v>1839727</v>
      </c>
      <c r="E3559">
        <v>1</v>
      </c>
      <c r="F3559" t="s">
        <v>3777</v>
      </c>
    </row>
    <row r="3560" spans="1:6" x14ac:dyDescent="0.25">
      <c r="A3560" t="s">
        <v>3229</v>
      </c>
      <c r="B3560" t="s">
        <v>610</v>
      </c>
      <c r="C3560" t="s">
        <v>532</v>
      </c>
      <c r="D3560" t="str">
        <f>HYPERLINK("http://service.sap.com/sap/support/notes/1793849","1793849")</f>
        <v>1793849</v>
      </c>
      <c r="E3560">
        <v>2</v>
      </c>
      <c r="F3560" t="s">
        <v>3778</v>
      </c>
    </row>
    <row r="3561" spans="1:6" x14ac:dyDescent="0.25">
      <c r="A3561" t="s">
        <v>3229</v>
      </c>
      <c r="B3561" t="s">
        <v>610</v>
      </c>
      <c r="C3561" t="s">
        <v>532</v>
      </c>
      <c r="D3561" t="str">
        <f>HYPERLINK("http://service.sap.com/sap/support/notes/1799505","1799505")</f>
        <v>1799505</v>
      </c>
      <c r="E3561">
        <v>1</v>
      </c>
      <c r="F3561" t="s">
        <v>3779</v>
      </c>
    </row>
    <row r="3562" spans="1:6" x14ac:dyDescent="0.25">
      <c r="A3562" t="s">
        <v>3229</v>
      </c>
      <c r="B3562" t="s">
        <v>610</v>
      </c>
      <c r="C3562" t="s">
        <v>532</v>
      </c>
      <c r="D3562" t="str">
        <f>HYPERLINK("http://service.sap.com/sap/support/notes/1820296","1820296")</f>
        <v>1820296</v>
      </c>
      <c r="E3562">
        <v>1</v>
      </c>
      <c r="F3562" t="s">
        <v>3780</v>
      </c>
    </row>
    <row r="3563" spans="1:6" x14ac:dyDescent="0.25">
      <c r="A3563" t="s">
        <v>3229</v>
      </c>
      <c r="B3563" t="s">
        <v>610</v>
      </c>
      <c r="C3563" t="s">
        <v>532</v>
      </c>
      <c r="D3563" t="str">
        <f>HYPERLINK("http://service.sap.com/sap/support/notes/1826928","1826928")</f>
        <v>1826928</v>
      </c>
      <c r="E3563">
        <v>2</v>
      </c>
      <c r="F3563" t="s">
        <v>3781</v>
      </c>
    </row>
    <row r="3564" spans="1:6" x14ac:dyDescent="0.25">
      <c r="A3564" t="s">
        <v>3229</v>
      </c>
      <c r="B3564" t="s">
        <v>610</v>
      </c>
      <c r="C3564" t="s">
        <v>532</v>
      </c>
      <c r="D3564" t="str">
        <f>HYPERLINK("http://service.sap.com/sap/support/notes/1841831","1841831")</f>
        <v>1841831</v>
      </c>
      <c r="E3564">
        <v>1</v>
      </c>
      <c r="F3564" t="s">
        <v>3782</v>
      </c>
    </row>
    <row r="3565" spans="1:6" x14ac:dyDescent="0.25">
      <c r="A3565" t="s">
        <v>3229</v>
      </c>
      <c r="B3565" t="s">
        <v>610</v>
      </c>
      <c r="C3565" t="s">
        <v>532</v>
      </c>
      <c r="D3565" t="str">
        <f>HYPERLINK("http://service.sap.com/sap/support/notes/1845956","1845956")</f>
        <v>1845956</v>
      </c>
      <c r="E3565">
        <v>2</v>
      </c>
      <c r="F3565" t="s">
        <v>3783</v>
      </c>
    </row>
    <row r="3566" spans="1:6" x14ac:dyDescent="0.25">
      <c r="A3566" t="s">
        <v>3229</v>
      </c>
      <c r="B3566" t="s">
        <v>610</v>
      </c>
      <c r="C3566" t="s">
        <v>532</v>
      </c>
      <c r="D3566" t="str">
        <f>HYPERLINK("http://service.sap.com/sap/support/notes/1852212","1852212")</f>
        <v>1852212</v>
      </c>
      <c r="E3566">
        <v>1</v>
      </c>
      <c r="F3566" t="s">
        <v>3784</v>
      </c>
    </row>
    <row r="3567" spans="1:6" x14ac:dyDescent="0.25">
      <c r="A3567" t="s">
        <v>3229</v>
      </c>
      <c r="B3567" t="s">
        <v>611</v>
      </c>
      <c r="C3567" t="s">
        <v>515</v>
      </c>
      <c r="D3567" t="str">
        <f>HYPERLINK("http://service.sap.com/sap/support/notes/1304016","1304016")</f>
        <v>1304016</v>
      </c>
      <c r="E3567">
        <v>3</v>
      </c>
      <c r="F3567" t="s">
        <v>3785</v>
      </c>
    </row>
    <row r="3568" spans="1:6" x14ac:dyDescent="0.25">
      <c r="A3568" t="s">
        <v>3229</v>
      </c>
      <c r="B3568" t="s">
        <v>611</v>
      </c>
      <c r="C3568" t="s">
        <v>515</v>
      </c>
      <c r="D3568" t="str">
        <f>HYPERLINK("http://service.sap.com/sap/support/notes/1600033","1600033")</f>
        <v>1600033</v>
      </c>
      <c r="E3568">
        <v>1</v>
      </c>
      <c r="F3568" t="s">
        <v>3786</v>
      </c>
    </row>
    <row r="3569" spans="1:6" x14ac:dyDescent="0.25">
      <c r="A3569" t="s">
        <v>3229</v>
      </c>
      <c r="B3569" t="s">
        <v>611</v>
      </c>
      <c r="C3569" t="s">
        <v>515</v>
      </c>
      <c r="D3569" t="str">
        <f>HYPERLINK("http://service.sap.com/sap/support/notes/1701984","1701984")</f>
        <v>1701984</v>
      </c>
      <c r="E3569">
        <v>2</v>
      </c>
      <c r="F3569" t="s">
        <v>3787</v>
      </c>
    </row>
    <row r="3570" spans="1:6" x14ac:dyDescent="0.25">
      <c r="A3570" t="s">
        <v>3229</v>
      </c>
      <c r="B3570" t="s">
        <v>611</v>
      </c>
      <c r="C3570" t="s">
        <v>515</v>
      </c>
      <c r="D3570" t="str">
        <f>HYPERLINK("http://service.sap.com/sap/support/notes/1801920","1801920")</f>
        <v>1801920</v>
      </c>
      <c r="E3570">
        <v>1</v>
      </c>
      <c r="F3570" t="s">
        <v>3788</v>
      </c>
    </row>
    <row r="3571" spans="1:6" x14ac:dyDescent="0.25">
      <c r="A3571" t="s">
        <v>3229</v>
      </c>
      <c r="B3571" t="s">
        <v>611</v>
      </c>
      <c r="C3571" t="s">
        <v>515</v>
      </c>
      <c r="D3571" t="str">
        <f>HYPERLINK("http://service.sap.com/sap/support/notes/1803017","1803017")</f>
        <v>1803017</v>
      </c>
      <c r="E3571">
        <v>1</v>
      </c>
      <c r="F3571" t="s">
        <v>3789</v>
      </c>
    </row>
    <row r="3572" spans="1:6" x14ac:dyDescent="0.25">
      <c r="A3572" t="s">
        <v>3229</v>
      </c>
      <c r="B3572" t="s">
        <v>611</v>
      </c>
      <c r="C3572" t="s">
        <v>515</v>
      </c>
      <c r="D3572" t="str">
        <f>HYPERLINK("http://service.sap.com/sap/support/notes/1803685","1803685")</f>
        <v>1803685</v>
      </c>
      <c r="E3572">
        <v>1</v>
      </c>
      <c r="F3572" t="s">
        <v>3790</v>
      </c>
    </row>
    <row r="3573" spans="1:6" x14ac:dyDescent="0.25">
      <c r="A3573" t="s">
        <v>3229</v>
      </c>
      <c r="B3573" t="s">
        <v>611</v>
      </c>
      <c r="C3573" t="s">
        <v>515</v>
      </c>
      <c r="D3573" t="str">
        <f>HYPERLINK("http://service.sap.com/sap/support/notes/1817660","1817660")</f>
        <v>1817660</v>
      </c>
      <c r="E3573">
        <v>1</v>
      </c>
      <c r="F3573" t="s">
        <v>3791</v>
      </c>
    </row>
    <row r="3574" spans="1:6" x14ac:dyDescent="0.25">
      <c r="A3574" t="s">
        <v>3229</v>
      </c>
      <c r="B3574" t="s">
        <v>611</v>
      </c>
      <c r="C3574" t="s">
        <v>515</v>
      </c>
      <c r="D3574" t="str">
        <f>HYPERLINK("http://service.sap.com/sap/support/notes/1826671","1826671")</f>
        <v>1826671</v>
      </c>
      <c r="E3574">
        <v>1</v>
      </c>
      <c r="F3574" t="s">
        <v>3792</v>
      </c>
    </row>
    <row r="3575" spans="1:6" x14ac:dyDescent="0.25">
      <c r="A3575" t="s">
        <v>3229</v>
      </c>
      <c r="B3575" t="s">
        <v>611</v>
      </c>
      <c r="C3575" t="s">
        <v>515</v>
      </c>
      <c r="D3575" t="str">
        <f>HYPERLINK("http://service.sap.com/sap/support/notes/1829906","1829906")</f>
        <v>1829906</v>
      </c>
      <c r="E3575">
        <v>1</v>
      </c>
      <c r="F3575" t="s">
        <v>3793</v>
      </c>
    </row>
    <row r="3576" spans="1:6" x14ac:dyDescent="0.25">
      <c r="A3576" t="s">
        <v>3229</v>
      </c>
      <c r="B3576" t="s">
        <v>611</v>
      </c>
      <c r="C3576" t="s">
        <v>515</v>
      </c>
      <c r="D3576" t="str">
        <f>HYPERLINK("http://service.sap.com/sap/support/notes/1831711","1831711")</f>
        <v>1831711</v>
      </c>
      <c r="E3576">
        <v>1</v>
      </c>
      <c r="F3576" t="s">
        <v>3793</v>
      </c>
    </row>
    <row r="3577" spans="1:6" x14ac:dyDescent="0.25">
      <c r="A3577" t="s">
        <v>3229</v>
      </c>
      <c r="B3577" t="s">
        <v>611</v>
      </c>
      <c r="C3577" t="s">
        <v>515</v>
      </c>
      <c r="D3577" t="str">
        <f>HYPERLINK("http://service.sap.com/sap/support/notes/1846500","1846500")</f>
        <v>1846500</v>
      </c>
      <c r="E3577">
        <v>2</v>
      </c>
      <c r="F3577" t="s">
        <v>3794</v>
      </c>
    </row>
    <row r="3578" spans="1:6" x14ac:dyDescent="0.25">
      <c r="A3578" t="s">
        <v>3229</v>
      </c>
      <c r="B3578" t="s">
        <v>612</v>
      </c>
      <c r="C3578" t="s">
        <v>613</v>
      </c>
      <c r="D3578" t="str">
        <f>HYPERLINK("http://service.sap.com/sap/support/notes/977757","977757")</f>
        <v>977757</v>
      </c>
      <c r="E3578">
        <v>1</v>
      </c>
      <c r="F3578" t="s">
        <v>3795</v>
      </c>
    </row>
    <row r="3579" spans="1:6" x14ac:dyDescent="0.25">
      <c r="A3579" t="s">
        <v>3229</v>
      </c>
      <c r="B3579" t="s">
        <v>612</v>
      </c>
      <c r="C3579" t="s">
        <v>613</v>
      </c>
      <c r="D3579" t="str">
        <f>HYPERLINK("http://service.sap.com/sap/support/notes/1814545","1814545")</f>
        <v>1814545</v>
      </c>
      <c r="E3579">
        <v>2</v>
      </c>
      <c r="F3579" t="s">
        <v>3796</v>
      </c>
    </row>
    <row r="3580" spans="1:6" x14ac:dyDescent="0.25">
      <c r="A3580" t="s">
        <v>3229</v>
      </c>
      <c r="B3580" t="s">
        <v>612</v>
      </c>
      <c r="C3580" t="s">
        <v>613</v>
      </c>
      <c r="D3580" t="str">
        <f>HYPERLINK("http://service.sap.com/sap/support/notes/1835512","1835512")</f>
        <v>1835512</v>
      </c>
      <c r="E3580">
        <v>1</v>
      </c>
      <c r="F3580" t="s">
        <v>3797</v>
      </c>
    </row>
    <row r="3581" spans="1:6" x14ac:dyDescent="0.25">
      <c r="A3581" t="s">
        <v>3229</v>
      </c>
      <c r="B3581" t="s">
        <v>612</v>
      </c>
      <c r="C3581" t="s">
        <v>613</v>
      </c>
      <c r="D3581" t="str">
        <f>HYPERLINK("http://service.sap.com/sap/support/notes/1836686","1836686")</f>
        <v>1836686</v>
      </c>
      <c r="E3581">
        <v>3</v>
      </c>
      <c r="F3581" t="s">
        <v>3798</v>
      </c>
    </row>
    <row r="3582" spans="1:6" x14ac:dyDescent="0.25">
      <c r="A3582" t="s">
        <v>3229</v>
      </c>
      <c r="B3582" t="s">
        <v>612</v>
      </c>
      <c r="C3582" t="s">
        <v>613</v>
      </c>
      <c r="D3582" t="str">
        <f>HYPERLINK("http://service.sap.com/sap/support/notes/1837117","1837117")</f>
        <v>1837117</v>
      </c>
      <c r="E3582">
        <v>2</v>
      </c>
      <c r="F3582" t="s">
        <v>3799</v>
      </c>
    </row>
    <row r="3583" spans="1:6" x14ac:dyDescent="0.25">
      <c r="A3583" t="s">
        <v>3229</v>
      </c>
      <c r="B3583" t="s">
        <v>614</v>
      </c>
      <c r="C3583" t="s">
        <v>615</v>
      </c>
      <c r="D3583" t="str">
        <f>HYPERLINK("http://service.sap.com/sap/support/notes/1716160","1716160")</f>
        <v>1716160</v>
      </c>
      <c r="E3583">
        <v>6</v>
      </c>
      <c r="F3583" t="s">
        <v>3800</v>
      </c>
    </row>
    <row r="3584" spans="1:6" x14ac:dyDescent="0.25">
      <c r="A3584" t="s">
        <v>3229</v>
      </c>
      <c r="B3584" t="s">
        <v>614</v>
      </c>
      <c r="C3584" t="s">
        <v>615</v>
      </c>
      <c r="D3584" t="str">
        <f>HYPERLINK("http://service.sap.com/sap/support/notes/1800661","1800661")</f>
        <v>1800661</v>
      </c>
      <c r="E3584">
        <v>2</v>
      </c>
      <c r="F3584" t="s">
        <v>3801</v>
      </c>
    </row>
    <row r="3585" spans="1:6" x14ac:dyDescent="0.25">
      <c r="A3585" t="s">
        <v>3229</v>
      </c>
      <c r="B3585" t="s">
        <v>614</v>
      </c>
      <c r="C3585" t="s">
        <v>615</v>
      </c>
      <c r="D3585" t="str">
        <f>HYPERLINK("http://service.sap.com/sap/support/notes/1844462","1844462")</f>
        <v>1844462</v>
      </c>
      <c r="E3585">
        <v>1</v>
      </c>
      <c r="F3585" t="s">
        <v>3802</v>
      </c>
    </row>
    <row r="3586" spans="1:6" x14ac:dyDescent="0.25">
      <c r="A3586" t="s">
        <v>3229</v>
      </c>
      <c r="B3586" t="s">
        <v>614</v>
      </c>
      <c r="C3586" t="s">
        <v>615</v>
      </c>
      <c r="D3586" t="str">
        <f>HYPERLINK("http://service.sap.com/sap/support/notes/1846866","1846866")</f>
        <v>1846866</v>
      </c>
      <c r="E3586">
        <v>1</v>
      </c>
      <c r="F3586" t="s">
        <v>3803</v>
      </c>
    </row>
    <row r="3587" spans="1:6" x14ac:dyDescent="0.25">
      <c r="A3587" t="s">
        <v>3229</v>
      </c>
      <c r="B3587" t="s">
        <v>616</v>
      </c>
      <c r="C3587" t="s">
        <v>617</v>
      </c>
      <c r="D3587" t="str">
        <f>HYPERLINK("http://service.sap.com/sap/support/notes/1808655","1808655")</f>
        <v>1808655</v>
      </c>
      <c r="E3587">
        <v>1</v>
      </c>
      <c r="F3587" t="s">
        <v>3804</v>
      </c>
    </row>
    <row r="3588" spans="1:6" x14ac:dyDescent="0.25">
      <c r="A3588" t="s">
        <v>3229</v>
      </c>
      <c r="B3588" t="s">
        <v>616</v>
      </c>
      <c r="C3588" t="s">
        <v>617</v>
      </c>
      <c r="D3588" t="str">
        <f>HYPERLINK("http://service.sap.com/sap/support/notes/1812346","1812346")</f>
        <v>1812346</v>
      </c>
      <c r="E3588">
        <v>1</v>
      </c>
      <c r="F3588" t="s">
        <v>3805</v>
      </c>
    </row>
    <row r="3589" spans="1:6" x14ac:dyDescent="0.25">
      <c r="A3589" t="s">
        <v>3229</v>
      </c>
      <c r="B3589" t="s">
        <v>616</v>
      </c>
      <c r="C3589" t="s">
        <v>617</v>
      </c>
      <c r="D3589" t="str">
        <f>HYPERLINK("http://service.sap.com/sap/support/notes/1825239","1825239")</f>
        <v>1825239</v>
      </c>
      <c r="E3589">
        <v>2</v>
      </c>
      <c r="F3589" t="s">
        <v>3806</v>
      </c>
    </row>
    <row r="3590" spans="1:6" x14ac:dyDescent="0.25">
      <c r="A3590" t="s">
        <v>3229</v>
      </c>
      <c r="B3590" t="s">
        <v>616</v>
      </c>
      <c r="C3590" t="s">
        <v>617</v>
      </c>
      <c r="D3590" t="str">
        <f>HYPERLINK("http://service.sap.com/sap/support/notes/1843809","1843809")</f>
        <v>1843809</v>
      </c>
      <c r="E3590">
        <v>1</v>
      </c>
      <c r="F3590" t="s">
        <v>3807</v>
      </c>
    </row>
    <row r="3591" spans="1:6" x14ac:dyDescent="0.25">
      <c r="A3591" t="s">
        <v>3229</v>
      </c>
      <c r="B3591" t="s">
        <v>618</v>
      </c>
      <c r="C3591" t="s">
        <v>619</v>
      </c>
      <c r="D3591" t="str">
        <f>HYPERLINK("http://service.sap.com/sap/support/notes/1770656","1770656")</f>
        <v>1770656</v>
      </c>
      <c r="E3591">
        <v>2</v>
      </c>
      <c r="F3591" t="s">
        <v>3808</v>
      </c>
    </row>
    <row r="3592" spans="1:6" x14ac:dyDescent="0.25">
      <c r="A3592" t="s">
        <v>3229</v>
      </c>
      <c r="B3592" t="s">
        <v>3809</v>
      </c>
      <c r="C3592" t="s">
        <v>3810</v>
      </c>
      <c r="D3592" t="str">
        <f>HYPERLINK("http://service.sap.com/sap/support/notes/1809775","1809775")</f>
        <v>1809775</v>
      </c>
      <c r="E3592">
        <v>3</v>
      </c>
      <c r="F3592" t="s">
        <v>3811</v>
      </c>
    </row>
    <row r="3593" spans="1:6" x14ac:dyDescent="0.25">
      <c r="A3593" t="s">
        <v>3229</v>
      </c>
      <c r="B3593" t="s">
        <v>620</v>
      </c>
      <c r="C3593" t="s">
        <v>621</v>
      </c>
      <c r="D3593" t="str">
        <f>HYPERLINK("http://service.sap.com/sap/support/notes/1743159","1743159")</f>
        <v>1743159</v>
      </c>
      <c r="E3593">
        <v>3</v>
      </c>
      <c r="F3593" t="s">
        <v>3812</v>
      </c>
    </row>
    <row r="3594" spans="1:6" x14ac:dyDescent="0.25">
      <c r="A3594" t="s">
        <v>3229</v>
      </c>
      <c r="B3594" t="s">
        <v>622</v>
      </c>
      <c r="C3594" t="s">
        <v>623</v>
      </c>
      <c r="D3594" t="str">
        <f>HYPERLINK("http://service.sap.com/sap/support/notes/1324029","1324029")</f>
        <v>1324029</v>
      </c>
      <c r="E3594">
        <v>4</v>
      </c>
      <c r="F3594" t="s">
        <v>3813</v>
      </c>
    </row>
    <row r="3595" spans="1:6" x14ac:dyDescent="0.25">
      <c r="A3595" t="s">
        <v>3229</v>
      </c>
      <c r="B3595" t="s">
        <v>622</v>
      </c>
      <c r="C3595" t="s">
        <v>623</v>
      </c>
      <c r="D3595" t="str">
        <f>HYPERLINK("http://service.sap.com/sap/support/notes/1786904","1786904")</f>
        <v>1786904</v>
      </c>
      <c r="E3595">
        <v>1</v>
      </c>
      <c r="F3595" t="s">
        <v>3814</v>
      </c>
    </row>
    <row r="3596" spans="1:6" x14ac:dyDescent="0.25">
      <c r="A3596" t="s">
        <v>3229</v>
      </c>
      <c r="B3596" t="s">
        <v>622</v>
      </c>
      <c r="C3596" t="s">
        <v>623</v>
      </c>
      <c r="D3596" t="str">
        <f>HYPERLINK("http://service.sap.com/sap/support/notes/1792263","1792263")</f>
        <v>1792263</v>
      </c>
      <c r="E3596">
        <v>5</v>
      </c>
      <c r="F3596" t="s">
        <v>3815</v>
      </c>
    </row>
    <row r="3597" spans="1:6" x14ac:dyDescent="0.25">
      <c r="A3597" t="s">
        <v>3229</v>
      </c>
      <c r="B3597" t="s">
        <v>622</v>
      </c>
      <c r="C3597" t="s">
        <v>623</v>
      </c>
      <c r="D3597" t="str">
        <f>HYPERLINK("http://service.sap.com/sap/support/notes/1806186","1806186")</f>
        <v>1806186</v>
      </c>
      <c r="E3597">
        <v>3</v>
      </c>
      <c r="F3597" t="s">
        <v>3816</v>
      </c>
    </row>
    <row r="3598" spans="1:6" x14ac:dyDescent="0.25">
      <c r="A3598" t="s">
        <v>3229</v>
      </c>
      <c r="B3598" t="s">
        <v>622</v>
      </c>
      <c r="C3598" t="s">
        <v>623</v>
      </c>
      <c r="D3598" t="str">
        <f>HYPERLINK("http://service.sap.com/sap/support/notes/1811863","1811863")</f>
        <v>1811863</v>
      </c>
      <c r="E3598">
        <v>2</v>
      </c>
      <c r="F3598" t="s">
        <v>3817</v>
      </c>
    </row>
    <row r="3599" spans="1:6" x14ac:dyDescent="0.25">
      <c r="A3599" t="s">
        <v>3229</v>
      </c>
      <c r="B3599" t="s">
        <v>624</v>
      </c>
      <c r="C3599" t="s">
        <v>625</v>
      </c>
      <c r="D3599" t="str">
        <f>HYPERLINK("http://service.sap.com/sap/support/notes/1009465","1009465")</f>
        <v>1009465</v>
      </c>
      <c r="E3599">
        <v>5</v>
      </c>
      <c r="F3599" t="s">
        <v>3818</v>
      </c>
    </row>
    <row r="3600" spans="1:6" x14ac:dyDescent="0.25">
      <c r="A3600" t="s">
        <v>3229</v>
      </c>
      <c r="B3600" t="s">
        <v>624</v>
      </c>
      <c r="C3600" t="s">
        <v>625</v>
      </c>
      <c r="D3600" t="str">
        <f>HYPERLINK("http://service.sap.com/sap/support/notes/1755786","1755786")</f>
        <v>1755786</v>
      </c>
      <c r="E3600">
        <v>3</v>
      </c>
      <c r="F3600" t="s">
        <v>3819</v>
      </c>
    </row>
    <row r="3601" spans="1:6" x14ac:dyDescent="0.25">
      <c r="A3601" t="s">
        <v>3229</v>
      </c>
      <c r="B3601" t="s">
        <v>624</v>
      </c>
      <c r="C3601" t="s">
        <v>625</v>
      </c>
      <c r="D3601" t="str">
        <f>HYPERLINK("http://service.sap.com/sap/support/notes/1790494","1790494")</f>
        <v>1790494</v>
      </c>
      <c r="E3601">
        <v>3</v>
      </c>
      <c r="F3601" t="s">
        <v>3820</v>
      </c>
    </row>
    <row r="3602" spans="1:6" x14ac:dyDescent="0.25">
      <c r="A3602" t="s">
        <v>3229</v>
      </c>
      <c r="B3602" t="s">
        <v>624</v>
      </c>
      <c r="C3602" t="s">
        <v>625</v>
      </c>
      <c r="D3602" t="str">
        <f>HYPERLINK("http://service.sap.com/sap/support/notes/1809746","1809746")</f>
        <v>1809746</v>
      </c>
      <c r="E3602">
        <v>1</v>
      </c>
      <c r="F3602" t="s">
        <v>3821</v>
      </c>
    </row>
    <row r="3603" spans="1:6" x14ac:dyDescent="0.25">
      <c r="A3603" t="s">
        <v>3229</v>
      </c>
      <c r="B3603" t="s">
        <v>624</v>
      </c>
      <c r="C3603" t="s">
        <v>625</v>
      </c>
      <c r="D3603" t="str">
        <f>HYPERLINK("http://service.sap.com/sap/support/notes/1821713","1821713")</f>
        <v>1821713</v>
      </c>
      <c r="E3603">
        <v>1</v>
      </c>
      <c r="F3603" t="s">
        <v>3822</v>
      </c>
    </row>
    <row r="3604" spans="1:6" x14ac:dyDescent="0.25">
      <c r="A3604" t="s">
        <v>3229</v>
      </c>
      <c r="B3604" t="s">
        <v>624</v>
      </c>
      <c r="C3604" t="s">
        <v>625</v>
      </c>
      <c r="D3604" t="str">
        <f>HYPERLINK("http://service.sap.com/sap/support/notes/1822130","1822130")</f>
        <v>1822130</v>
      </c>
      <c r="E3604">
        <v>1</v>
      </c>
      <c r="F3604" t="s">
        <v>3823</v>
      </c>
    </row>
    <row r="3605" spans="1:6" x14ac:dyDescent="0.25">
      <c r="A3605" t="s">
        <v>3229</v>
      </c>
      <c r="B3605" t="s">
        <v>624</v>
      </c>
      <c r="C3605" t="s">
        <v>625</v>
      </c>
      <c r="D3605" t="str">
        <f>HYPERLINK("http://service.sap.com/sap/support/notes/1839504","1839504")</f>
        <v>1839504</v>
      </c>
      <c r="E3605">
        <v>1</v>
      </c>
      <c r="F3605" t="s">
        <v>3824</v>
      </c>
    </row>
    <row r="3606" spans="1:6" x14ac:dyDescent="0.25">
      <c r="A3606" t="s">
        <v>3229</v>
      </c>
      <c r="B3606" t="s">
        <v>626</v>
      </c>
      <c r="C3606" t="s">
        <v>627</v>
      </c>
      <c r="D3606" t="str">
        <f>HYPERLINK("http://service.sap.com/sap/support/notes/1791334","1791334")</f>
        <v>1791334</v>
      </c>
      <c r="E3606">
        <v>2</v>
      </c>
      <c r="F3606" t="s">
        <v>3825</v>
      </c>
    </row>
    <row r="3607" spans="1:6" x14ac:dyDescent="0.25">
      <c r="A3607" t="s">
        <v>3229</v>
      </c>
      <c r="B3607" t="s">
        <v>626</v>
      </c>
      <c r="C3607" t="s">
        <v>627</v>
      </c>
      <c r="D3607" t="str">
        <f>HYPERLINK("http://service.sap.com/sap/support/notes/1794825","1794825")</f>
        <v>1794825</v>
      </c>
      <c r="E3607">
        <v>1</v>
      </c>
      <c r="F3607" t="s">
        <v>3826</v>
      </c>
    </row>
    <row r="3608" spans="1:6" x14ac:dyDescent="0.25">
      <c r="A3608" t="s">
        <v>3229</v>
      </c>
      <c r="B3608" t="s">
        <v>626</v>
      </c>
      <c r="C3608" t="s">
        <v>627</v>
      </c>
      <c r="D3608" t="str">
        <f>HYPERLINK("http://service.sap.com/sap/support/notes/1794995","1794995")</f>
        <v>1794995</v>
      </c>
      <c r="E3608">
        <v>1</v>
      </c>
      <c r="F3608" t="s">
        <v>1760</v>
      </c>
    </row>
    <row r="3609" spans="1:6" x14ac:dyDescent="0.25">
      <c r="A3609" t="s">
        <v>3229</v>
      </c>
      <c r="B3609" t="s">
        <v>626</v>
      </c>
      <c r="C3609" t="s">
        <v>627</v>
      </c>
      <c r="D3609" t="str">
        <f>HYPERLINK("http://service.sap.com/sap/support/notes/1797768","1797768")</f>
        <v>1797768</v>
      </c>
      <c r="E3609">
        <v>1</v>
      </c>
      <c r="F3609" t="s">
        <v>3827</v>
      </c>
    </row>
    <row r="3610" spans="1:6" x14ac:dyDescent="0.25">
      <c r="A3610" t="s">
        <v>3229</v>
      </c>
      <c r="B3610" t="s">
        <v>626</v>
      </c>
      <c r="C3610" t="s">
        <v>627</v>
      </c>
      <c r="D3610" t="str">
        <f>HYPERLINK("http://service.sap.com/sap/support/notes/1798416","1798416")</f>
        <v>1798416</v>
      </c>
      <c r="E3610">
        <v>1</v>
      </c>
      <c r="F3610" t="s">
        <v>3828</v>
      </c>
    </row>
    <row r="3611" spans="1:6" x14ac:dyDescent="0.25">
      <c r="A3611" t="s">
        <v>3229</v>
      </c>
      <c r="B3611" t="s">
        <v>626</v>
      </c>
      <c r="C3611" t="s">
        <v>627</v>
      </c>
      <c r="D3611" t="str">
        <f>HYPERLINK("http://service.sap.com/sap/support/notes/1800450","1800450")</f>
        <v>1800450</v>
      </c>
      <c r="E3611">
        <v>2</v>
      </c>
      <c r="F3611" t="s">
        <v>3829</v>
      </c>
    </row>
    <row r="3612" spans="1:6" x14ac:dyDescent="0.25">
      <c r="A3612" t="s">
        <v>3229</v>
      </c>
      <c r="B3612" t="s">
        <v>626</v>
      </c>
      <c r="C3612" t="s">
        <v>627</v>
      </c>
      <c r="D3612" t="str">
        <f>HYPERLINK("http://service.sap.com/sap/support/notes/1818824","1818824")</f>
        <v>1818824</v>
      </c>
      <c r="E3612">
        <v>3</v>
      </c>
      <c r="F3612" t="s">
        <v>3830</v>
      </c>
    </row>
    <row r="3613" spans="1:6" x14ac:dyDescent="0.25">
      <c r="A3613" t="s">
        <v>3229</v>
      </c>
      <c r="B3613" t="s">
        <v>626</v>
      </c>
      <c r="C3613" t="s">
        <v>627</v>
      </c>
      <c r="D3613" t="str">
        <f>HYPERLINK("http://service.sap.com/sap/support/notes/1820418","1820418")</f>
        <v>1820418</v>
      </c>
      <c r="E3613">
        <v>2</v>
      </c>
      <c r="F3613" t="s">
        <v>3831</v>
      </c>
    </row>
    <row r="3614" spans="1:6" x14ac:dyDescent="0.25">
      <c r="A3614" t="s">
        <v>3229</v>
      </c>
      <c r="B3614" t="s">
        <v>626</v>
      </c>
      <c r="C3614" t="s">
        <v>627</v>
      </c>
      <c r="D3614" t="str">
        <f>HYPERLINK("http://service.sap.com/sap/support/notes/1825082","1825082")</f>
        <v>1825082</v>
      </c>
      <c r="E3614">
        <v>2</v>
      </c>
      <c r="F3614" t="s">
        <v>3832</v>
      </c>
    </row>
    <row r="3615" spans="1:6" x14ac:dyDescent="0.25">
      <c r="A3615" t="s">
        <v>3229</v>
      </c>
      <c r="B3615" t="s">
        <v>626</v>
      </c>
      <c r="C3615" t="s">
        <v>627</v>
      </c>
      <c r="D3615" t="str">
        <f>HYPERLINK("http://service.sap.com/sap/support/notes/1826229","1826229")</f>
        <v>1826229</v>
      </c>
      <c r="E3615">
        <v>2</v>
      </c>
      <c r="F3615" t="s">
        <v>3221</v>
      </c>
    </row>
    <row r="3616" spans="1:6" x14ac:dyDescent="0.25">
      <c r="A3616" t="s">
        <v>3229</v>
      </c>
      <c r="B3616" t="s">
        <v>626</v>
      </c>
      <c r="C3616" t="s">
        <v>627</v>
      </c>
      <c r="D3616" t="str">
        <f>HYPERLINK("http://service.sap.com/sap/support/notes/1844027","1844027")</f>
        <v>1844027</v>
      </c>
      <c r="E3616">
        <v>1</v>
      </c>
      <c r="F3616" t="s">
        <v>3833</v>
      </c>
    </row>
    <row r="3617" spans="1:6" x14ac:dyDescent="0.25">
      <c r="A3617" t="s">
        <v>3229</v>
      </c>
      <c r="B3617" t="s">
        <v>626</v>
      </c>
      <c r="C3617" t="s">
        <v>627</v>
      </c>
      <c r="D3617" t="str">
        <f>HYPERLINK("http://service.sap.com/sap/support/notes/1845625","1845625")</f>
        <v>1845625</v>
      </c>
      <c r="E3617">
        <v>3</v>
      </c>
      <c r="F3617" t="s">
        <v>3834</v>
      </c>
    </row>
    <row r="3618" spans="1:6" x14ac:dyDescent="0.25">
      <c r="A3618" t="s">
        <v>3229</v>
      </c>
      <c r="B3618" t="s">
        <v>626</v>
      </c>
      <c r="C3618" t="s">
        <v>627</v>
      </c>
      <c r="D3618" t="str">
        <f>HYPERLINK("http://service.sap.com/sap/support/notes/1846976","1846976")</f>
        <v>1846976</v>
      </c>
      <c r="E3618">
        <v>1</v>
      </c>
      <c r="F3618" t="s">
        <v>3835</v>
      </c>
    </row>
    <row r="3619" spans="1:6" x14ac:dyDescent="0.25">
      <c r="A3619" t="s">
        <v>3229</v>
      </c>
      <c r="B3619" t="s">
        <v>626</v>
      </c>
      <c r="C3619" t="s">
        <v>627</v>
      </c>
      <c r="D3619" t="str">
        <f>HYPERLINK("http://service.sap.com/sap/support/notes/1848505","1848505")</f>
        <v>1848505</v>
      </c>
      <c r="E3619">
        <v>1</v>
      </c>
      <c r="F3619" t="s">
        <v>3836</v>
      </c>
    </row>
    <row r="3620" spans="1:6" x14ac:dyDescent="0.25">
      <c r="A3620" t="s">
        <v>3229</v>
      </c>
      <c r="B3620" t="s">
        <v>628</v>
      </c>
      <c r="C3620" t="s">
        <v>629</v>
      </c>
      <c r="D3620" t="str">
        <f>HYPERLINK("http://service.sap.com/sap/support/notes/1786408","1786408")</f>
        <v>1786408</v>
      </c>
      <c r="E3620">
        <v>1</v>
      </c>
      <c r="F3620" t="s">
        <v>3837</v>
      </c>
    </row>
    <row r="3621" spans="1:6" x14ac:dyDescent="0.25">
      <c r="A3621" t="s">
        <v>3229</v>
      </c>
      <c r="B3621" t="s">
        <v>628</v>
      </c>
      <c r="C3621" t="s">
        <v>629</v>
      </c>
      <c r="D3621" t="str">
        <f>HYPERLINK("http://service.sap.com/sap/support/notes/1791095","1791095")</f>
        <v>1791095</v>
      </c>
      <c r="E3621">
        <v>3</v>
      </c>
      <c r="F3621" t="s">
        <v>3838</v>
      </c>
    </row>
    <row r="3622" spans="1:6" x14ac:dyDescent="0.25">
      <c r="A3622" t="s">
        <v>3229</v>
      </c>
      <c r="B3622" t="s">
        <v>628</v>
      </c>
      <c r="C3622" t="s">
        <v>629</v>
      </c>
      <c r="D3622" t="str">
        <f>HYPERLINK("http://service.sap.com/sap/support/notes/1821010","1821010")</f>
        <v>1821010</v>
      </c>
      <c r="E3622">
        <v>2</v>
      </c>
      <c r="F3622" t="s">
        <v>3839</v>
      </c>
    </row>
    <row r="3623" spans="1:6" x14ac:dyDescent="0.25">
      <c r="A3623" t="s">
        <v>3229</v>
      </c>
      <c r="B3623" t="s">
        <v>628</v>
      </c>
      <c r="C3623" t="s">
        <v>629</v>
      </c>
      <c r="D3623" t="str">
        <f>HYPERLINK("http://service.sap.com/sap/support/notes/1824192","1824192")</f>
        <v>1824192</v>
      </c>
      <c r="E3623">
        <v>3</v>
      </c>
      <c r="F3623" t="s">
        <v>3840</v>
      </c>
    </row>
    <row r="3624" spans="1:6" x14ac:dyDescent="0.25">
      <c r="A3624" t="s">
        <v>3229</v>
      </c>
      <c r="B3624" t="s">
        <v>628</v>
      </c>
      <c r="C3624" t="s">
        <v>629</v>
      </c>
      <c r="D3624" t="str">
        <f>HYPERLINK("http://service.sap.com/sap/support/notes/1843909","1843909")</f>
        <v>1843909</v>
      </c>
      <c r="E3624">
        <v>2</v>
      </c>
      <c r="F3624" t="s">
        <v>3841</v>
      </c>
    </row>
    <row r="3625" spans="1:6" x14ac:dyDescent="0.25">
      <c r="A3625" t="s">
        <v>3229</v>
      </c>
      <c r="B3625" t="s">
        <v>464</v>
      </c>
      <c r="C3625" t="s">
        <v>465</v>
      </c>
      <c r="D3625" t="str">
        <f>HYPERLINK("http://service.sap.com/sap/support/notes/1777103","1777103")</f>
        <v>1777103</v>
      </c>
      <c r="E3625">
        <v>5</v>
      </c>
      <c r="F3625" t="s">
        <v>3842</v>
      </c>
    </row>
    <row r="3626" spans="1:6" x14ac:dyDescent="0.25">
      <c r="A3626" t="s">
        <v>3229</v>
      </c>
      <c r="B3626" t="s">
        <v>464</v>
      </c>
      <c r="C3626" t="s">
        <v>465</v>
      </c>
      <c r="D3626" t="str">
        <f>HYPERLINK("http://service.sap.com/sap/support/notes/1812422","1812422")</f>
        <v>1812422</v>
      </c>
      <c r="E3626">
        <v>1</v>
      </c>
      <c r="F3626" t="s">
        <v>3843</v>
      </c>
    </row>
    <row r="3627" spans="1:6" x14ac:dyDescent="0.25">
      <c r="A3627" t="s">
        <v>3229</v>
      </c>
      <c r="B3627" t="s">
        <v>464</v>
      </c>
      <c r="C3627" t="s">
        <v>465</v>
      </c>
      <c r="D3627" t="str">
        <f>HYPERLINK("http://service.sap.com/sap/support/notes/1830890","1830890")</f>
        <v>1830890</v>
      </c>
      <c r="E3627">
        <v>2</v>
      </c>
      <c r="F3627" t="s">
        <v>3844</v>
      </c>
    </row>
    <row r="3628" spans="1:6" x14ac:dyDescent="0.25">
      <c r="A3628" t="s">
        <v>3229</v>
      </c>
      <c r="B3628" t="s">
        <v>464</v>
      </c>
      <c r="C3628" t="s">
        <v>465</v>
      </c>
      <c r="D3628" t="str">
        <f>HYPERLINK("http://service.sap.com/sap/support/notes/1840094","1840094")</f>
        <v>1840094</v>
      </c>
      <c r="E3628">
        <v>2</v>
      </c>
      <c r="F3628" t="s">
        <v>3845</v>
      </c>
    </row>
    <row r="3629" spans="1:6" x14ac:dyDescent="0.25">
      <c r="A3629" t="s">
        <v>3229</v>
      </c>
      <c r="B3629" t="s">
        <v>464</v>
      </c>
      <c r="C3629" t="s">
        <v>465</v>
      </c>
      <c r="D3629" t="str">
        <f>HYPERLINK("http://service.sap.com/sap/support/notes/1841564","1841564")</f>
        <v>1841564</v>
      </c>
      <c r="E3629">
        <v>1</v>
      </c>
      <c r="F3629" t="s">
        <v>3846</v>
      </c>
    </row>
    <row r="3630" spans="1:6" x14ac:dyDescent="0.25">
      <c r="A3630" t="s">
        <v>3229</v>
      </c>
      <c r="B3630" t="s">
        <v>464</v>
      </c>
      <c r="C3630" t="s">
        <v>465</v>
      </c>
      <c r="D3630" t="str">
        <f>HYPERLINK("http://service.sap.com/sap/support/notes/1844925","1844925")</f>
        <v>1844925</v>
      </c>
      <c r="E3630">
        <v>1</v>
      </c>
      <c r="F3630" t="s">
        <v>3847</v>
      </c>
    </row>
    <row r="3631" spans="1:6" x14ac:dyDescent="0.25">
      <c r="A3631" t="s">
        <v>3229</v>
      </c>
      <c r="B3631" t="s">
        <v>464</v>
      </c>
      <c r="C3631" t="s">
        <v>465</v>
      </c>
      <c r="D3631" t="str">
        <f>HYPERLINK("http://service.sap.com/sap/support/notes/1848115","1848115")</f>
        <v>1848115</v>
      </c>
      <c r="E3631">
        <v>1</v>
      </c>
      <c r="F3631" t="s">
        <v>3848</v>
      </c>
    </row>
    <row r="3632" spans="1:6" x14ac:dyDescent="0.25">
      <c r="A3632" t="s">
        <v>3849</v>
      </c>
      <c r="B3632" t="s">
        <v>472</v>
      </c>
      <c r="C3632" t="s">
        <v>473</v>
      </c>
    </row>
    <row r="3633" spans="1:6" x14ac:dyDescent="0.25">
      <c r="A3633" t="s">
        <v>3849</v>
      </c>
      <c r="B3633" t="s">
        <v>474</v>
      </c>
      <c r="C3633" t="s">
        <v>475</v>
      </c>
    </row>
    <row r="3634" spans="1:6" x14ac:dyDescent="0.25">
      <c r="A3634" t="s">
        <v>3849</v>
      </c>
      <c r="B3634" t="s">
        <v>476</v>
      </c>
      <c r="C3634" t="s">
        <v>477</v>
      </c>
      <c r="D3634" t="str">
        <f>HYPERLINK("http://service.sap.com/sap/support/notes/1857782","1857782")</f>
        <v>1857782</v>
      </c>
      <c r="E3634">
        <v>2</v>
      </c>
      <c r="F3634" t="s">
        <v>3850</v>
      </c>
    </row>
    <row r="3635" spans="1:6" x14ac:dyDescent="0.25">
      <c r="A3635" t="s">
        <v>3849</v>
      </c>
      <c r="B3635" t="s">
        <v>5</v>
      </c>
      <c r="C3635" t="s">
        <v>6</v>
      </c>
    </row>
    <row r="3636" spans="1:6" x14ac:dyDescent="0.25">
      <c r="A3636" t="s">
        <v>3849</v>
      </c>
      <c r="B3636" t="s">
        <v>7</v>
      </c>
      <c r="C3636" t="s">
        <v>8</v>
      </c>
    </row>
    <row r="3637" spans="1:6" x14ac:dyDescent="0.25">
      <c r="A3637" t="s">
        <v>3849</v>
      </c>
      <c r="B3637" t="s">
        <v>3851</v>
      </c>
      <c r="C3637" t="s">
        <v>3852</v>
      </c>
      <c r="D3637" t="str">
        <f>HYPERLINK("http://service.sap.com/sap/support/notes/1500266","1500266")</f>
        <v>1500266</v>
      </c>
      <c r="E3637">
        <v>6</v>
      </c>
      <c r="F3637" t="s">
        <v>3853</v>
      </c>
    </row>
    <row r="3638" spans="1:6" x14ac:dyDescent="0.25">
      <c r="A3638" t="s">
        <v>3849</v>
      </c>
      <c r="B3638" t="s">
        <v>3851</v>
      </c>
      <c r="C3638" t="s">
        <v>3852</v>
      </c>
      <c r="D3638" t="str">
        <f>HYPERLINK("http://service.sap.com/sap/support/notes/1596433","1596433")</f>
        <v>1596433</v>
      </c>
      <c r="E3638">
        <v>7</v>
      </c>
      <c r="F3638" t="s">
        <v>3854</v>
      </c>
    </row>
    <row r="3639" spans="1:6" x14ac:dyDescent="0.25">
      <c r="A3639" t="s">
        <v>3849</v>
      </c>
      <c r="B3639" t="s">
        <v>3855</v>
      </c>
      <c r="C3639" t="s">
        <v>3856</v>
      </c>
      <c r="D3639" t="str">
        <f>HYPERLINK("http://service.sap.com/sap/support/notes/1814816","1814816")</f>
        <v>1814816</v>
      </c>
      <c r="E3639">
        <v>1</v>
      </c>
      <c r="F3639" t="s">
        <v>3857</v>
      </c>
    </row>
    <row r="3640" spans="1:6" x14ac:dyDescent="0.25">
      <c r="A3640" t="s">
        <v>3849</v>
      </c>
      <c r="B3640" t="s">
        <v>3855</v>
      </c>
      <c r="C3640" t="s">
        <v>3856</v>
      </c>
      <c r="D3640" t="str">
        <f>HYPERLINK("http://service.sap.com/sap/support/notes/1846260","1846260")</f>
        <v>1846260</v>
      </c>
      <c r="E3640">
        <v>1</v>
      </c>
      <c r="F3640" t="s">
        <v>3858</v>
      </c>
    </row>
    <row r="3641" spans="1:6" x14ac:dyDescent="0.25">
      <c r="A3641" t="s">
        <v>3849</v>
      </c>
      <c r="B3641" t="s">
        <v>637</v>
      </c>
      <c r="C3641" t="s">
        <v>638</v>
      </c>
      <c r="D3641" t="str">
        <f>HYPERLINK("http://service.sap.com/sap/support/notes/1861758","1861758")</f>
        <v>1861758</v>
      </c>
      <c r="E3641">
        <v>1</v>
      </c>
      <c r="F3641" t="s">
        <v>3859</v>
      </c>
    </row>
    <row r="3642" spans="1:6" x14ac:dyDescent="0.25">
      <c r="A3642" t="s">
        <v>3849</v>
      </c>
      <c r="B3642" t="s">
        <v>15</v>
      </c>
      <c r="C3642" t="s">
        <v>16</v>
      </c>
    </row>
    <row r="3643" spans="1:6" x14ac:dyDescent="0.25">
      <c r="A3643" t="s">
        <v>3849</v>
      </c>
      <c r="B3643" t="s">
        <v>17</v>
      </c>
      <c r="C3643" t="s">
        <v>18</v>
      </c>
    </row>
    <row r="3644" spans="1:6" x14ac:dyDescent="0.25">
      <c r="A3644" t="s">
        <v>3849</v>
      </c>
      <c r="B3644" t="s">
        <v>19</v>
      </c>
      <c r="C3644" t="s">
        <v>20</v>
      </c>
    </row>
    <row r="3645" spans="1:6" x14ac:dyDescent="0.25">
      <c r="A3645" t="s">
        <v>3849</v>
      </c>
      <c r="B3645" t="s">
        <v>21</v>
      </c>
      <c r="C3645" t="s">
        <v>492</v>
      </c>
      <c r="D3645" t="str">
        <f>HYPERLINK("http://service.sap.com/sap/support/notes/1854708","1854708")</f>
        <v>1854708</v>
      </c>
      <c r="E3645">
        <v>1</v>
      </c>
      <c r="F3645" t="s">
        <v>3860</v>
      </c>
    </row>
    <row r="3646" spans="1:6" x14ac:dyDescent="0.25">
      <c r="A3646" t="s">
        <v>3849</v>
      </c>
      <c r="B3646" t="s">
        <v>21</v>
      </c>
      <c r="C3646" t="s">
        <v>492</v>
      </c>
      <c r="D3646" t="str">
        <f>HYPERLINK("http://service.sap.com/sap/support/notes/1859558","1859558")</f>
        <v>1859558</v>
      </c>
      <c r="E3646">
        <v>1</v>
      </c>
      <c r="F3646" t="s">
        <v>3861</v>
      </c>
    </row>
    <row r="3647" spans="1:6" x14ac:dyDescent="0.25">
      <c r="A3647" t="s">
        <v>3849</v>
      </c>
      <c r="B3647" t="s">
        <v>493</v>
      </c>
      <c r="C3647" t="s">
        <v>494</v>
      </c>
    </row>
    <row r="3648" spans="1:6" x14ac:dyDescent="0.25">
      <c r="A3648" t="s">
        <v>3849</v>
      </c>
      <c r="B3648" t="s">
        <v>495</v>
      </c>
      <c r="C3648" t="s">
        <v>496</v>
      </c>
      <c r="D3648" t="str">
        <f>HYPERLINK("http://service.sap.com/sap/support/notes/1858865","1858865")</f>
        <v>1858865</v>
      </c>
      <c r="E3648">
        <v>2</v>
      </c>
      <c r="F3648" t="s">
        <v>3862</v>
      </c>
    </row>
    <row r="3649" spans="1:6" x14ac:dyDescent="0.25">
      <c r="A3649" t="s">
        <v>3849</v>
      </c>
      <c r="B3649" t="s">
        <v>497</v>
      </c>
      <c r="C3649" t="s">
        <v>498</v>
      </c>
      <c r="D3649" t="str">
        <f>HYPERLINK("http://service.sap.com/sap/support/notes/1841723","1841723")</f>
        <v>1841723</v>
      </c>
      <c r="E3649">
        <v>2</v>
      </c>
      <c r="F3649" t="s">
        <v>3863</v>
      </c>
    </row>
    <row r="3650" spans="1:6" x14ac:dyDescent="0.25">
      <c r="A3650" t="s">
        <v>3849</v>
      </c>
      <c r="B3650" t="s">
        <v>497</v>
      </c>
      <c r="C3650" t="s">
        <v>498</v>
      </c>
      <c r="D3650" t="str">
        <f>HYPERLINK("http://service.sap.com/sap/support/notes/1850837","1850837")</f>
        <v>1850837</v>
      </c>
      <c r="E3650">
        <v>2</v>
      </c>
      <c r="F3650" t="s">
        <v>3864</v>
      </c>
    </row>
    <row r="3651" spans="1:6" x14ac:dyDescent="0.25">
      <c r="A3651" t="s">
        <v>3849</v>
      </c>
      <c r="B3651" t="s">
        <v>24</v>
      </c>
      <c r="C3651" t="s">
        <v>10</v>
      </c>
    </row>
    <row r="3652" spans="1:6" x14ac:dyDescent="0.25">
      <c r="A3652" t="s">
        <v>3849</v>
      </c>
      <c r="B3652" t="s">
        <v>25</v>
      </c>
      <c r="C3652" t="s">
        <v>26</v>
      </c>
    </row>
    <row r="3653" spans="1:6" x14ac:dyDescent="0.25">
      <c r="A3653" t="s">
        <v>3849</v>
      </c>
      <c r="B3653" t="s">
        <v>518</v>
      </c>
      <c r="C3653" t="s">
        <v>98</v>
      </c>
      <c r="D3653" t="str">
        <f>HYPERLINK("http://service.sap.com/sap/support/notes/1846429","1846429")</f>
        <v>1846429</v>
      </c>
      <c r="E3653">
        <v>8</v>
      </c>
      <c r="F3653" t="s">
        <v>3865</v>
      </c>
    </row>
    <row r="3654" spans="1:6" x14ac:dyDescent="0.25">
      <c r="A3654" t="s">
        <v>3849</v>
      </c>
      <c r="B3654" t="s">
        <v>519</v>
      </c>
      <c r="C3654" t="s">
        <v>132</v>
      </c>
      <c r="D3654" t="str">
        <f>HYPERLINK("http://service.sap.com/sap/support/notes/1726440","1726440")</f>
        <v>1726440</v>
      </c>
      <c r="E3654">
        <v>1</v>
      </c>
      <c r="F3654" t="s">
        <v>3260</v>
      </c>
    </row>
    <row r="3655" spans="1:6" x14ac:dyDescent="0.25">
      <c r="A3655" t="s">
        <v>3849</v>
      </c>
      <c r="B3655" t="s">
        <v>519</v>
      </c>
      <c r="C3655" t="s">
        <v>132</v>
      </c>
      <c r="D3655" t="str">
        <f>HYPERLINK("http://service.sap.com/sap/support/notes/1848620","1848620")</f>
        <v>1848620</v>
      </c>
      <c r="E3655">
        <v>1</v>
      </c>
      <c r="F3655" t="s">
        <v>3866</v>
      </c>
    </row>
    <row r="3656" spans="1:6" x14ac:dyDescent="0.25">
      <c r="A3656" t="s">
        <v>3849</v>
      </c>
      <c r="B3656" t="s">
        <v>519</v>
      </c>
      <c r="C3656" t="s">
        <v>132</v>
      </c>
      <c r="D3656" t="str">
        <f>HYPERLINK("http://service.sap.com/sap/support/notes/1851772","1851772")</f>
        <v>1851772</v>
      </c>
      <c r="E3656">
        <v>1</v>
      </c>
      <c r="F3656" t="s">
        <v>3867</v>
      </c>
    </row>
    <row r="3657" spans="1:6" x14ac:dyDescent="0.25">
      <c r="A3657" t="s">
        <v>3849</v>
      </c>
      <c r="B3657" t="s">
        <v>519</v>
      </c>
      <c r="C3657" t="s">
        <v>132</v>
      </c>
      <c r="D3657" t="str">
        <f>HYPERLINK("http://service.sap.com/sap/support/notes/1860399","1860399")</f>
        <v>1860399</v>
      </c>
      <c r="E3657">
        <v>1</v>
      </c>
      <c r="F3657" t="s">
        <v>3868</v>
      </c>
    </row>
    <row r="3658" spans="1:6" x14ac:dyDescent="0.25">
      <c r="A3658" t="s">
        <v>3849</v>
      </c>
      <c r="B3658" t="s">
        <v>642</v>
      </c>
      <c r="C3658" t="s">
        <v>145</v>
      </c>
      <c r="D3658" t="str">
        <f>HYPERLINK("http://service.sap.com/sap/support/notes/1780840","1780840")</f>
        <v>1780840</v>
      </c>
      <c r="E3658">
        <v>2</v>
      </c>
      <c r="F3658" t="s">
        <v>3869</v>
      </c>
    </row>
    <row r="3659" spans="1:6" x14ac:dyDescent="0.25">
      <c r="A3659" t="s">
        <v>3849</v>
      </c>
      <c r="B3659" t="s">
        <v>33</v>
      </c>
      <c r="C3659" t="s">
        <v>34</v>
      </c>
      <c r="D3659" t="str">
        <f>HYPERLINK("http://service.sap.com/sap/support/notes/1854201","1854201")</f>
        <v>1854201</v>
      </c>
      <c r="E3659">
        <v>1</v>
      </c>
      <c r="F3659" t="s">
        <v>3870</v>
      </c>
    </row>
    <row r="3660" spans="1:6" x14ac:dyDescent="0.25">
      <c r="A3660" t="s">
        <v>3849</v>
      </c>
      <c r="B3660" t="s">
        <v>33</v>
      </c>
      <c r="C3660" t="s">
        <v>34</v>
      </c>
      <c r="D3660" t="str">
        <f>HYPERLINK("http://service.sap.com/sap/support/notes/1855985","1855985")</f>
        <v>1855985</v>
      </c>
      <c r="E3660">
        <v>1</v>
      </c>
      <c r="F3660" t="s">
        <v>3871</v>
      </c>
    </row>
    <row r="3661" spans="1:6" x14ac:dyDescent="0.25">
      <c r="A3661" t="s">
        <v>3849</v>
      </c>
      <c r="B3661" t="s">
        <v>33</v>
      </c>
      <c r="C3661" t="s">
        <v>34</v>
      </c>
      <c r="D3661" t="str">
        <f>HYPERLINK("http://service.sap.com/sap/support/notes/1861378","1861378")</f>
        <v>1861378</v>
      </c>
      <c r="E3661">
        <v>3</v>
      </c>
      <c r="F3661" t="s">
        <v>3872</v>
      </c>
    </row>
    <row r="3662" spans="1:6" x14ac:dyDescent="0.25">
      <c r="A3662" t="s">
        <v>3849</v>
      </c>
      <c r="B3662" t="s">
        <v>520</v>
      </c>
      <c r="C3662" t="s">
        <v>176</v>
      </c>
      <c r="D3662" t="str">
        <f>HYPERLINK("http://service.sap.com/sap/support/notes/1856334","1856334")</f>
        <v>1856334</v>
      </c>
      <c r="E3662">
        <v>2</v>
      </c>
      <c r="F3662" t="s">
        <v>3262</v>
      </c>
    </row>
    <row r="3663" spans="1:6" x14ac:dyDescent="0.25">
      <c r="A3663" t="s">
        <v>3849</v>
      </c>
      <c r="B3663" t="s">
        <v>658</v>
      </c>
      <c r="C3663" t="s">
        <v>659</v>
      </c>
      <c r="D3663" t="str">
        <f>HYPERLINK("http://service.sap.com/sap/support/notes/1859883","1859883")</f>
        <v>1859883</v>
      </c>
      <c r="E3663">
        <v>1</v>
      </c>
      <c r="F3663" t="s">
        <v>3873</v>
      </c>
    </row>
    <row r="3664" spans="1:6" x14ac:dyDescent="0.25">
      <c r="A3664" t="s">
        <v>3849</v>
      </c>
      <c r="B3664" t="s">
        <v>40</v>
      </c>
      <c r="C3664" t="s">
        <v>41</v>
      </c>
      <c r="D3664" t="str">
        <f>HYPERLINK("http://service.sap.com/sap/support/notes/1850445","1850445")</f>
        <v>1850445</v>
      </c>
      <c r="E3664">
        <v>1</v>
      </c>
      <c r="F3664" t="s">
        <v>3874</v>
      </c>
    </row>
    <row r="3665" spans="1:6" x14ac:dyDescent="0.25">
      <c r="A3665" t="s">
        <v>3849</v>
      </c>
      <c r="B3665" t="s">
        <v>40</v>
      </c>
      <c r="C3665" t="s">
        <v>41</v>
      </c>
      <c r="D3665" t="str">
        <f>HYPERLINK("http://service.sap.com/sap/support/notes/1863081","1863081")</f>
        <v>1863081</v>
      </c>
      <c r="E3665">
        <v>1</v>
      </c>
      <c r="F3665" t="s">
        <v>3875</v>
      </c>
    </row>
    <row r="3666" spans="1:6" x14ac:dyDescent="0.25">
      <c r="A3666" t="s">
        <v>3849</v>
      </c>
      <c r="B3666" t="s">
        <v>43</v>
      </c>
      <c r="C3666" t="s">
        <v>521</v>
      </c>
      <c r="D3666" t="str">
        <f>HYPERLINK("http://service.sap.com/sap/support/notes/1845488","1845488")</f>
        <v>1845488</v>
      </c>
      <c r="E3666">
        <v>7</v>
      </c>
      <c r="F3666" t="s">
        <v>3876</v>
      </c>
    </row>
    <row r="3667" spans="1:6" x14ac:dyDescent="0.25">
      <c r="A3667" t="s">
        <v>3849</v>
      </c>
      <c r="B3667" t="s">
        <v>43</v>
      </c>
      <c r="C3667" t="s">
        <v>521</v>
      </c>
      <c r="D3667" t="str">
        <f>HYPERLINK("http://service.sap.com/sap/support/notes/1850659","1850659")</f>
        <v>1850659</v>
      </c>
      <c r="E3667">
        <v>3</v>
      </c>
      <c r="F3667" t="s">
        <v>3877</v>
      </c>
    </row>
    <row r="3668" spans="1:6" x14ac:dyDescent="0.25">
      <c r="A3668" t="s">
        <v>3849</v>
      </c>
      <c r="B3668" t="s">
        <v>43</v>
      </c>
      <c r="C3668" t="s">
        <v>521</v>
      </c>
      <c r="D3668" t="str">
        <f>HYPERLINK("http://service.sap.com/sap/support/notes/1851500","1851500")</f>
        <v>1851500</v>
      </c>
      <c r="E3668">
        <v>4</v>
      </c>
      <c r="F3668" t="s">
        <v>3878</v>
      </c>
    </row>
    <row r="3669" spans="1:6" x14ac:dyDescent="0.25">
      <c r="A3669" t="s">
        <v>3849</v>
      </c>
      <c r="B3669" t="s">
        <v>43</v>
      </c>
      <c r="C3669" t="s">
        <v>521</v>
      </c>
      <c r="D3669" t="str">
        <f>HYPERLINK("http://service.sap.com/sap/support/notes/1853379","1853379")</f>
        <v>1853379</v>
      </c>
      <c r="E3669">
        <v>2</v>
      </c>
      <c r="F3669" t="s">
        <v>3879</v>
      </c>
    </row>
    <row r="3670" spans="1:6" x14ac:dyDescent="0.25">
      <c r="A3670" t="s">
        <v>3849</v>
      </c>
      <c r="B3670" t="s">
        <v>43</v>
      </c>
      <c r="C3670" t="s">
        <v>521</v>
      </c>
      <c r="D3670" t="str">
        <f>HYPERLINK("http://service.sap.com/sap/support/notes/1858397","1858397")</f>
        <v>1858397</v>
      </c>
      <c r="E3670">
        <v>1</v>
      </c>
      <c r="F3670" t="s">
        <v>3880</v>
      </c>
    </row>
    <row r="3671" spans="1:6" x14ac:dyDescent="0.25">
      <c r="A3671" t="s">
        <v>3849</v>
      </c>
      <c r="B3671" t="s">
        <v>522</v>
      </c>
      <c r="C3671" t="s">
        <v>523</v>
      </c>
      <c r="D3671" t="str">
        <f>HYPERLINK("http://service.sap.com/sap/support/notes/1850308","1850308")</f>
        <v>1850308</v>
      </c>
      <c r="E3671">
        <v>1</v>
      </c>
      <c r="F3671" t="s">
        <v>3881</v>
      </c>
    </row>
    <row r="3672" spans="1:6" x14ac:dyDescent="0.25">
      <c r="A3672" t="s">
        <v>3849</v>
      </c>
      <c r="B3672" t="s">
        <v>522</v>
      </c>
      <c r="C3672" t="s">
        <v>523</v>
      </c>
      <c r="D3672" t="str">
        <f>HYPERLINK("http://service.sap.com/sap/support/notes/1850876","1850876")</f>
        <v>1850876</v>
      </c>
      <c r="E3672">
        <v>1</v>
      </c>
      <c r="F3672" t="s">
        <v>3882</v>
      </c>
    </row>
    <row r="3673" spans="1:6" x14ac:dyDescent="0.25">
      <c r="A3673" t="s">
        <v>3849</v>
      </c>
      <c r="B3673" t="s">
        <v>522</v>
      </c>
      <c r="C3673" t="s">
        <v>523</v>
      </c>
      <c r="D3673" t="str">
        <f>HYPERLINK("http://service.sap.com/sap/support/notes/1851434","1851434")</f>
        <v>1851434</v>
      </c>
      <c r="E3673">
        <v>1</v>
      </c>
      <c r="F3673" t="s">
        <v>3883</v>
      </c>
    </row>
    <row r="3674" spans="1:6" x14ac:dyDescent="0.25">
      <c r="A3674" t="s">
        <v>3849</v>
      </c>
      <c r="B3674" t="s">
        <v>522</v>
      </c>
      <c r="C3674" t="s">
        <v>523</v>
      </c>
      <c r="D3674" t="str">
        <f>HYPERLINK("http://service.sap.com/sap/support/notes/1854269","1854269")</f>
        <v>1854269</v>
      </c>
      <c r="E3674">
        <v>2</v>
      </c>
      <c r="F3674" t="s">
        <v>3884</v>
      </c>
    </row>
    <row r="3675" spans="1:6" x14ac:dyDescent="0.25">
      <c r="A3675" t="s">
        <v>3849</v>
      </c>
      <c r="B3675" t="s">
        <v>1580</v>
      </c>
      <c r="C3675" t="s">
        <v>307</v>
      </c>
      <c r="D3675" t="str">
        <f>HYPERLINK("http://service.sap.com/sap/support/notes/1861405","1861405")</f>
        <v>1861405</v>
      </c>
      <c r="E3675">
        <v>2</v>
      </c>
      <c r="F3675" t="s">
        <v>3885</v>
      </c>
    </row>
    <row r="3676" spans="1:6" x14ac:dyDescent="0.25">
      <c r="A3676" t="s">
        <v>3849</v>
      </c>
      <c r="B3676" t="s">
        <v>3886</v>
      </c>
      <c r="C3676" t="s">
        <v>311</v>
      </c>
      <c r="D3676" t="str">
        <f>HYPERLINK("http://service.sap.com/sap/support/notes/1860611","1860611")</f>
        <v>1860611</v>
      </c>
      <c r="E3676">
        <v>1</v>
      </c>
      <c r="F3676" t="s">
        <v>3887</v>
      </c>
    </row>
    <row r="3677" spans="1:6" x14ac:dyDescent="0.25">
      <c r="A3677" t="s">
        <v>3849</v>
      </c>
      <c r="B3677" t="s">
        <v>1582</v>
      </c>
      <c r="C3677" t="s">
        <v>314</v>
      </c>
      <c r="D3677" t="str">
        <f>HYPERLINK("http://service.sap.com/sap/support/notes/1852714","1852714")</f>
        <v>1852714</v>
      </c>
      <c r="E3677">
        <v>1</v>
      </c>
      <c r="F3677" t="s">
        <v>3888</v>
      </c>
    </row>
    <row r="3678" spans="1:6" x14ac:dyDescent="0.25">
      <c r="A3678" t="s">
        <v>3849</v>
      </c>
      <c r="B3678" t="s">
        <v>801</v>
      </c>
      <c r="C3678" t="s">
        <v>328</v>
      </c>
      <c r="D3678" t="str">
        <f>HYPERLINK("http://service.sap.com/sap/support/notes/448307","448307")</f>
        <v>448307</v>
      </c>
      <c r="E3678">
        <v>1</v>
      </c>
      <c r="F3678" t="s">
        <v>802</v>
      </c>
    </row>
    <row r="3679" spans="1:6" x14ac:dyDescent="0.25">
      <c r="A3679" t="s">
        <v>3849</v>
      </c>
      <c r="B3679" t="s">
        <v>47</v>
      </c>
      <c r="C3679" t="s">
        <v>48</v>
      </c>
      <c r="D3679" t="str">
        <f>HYPERLINK("http://service.sap.com/sap/support/notes/1860561","1860561")</f>
        <v>1860561</v>
      </c>
      <c r="E3679">
        <v>1</v>
      </c>
      <c r="F3679" t="s">
        <v>3889</v>
      </c>
    </row>
    <row r="3680" spans="1:6" x14ac:dyDescent="0.25">
      <c r="A3680" t="s">
        <v>3849</v>
      </c>
      <c r="B3680" t="s">
        <v>51</v>
      </c>
      <c r="C3680" t="s">
        <v>52</v>
      </c>
      <c r="D3680" t="str">
        <f>HYPERLINK("http://service.sap.com/sap/support/notes/1858264","1858264")</f>
        <v>1858264</v>
      </c>
      <c r="E3680">
        <v>2</v>
      </c>
      <c r="F3680" t="s">
        <v>3890</v>
      </c>
    </row>
    <row r="3681" spans="1:6" x14ac:dyDescent="0.25">
      <c r="A3681" t="s">
        <v>3849</v>
      </c>
      <c r="B3681" t="s">
        <v>2835</v>
      </c>
      <c r="C3681" t="s">
        <v>3281</v>
      </c>
      <c r="D3681" t="str">
        <f>HYPERLINK("http://service.sap.com/sap/support/notes/1132738","1132738")</f>
        <v>1132738</v>
      </c>
      <c r="E3681">
        <v>1</v>
      </c>
      <c r="F3681" t="s">
        <v>3282</v>
      </c>
    </row>
    <row r="3682" spans="1:6" x14ac:dyDescent="0.25">
      <c r="A3682" t="s">
        <v>3849</v>
      </c>
      <c r="B3682" t="s">
        <v>2835</v>
      </c>
      <c r="C3682" t="s">
        <v>3281</v>
      </c>
      <c r="D3682" t="str">
        <f>HYPERLINK("http://service.sap.com/sap/support/notes/1825042","1825042")</f>
        <v>1825042</v>
      </c>
      <c r="E3682">
        <v>1</v>
      </c>
      <c r="F3682" t="s">
        <v>2837</v>
      </c>
    </row>
    <row r="3683" spans="1:6" x14ac:dyDescent="0.25">
      <c r="A3683" t="s">
        <v>3849</v>
      </c>
      <c r="B3683" t="s">
        <v>525</v>
      </c>
      <c r="C3683" t="s">
        <v>351</v>
      </c>
      <c r="D3683" t="str">
        <f>HYPERLINK("http://service.sap.com/sap/support/notes/1864332","1864332")</f>
        <v>1864332</v>
      </c>
      <c r="E3683">
        <v>1</v>
      </c>
      <c r="F3683" t="s">
        <v>3891</v>
      </c>
    </row>
    <row r="3684" spans="1:6" x14ac:dyDescent="0.25">
      <c r="A3684" t="s">
        <v>3849</v>
      </c>
      <c r="B3684" t="s">
        <v>54</v>
      </c>
      <c r="C3684" t="s">
        <v>55</v>
      </c>
      <c r="D3684" t="str">
        <f>HYPERLINK("http://service.sap.com/sap/support/notes/1798802","1798802")</f>
        <v>1798802</v>
      </c>
      <c r="E3684">
        <v>1</v>
      </c>
      <c r="F3684" t="s">
        <v>3285</v>
      </c>
    </row>
    <row r="3685" spans="1:6" x14ac:dyDescent="0.25">
      <c r="A3685" t="s">
        <v>3849</v>
      </c>
      <c r="B3685" t="s">
        <v>54</v>
      </c>
      <c r="C3685" t="s">
        <v>55</v>
      </c>
      <c r="D3685" t="str">
        <f>HYPERLINK("http://service.sap.com/sap/support/notes/1837079","1837079")</f>
        <v>1837079</v>
      </c>
      <c r="E3685">
        <v>3</v>
      </c>
      <c r="F3685" t="s">
        <v>3892</v>
      </c>
    </row>
    <row r="3686" spans="1:6" x14ac:dyDescent="0.25">
      <c r="A3686" t="s">
        <v>3849</v>
      </c>
      <c r="B3686" t="s">
        <v>54</v>
      </c>
      <c r="C3686" t="s">
        <v>55</v>
      </c>
      <c r="D3686" t="str">
        <f>HYPERLINK("http://service.sap.com/sap/support/notes/1842520","1842520")</f>
        <v>1842520</v>
      </c>
    </row>
    <row r="3687" spans="1:6" x14ac:dyDescent="0.25">
      <c r="A3687" t="s">
        <v>3849</v>
      </c>
      <c r="B3687" t="s">
        <v>54</v>
      </c>
      <c r="C3687" t="s">
        <v>55</v>
      </c>
      <c r="D3687" t="str">
        <f>HYPERLINK("http://service.sap.com/sap/support/notes/1850136","1850136")</f>
        <v>1850136</v>
      </c>
      <c r="E3687">
        <v>5</v>
      </c>
      <c r="F3687" t="s">
        <v>3893</v>
      </c>
    </row>
    <row r="3688" spans="1:6" x14ac:dyDescent="0.25">
      <c r="A3688" t="s">
        <v>3849</v>
      </c>
      <c r="B3688" t="s">
        <v>54</v>
      </c>
      <c r="C3688" t="s">
        <v>55</v>
      </c>
      <c r="D3688" t="str">
        <f>HYPERLINK("http://service.sap.com/sap/support/notes/1858427","1858427")</f>
        <v>1858427</v>
      </c>
      <c r="E3688">
        <v>2</v>
      </c>
      <c r="F3688" t="s">
        <v>3894</v>
      </c>
    </row>
    <row r="3689" spans="1:6" x14ac:dyDescent="0.25">
      <c r="A3689" t="s">
        <v>3849</v>
      </c>
      <c r="B3689" t="s">
        <v>54</v>
      </c>
      <c r="C3689" t="s">
        <v>55</v>
      </c>
      <c r="D3689" t="str">
        <f>HYPERLINK("http://service.sap.com/sap/support/notes/1863190","1863190")</f>
        <v>1863190</v>
      </c>
      <c r="E3689">
        <v>1</v>
      </c>
      <c r="F3689" t="s">
        <v>3895</v>
      </c>
    </row>
    <row r="3690" spans="1:6" x14ac:dyDescent="0.25">
      <c r="A3690" t="s">
        <v>3849</v>
      </c>
      <c r="B3690" t="s">
        <v>63</v>
      </c>
      <c r="C3690" t="s">
        <v>527</v>
      </c>
      <c r="D3690" t="str">
        <f>HYPERLINK("http://service.sap.com/sap/support/notes/1116407","1116407")</f>
        <v>1116407</v>
      </c>
      <c r="E3690">
        <v>149</v>
      </c>
      <c r="F3690" t="s">
        <v>660</v>
      </c>
    </row>
    <row r="3691" spans="1:6" x14ac:dyDescent="0.25">
      <c r="A3691" t="s">
        <v>3849</v>
      </c>
      <c r="B3691" t="s">
        <v>63</v>
      </c>
      <c r="C3691" t="s">
        <v>527</v>
      </c>
      <c r="D3691" t="str">
        <f>HYPERLINK("http://service.sap.com/sap/support/notes/1817326","1817326")</f>
        <v>1817326</v>
      </c>
      <c r="E3691">
        <v>2</v>
      </c>
      <c r="F3691" t="s">
        <v>2394</v>
      </c>
    </row>
    <row r="3692" spans="1:6" x14ac:dyDescent="0.25">
      <c r="A3692" t="s">
        <v>3849</v>
      </c>
      <c r="B3692" t="s">
        <v>63</v>
      </c>
      <c r="C3692" t="s">
        <v>527</v>
      </c>
      <c r="D3692" t="str">
        <f>HYPERLINK("http://service.sap.com/sap/support/notes/1860215","1860215")</f>
        <v>1860215</v>
      </c>
      <c r="E3692">
        <v>1</v>
      </c>
      <c r="F3692" t="s">
        <v>3896</v>
      </c>
    </row>
    <row r="3693" spans="1:6" x14ac:dyDescent="0.25">
      <c r="A3693" t="s">
        <v>3849</v>
      </c>
      <c r="B3693" t="s">
        <v>63</v>
      </c>
      <c r="C3693" t="s">
        <v>527</v>
      </c>
      <c r="D3693" t="str">
        <f>HYPERLINK("http://service.sap.com/sap/support/notes/1863497","1863497")</f>
        <v>1863497</v>
      </c>
      <c r="E3693">
        <v>2</v>
      </c>
      <c r="F3693" t="s">
        <v>3897</v>
      </c>
    </row>
    <row r="3694" spans="1:6" x14ac:dyDescent="0.25">
      <c r="A3694" t="s">
        <v>3849</v>
      </c>
      <c r="B3694" t="s">
        <v>73</v>
      </c>
      <c r="C3694" t="s">
        <v>74</v>
      </c>
      <c r="D3694" t="str">
        <f>HYPERLINK("http://service.sap.com/sap/support/notes/1786444","1786444")</f>
        <v>1786444</v>
      </c>
      <c r="E3694">
        <v>2</v>
      </c>
      <c r="F3694" t="s">
        <v>3898</v>
      </c>
    </row>
    <row r="3695" spans="1:6" x14ac:dyDescent="0.25">
      <c r="A3695" t="s">
        <v>3849</v>
      </c>
      <c r="B3695" t="s">
        <v>73</v>
      </c>
      <c r="C3695" t="s">
        <v>74</v>
      </c>
      <c r="D3695" t="str">
        <f>HYPERLINK("http://service.sap.com/sap/support/notes/1811305","1811305")</f>
        <v>1811305</v>
      </c>
      <c r="E3695">
        <v>2</v>
      </c>
      <c r="F3695" t="s">
        <v>3899</v>
      </c>
    </row>
    <row r="3696" spans="1:6" x14ac:dyDescent="0.25">
      <c r="A3696" t="s">
        <v>3849</v>
      </c>
      <c r="B3696" t="s">
        <v>3900</v>
      </c>
      <c r="C3696" t="s">
        <v>465</v>
      </c>
      <c r="D3696" t="str">
        <f>HYPERLINK("http://service.sap.com/sap/support/notes/1852738","1852738")</f>
        <v>1852738</v>
      </c>
      <c r="E3696">
        <v>1</v>
      </c>
      <c r="F3696" t="s">
        <v>3901</v>
      </c>
    </row>
    <row r="3697" spans="1:6" x14ac:dyDescent="0.25">
      <c r="A3697" t="s">
        <v>3849</v>
      </c>
      <c r="B3697" t="s">
        <v>79</v>
      </c>
      <c r="C3697" t="s">
        <v>80</v>
      </c>
    </row>
    <row r="3698" spans="1:6" x14ac:dyDescent="0.25">
      <c r="A3698" t="s">
        <v>3849</v>
      </c>
      <c r="B3698" t="s">
        <v>81</v>
      </c>
      <c r="C3698" t="s">
        <v>539</v>
      </c>
      <c r="D3698" t="str">
        <f>HYPERLINK("http://service.sap.com/sap/support/notes/1849822","1849822")</f>
        <v>1849822</v>
      </c>
      <c r="E3698">
        <v>2</v>
      </c>
      <c r="F3698" t="s">
        <v>3902</v>
      </c>
    </row>
    <row r="3699" spans="1:6" x14ac:dyDescent="0.25">
      <c r="A3699" t="s">
        <v>3849</v>
      </c>
      <c r="B3699" t="s">
        <v>81</v>
      </c>
      <c r="C3699" t="s">
        <v>539</v>
      </c>
      <c r="D3699" t="str">
        <f>HYPERLINK("http://service.sap.com/sap/support/notes/1859125","1859125")</f>
        <v>1859125</v>
      </c>
      <c r="E3699">
        <v>1</v>
      </c>
      <c r="F3699" t="s">
        <v>3903</v>
      </c>
    </row>
    <row r="3700" spans="1:6" x14ac:dyDescent="0.25">
      <c r="A3700" t="s">
        <v>3849</v>
      </c>
      <c r="B3700" t="s">
        <v>85</v>
      </c>
      <c r="C3700" t="s">
        <v>86</v>
      </c>
    </row>
    <row r="3701" spans="1:6" x14ac:dyDescent="0.25">
      <c r="A3701" t="s">
        <v>3849</v>
      </c>
      <c r="B3701" t="s">
        <v>644</v>
      </c>
      <c r="C3701" t="s">
        <v>3904</v>
      </c>
      <c r="D3701" t="str">
        <f>HYPERLINK("http://service.sap.com/sap/support/notes/1840991","1840991")</f>
        <v>1840991</v>
      </c>
      <c r="E3701">
        <v>1</v>
      </c>
      <c r="F3701" t="s">
        <v>3905</v>
      </c>
    </row>
    <row r="3702" spans="1:6" x14ac:dyDescent="0.25">
      <c r="A3702" t="s">
        <v>3849</v>
      </c>
      <c r="B3702" t="s">
        <v>682</v>
      </c>
      <c r="C3702" t="s">
        <v>683</v>
      </c>
      <c r="D3702" t="str">
        <f>HYPERLINK("http://service.sap.com/sap/support/notes/1811999","1811999")</f>
        <v>1811999</v>
      </c>
      <c r="E3702">
        <v>2</v>
      </c>
      <c r="F3702" t="s">
        <v>3906</v>
      </c>
    </row>
    <row r="3703" spans="1:6" x14ac:dyDescent="0.25">
      <c r="A3703" t="s">
        <v>3849</v>
      </c>
      <c r="B3703" t="s">
        <v>682</v>
      </c>
      <c r="C3703" t="s">
        <v>683</v>
      </c>
      <c r="D3703" t="str">
        <f>HYPERLINK("http://service.sap.com/sap/support/notes/1870280","1870280")</f>
        <v>1870280</v>
      </c>
      <c r="E3703">
        <v>1</v>
      </c>
      <c r="F3703" t="s">
        <v>3907</v>
      </c>
    </row>
    <row r="3704" spans="1:6" x14ac:dyDescent="0.25">
      <c r="A3704" t="s">
        <v>3849</v>
      </c>
      <c r="B3704" t="s">
        <v>696</v>
      </c>
      <c r="C3704" t="s">
        <v>697</v>
      </c>
    </row>
    <row r="3705" spans="1:6" x14ac:dyDescent="0.25">
      <c r="A3705" t="s">
        <v>3849</v>
      </c>
      <c r="B3705" t="s">
        <v>698</v>
      </c>
      <c r="C3705" t="s">
        <v>699</v>
      </c>
      <c r="D3705" t="str">
        <f>HYPERLINK("http://service.sap.com/sap/support/notes/1572633","1572633")</f>
        <v>1572633</v>
      </c>
      <c r="E3705">
        <v>3</v>
      </c>
      <c r="F3705" t="s">
        <v>3908</v>
      </c>
    </row>
    <row r="3706" spans="1:6" x14ac:dyDescent="0.25">
      <c r="A3706" t="s">
        <v>3849</v>
      </c>
      <c r="B3706" t="s">
        <v>698</v>
      </c>
      <c r="C3706" t="s">
        <v>699</v>
      </c>
      <c r="D3706" t="str">
        <f>HYPERLINK("http://service.sap.com/sap/support/notes/1708013","1708013")</f>
        <v>1708013</v>
      </c>
      <c r="E3706">
        <v>1</v>
      </c>
      <c r="F3706" t="s">
        <v>3909</v>
      </c>
    </row>
    <row r="3707" spans="1:6" x14ac:dyDescent="0.25">
      <c r="A3707" t="s">
        <v>3849</v>
      </c>
      <c r="B3707" t="s">
        <v>698</v>
      </c>
      <c r="C3707" t="s">
        <v>699</v>
      </c>
      <c r="D3707" t="str">
        <f>HYPERLINK("http://service.sap.com/sap/support/notes/1723777","1723777")</f>
        <v>1723777</v>
      </c>
      <c r="E3707">
        <v>3</v>
      </c>
      <c r="F3707" t="s">
        <v>3910</v>
      </c>
    </row>
    <row r="3708" spans="1:6" x14ac:dyDescent="0.25">
      <c r="A3708" t="s">
        <v>3849</v>
      </c>
      <c r="B3708" t="s">
        <v>698</v>
      </c>
      <c r="C3708" t="s">
        <v>699</v>
      </c>
      <c r="D3708" t="str">
        <f>HYPERLINK("http://service.sap.com/sap/support/notes/1807867","1807867")</f>
        <v>1807867</v>
      </c>
      <c r="E3708">
        <v>1</v>
      </c>
      <c r="F3708" t="s">
        <v>3911</v>
      </c>
    </row>
    <row r="3709" spans="1:6" x14ac:dyDescent="0.25">
      <c r="A3709" t="s">
        <v>3849</v>
      </c>
      <c r="B3709" t="s">
        <v>698</v>
      </c>
      <c r="C3709" t="s">
        <v>699</v>
      </c>
      <c r="D3709" t="str">
        <f>HYPERLINK("http://service.sap.com/sap/support/notes/1815412","1815412")</f>
        <v>1815412</v>
      </c>
      <c r="E3709">
        <v>1</v>
      </c>
      <c r="F3709" t="s">
        <v>3912</v>
      </c>
    </row>
    <row r="3710" spans="1:6" x14ac:dyDescent="0.25">
      <c r="A3710" t="s">
        <v>3849</v>
      </c>
      <c r="B3710" t="s">
        <v>698</v>
      </c>
      <c r="C3710" t="s">
        <v>699</v>
      </c>
      <c r="D3710" t="str">
        <f>HYPERLINK("http://service.sap.com/sap/support/notes/1823781","1823781")</f>
        <v>1823781</v>
      </c>
      <c r="E3710">
        <v>1</v>
      </c>
      <c r="F3710" t="s">
        <v>3913</v>
      </c>
    </row>
    <row r="3711" spans="1:6" x14ac:dyDescent="0.25">
      <c r="A3711" t="s">
        <v>3849</v>
      </c>
      <c r="B3711" t="s">
        <v>698</v>
      </c>
      <c r="C3711" t="s">
        <v>699</v>
      </c>
      <c r="D3711" t="str">
        <f>HYPERLINK("http://service.sap.com/sap/support/notes/1837648","1837648")</f>
        <v>1837648</v>
      </c>
      <c r="E3711">
        <v>1</v>
      </c>
      <c r="F3711" t="s">
        <v>3914</v>
      </c>
    </row>
    <row r="3712" spans="1:6" x14ac:dyDescent="0.25">
      <c r="A3712" t="s">
        <v>3849</v>
      </c>
      <c r="B3712" t="s">
        <v>710</v>
      </c>
      <c r="C3712" t="s">
        <v>711</v>
      </c>
    </row>
    <row r="3713" spans="1:6" x14ac:dyDescent="0.25">
      <c r="A3713" t="s">
        <v>3849</v>
      </c>
      <c r="B3713" t="s">
        <v>712</v>
      </c>
      <c r="C3713" t="s">
        <v>713</v>
      </c>
      <c r="D3713" t="str">
        <f>HYPERLINK("http://service.sap.com/sap/support/notes/1781183","1781183")</f>
        <v>1781183</v>
      </c>
      <c r="E3713">
        <v>1</v>
      </c>
      <c r="F3713" t="s">
        <v>3915</v>
      </c>
    </row>
    <row r="3714" spans="1:6" x14ac:dyDescent="0.25">
      <c r="A3714" t="s">
        <v>3849</v>
      </c>
      <c r="B3714" t="s">
        <v>90</v>
      </c>
      <c r="C3714" t="s">
        <v>13</v>
      </c>
    </row>
    <row r="3715" spans="1:6" x14ac:dyDescent="0.25">
      <c r="A3715" t="s">
        <v>3849</v>
      </c>
      <c r="B3715" t="s">
        <v>557</v>
      </c>
      <c r="C3715" t="s">
        <v>558</v>
      </c>
      <c r="D3715" t="str">
        <f>HYPERLINK("http://service.sap.com/sap/support/notes/1852426","1852426")</f>
        <v>1852426</v>
      </c>
      <c r="E3715">
        <v>2</v>
      </c>
      <c r="F3715" t="s">
        <v>3916</v>
      </c>
    </row>
    <row r="3716" spans="1:6" x14ac:dyDescent="0.25">
      <c r="A3716" t="s">
        <v>3849</v>
      </c>
      <c r="B3716" t="s">
        <v>91</v>
      </c>
      <c r="C3716" t="s">
        <v>92</v>
      </c>
      <c r="D3716" t="str">
        <f>HYPERLINK("http://service.sap.com/sap/support/notes/1676116","1676116")</f>
        <v>1676116</v>
      </c>
      <c r="E3716">
        <v>3</v>
      </c>
      <c r="F3716" t="s">
        <v>3917</v>
      </c>
    </row>
    <row r="3717" spans="1:6" x14ac:dyDescent="0.25">
      <c r="A3717" t="s">
        <v>3849</v>
      </c>
      <c r="B3717" t="s">
        <v>91</v>
      </c>
      <c r="C3717" t="s">
        <v>92</v>
      </c>
      <c r="D3717" t="str">
        <f>HYPERLINK("http://service.sap.com/sap/support/notes/1809587","1809587")</f>
        <v>1809587</v>
      </c>
      <c r="E3717">
        <v>1</v>
      </c>
      <c r="F3717" t="s">
        <v>3918</v>
      </c>
    </row>
    <row r="3718" spans="1:6" x14ac:dyDescent="0.25">
      <c r="A3718" t="s">
        <v>3849</v>
      </c>
      <c r="B3718" t="s">
        <v>95</v>
      </c>
      <c r="C3718" t="s">
        <v>96</v>
      </c>
    </row>
    <row r="3719" spans="1:6" x14ac:dyDescent="0.25">
      <c r="A3719" t="s">
        <v>3849</v>
      </c>
      <c r="B3719" t="s">
        <v>569</v>
      </c>
      <c r="C3719" t="s">
        <v>28</v>
      </c>
      <c r="D3719" t="str">
        <f>HYPERLINK("http://service.sap.com/sap/support/notes/1807973","1807973")</f>
        <v>1807973</v>
      </c>
      <c r="E3719">
        <v>6</v>
      </c>
      <c r="F3719" t="s">
        <v>3919</v>
      </c>
    </row>
    <row r="3720" spans="1:6" x14ac:dyDescent="0.25">
      <c r="A3720" t="s">
        <v>3849</v>
      </c>
      <c r="B3720" t="s">
        <v>569</v>
      </c>
      <c r="C3720" t="s">
        <v>28</v>
      </c>
      <c r="D3720" t="str">
        <f>HYPERLINK("http://service.sap.com/sap/support/notes/1834400","1834400")</f>
        <v>1834400</v>
      </c>
      <c r="E3720">
        <v>4</v>
      </c>
      <c r="F3720" t="s">
        <v>3920</v>
      </c>
    </row>
    <row r="3721" spans="1:6" x14ac:dyDescent="0.25">
      <c r="A3721" t="s">
        <v>3849</v>
      </c>
      <c r="B3721" t="s">
        <v>569</v>
      </c>
      <c r="C3721" t="s">
        <v>28</v>
      </c>
      <c r="D3721" t="str">
        <f>HYPERLINK("http://service.sap.com/sap/support/notes/1837951","1837951")</f>
        <v>1837951</v>
      </c>
      <c r="E3721">
        <v>2</v>
      </c>
      <c r="F3721" t="s">
        <v>3921</v>
      </c>
    </row>
    <row r="3722" spans="1:6" x14ac:dyDescent="0.25">
      <c r="A3722" t="s">
        <v>3849</v>
      </c>
      <c r="B3722" t="s">
        <v>569</v>
      </c>
      <c r="C3722" t="s">
        <v>28</v>
      </c>
      <c r="D3722" t="str">
        <f>HYPERLINK("http://service.sap.com/sap/support/notes/1847378","1847378")</f>
        <v>1847378</v>
      </c>
      <c r="E3722">
        <v>2</v>
      </c>
      <c r="F3722" t="s">
        <v>3922</v>
      </c>
    </row>
    <row r="3723" spans="1:6" x14ac:dyDescent="0.25">
      <c r="A3723" t="s">
        <v>3849</v>
      </c>
      <c r="B3723" t="s">
        <v>569</v>
      </c>
      <c r="C3723" t="s">
        <v>28</v>
      </c>
      <c r="D3723" t="str">
        <f>HYPERLINK("http://service.sap.com/sap/support/notes/1848715","1848715")</f>
        <v>1848715</v>
      </c>
      <c r="E3723">
        <v>2</v>
      </c>
      <c r="F3723" t="s">
        <v>3923</v>
      </c>
    </row>
    <row r="3724" spans="1:6" x14ac:dyDescent="0.25">
      <c r="A3724" t="s">
        <v>3849</v>
      </c>
      <c r="B3724" t="s">
        <v>569</v>
      </c>
      <c r="C3724" t="s">
        <v>28</v>
      </c>
      <c r="D3724" t="str">
        <f>HYPERLINK("http://service.sap.com/sap/support/notes/1850004","1850004")</f>
        <v>1850004</v>
      </c>
      <c r="E3724">
        <v>2</v>
      </c>
      <c r="F3724" t="s">
        <v>3924</v>
      </c>
    </row>
    <row r="3725" spans="1:6" x14ac:dyDescent="0.25">
      <c r="A3725" t="s">
        <v>3849</v>
      </c>
      <c r="B3725" t="s">
        <v>569</v>
      </c>
      <c r="C3725" t="s">
        <v>28</v>
      </c>
      <c r="D3725" t="str">
        <f>HYPERLINK("http://service.sap.com/sap/support/notes/1859649","1859649")</f>
        <v>1859649</v>
      </c>
      <c r="E3725">
        <v>4</v>
      </c>
      <c r="F3725" t="s">
        <v>3925</v>
      </c>
    </row>
    <row r="3726" spans="1:6" x14ac:dyDescent="0.25">
      <c r="A3726" t="s">
        <v>3849</v>
      </c>
      <c r="B3726" t="s">
        <v>97</v>
      </c>
      <c r="C3726" t="s">
        <v>98</v>
      </c>
      <c r="D3726" t="str">
        <f>HYPERLINK("http://service.sap.com/sap/support/notes/1343631","1343631")</f>
        <v>1343631</v>
      </c>
      <c r="E3726">
        <v>1</v>
      </c>
      <c r="F3726" t="s">
        <v>972</v>
      </c>
    </row>
    <row r="3727" spans="1:6" x14ac:dyDescent="0.25">
      <c r="A3727" t="s">
        <v>3849</v>
      </c>
      <c r="B3727" t="s">
        <v>97</v>
      </c>
      <c r="C3727" t="s">
        <v>98</v>
      </c>
      <c r="D3727" t="str">
        <f>HYPERLINK("http://service.sap.com/sap/support/notes/1700761","1700761")</f>
        <v>1700761</v>
      </c>
      <c r="E3727">
        <v>3</v>
      </c>
      <c r="F3727" t="s">
        <v>3926</v>
      </c>
    </row>
    <row r="3728" spans="1:6" x14ac:dyDescent="0.25">
      <c r="A3728" t="s">
        <v>3849</v>
      </c>
      <c r="B3728" t="s">
        <v>97</v>
      </c>
      <c r="C3728" t="s">
        <v>98</v>
      </c>
      <c r="D3728" t="str">
        <f>HYPERLINK("http://service.sap.com/sap/support/notes/1731785","1731785")</f>
        <v>1731785</v>
      </c>
      <c r="E3728">
        <v>7</v>
      </c>
      <c r="F3728" t="s">
        <v>3927</v>
      </c>
    </row>
    <row r="3729" spans="1:6" x14ac:dyDescent="0.25">
      <c r="A3729" t="s">
        <v>3849</v>
      </c>
      <c r="B3729" t="s">
        <v>97</v>
      </c>
      <c r="C3729" t="s">
        <v>98</v>
      </c>
      <c r="D3729" t="str">
        <f>HYPERLINK("http://service.sap.com/sap/support/notes/1843534","1843534")</f>
        <v>1843534</v>
      </c>
      <c r="E3729">
        <v>6</v>
      </c>
      <c r="F3729" t="s">
        <v>3928</v>
      </c>
    </row>
    <row r="3730" spans="1:6" x14ac:dyDescent="0.25">
      <c r="A3730" t="s">
        <v>3849</v>
      </c>
      <c r="B3730" t="s">
        <v>97</v>
      </c>
      <c r="C3730" t="s">
        <v>98</v>
      </c>
      <c r="D3730" t="str">
        <f>HYPERLINK("http://service.sap.com/sap/support/notes/1845370","1845370")</f>
        <v>1845370</v>
      </c>
      <c r="E3730">
        <v>2</v>
      </c>
      <c r="F3730" t="s">
        <v>3929</v>
      </c>
    </row>
    <row r="3731" spans="1:6" x14ac:dyDescent="0.25">
      <c r="A3731" t="s">
        <v>3849</v>
      </c>
      <c r="B3731" t="s">
        <v>97</v>
      </c>
      <c r="C3731" t="s">
        <v>98</v>
      </c>
      <c r="D3731" t="str">
        <f>HYPERLINK("http://service.sap.com/sap/support/notes/1846698","1846698")</f>
        <v>1846698</v>
      </c>
      <c r="E3731">
        <v>2</v>
      </c>
      <c r="F3731" t="s">
        <v>3930</v>
      </c>
    </row>
    <row r="3732" spans="1:6" x14ac:dyDescent="0.25">
      <c r="A3732" t="s">
        <v>3849</v>
      </c>
      <c r="B3732" t="s">
        <v>97</v>
      </c>
      <c r="C3732" t="s">
        <v>98</v>
      </c>
      <c r="D3732" t="str">
        <f>HYPERLINK("http://service.sap.com/sap/support/notes/1849113","1849113")</f>
        <v>1849113</v>
      </c>
      <c r="E3732">
        <v>1</v>
      </c>
      <c r="F3732" t="s">
        <v>3931</v>
      </c>
    </row>
    <row r="3733" spans="1:6" x14ac:dyDescent="0.25">
      <c r="A3733" t="s">
        <v>3849</v>
      </c>
      <c r="B3733" t="s">
        <v>97</v>
      </c>
      <c r="C3733" t="s">
        <v>98</v>
      </c>
      <c r="D3733" t="str">
        <f>HYPERLINK("http://service.sap.com/sap/support/notes/1849129","1849129")</f>
        <v>1849129</v>
      </c>
      <c r="E3733">
        <v>1</v>
      </c>
      <c r="F3733" t="s">
        <v>3434</v>
      </c>
    </row>
    <row r="3734" spans="1:6" x14ac:dyDescent="0.25">
      <c r="A3734" t="s">
        <v>3849</v>
      </c>
      <c r="B3734" t="s">
        <v>97</v>
      </c>
      <c r="C3734" t="s">
        <v>98</v>
      </c>
      <c r="D3734" t="str">
        <f>HYPERLINK("http://service.sap.com/sap/support/notes/1849907","1849907")</f>
        <v>1849907</v>
      </c>
      <c r="E3734">
        <v>2</v>
      </c>
      <c r="F3734" t="s">
        <v>3932</v>
      </c>
    </row>
    <row r="3735" spans="1:6" x14ac:dyDescent="0.25">
      <c r="A3735" t="s">
        <v>3849</v>
      </c>
      <c r="B3735" t="s">
        <v>97</v>
      </c>
      <c r="C3735" t="s">
        <v>98</v>
      </c>
      <c r="D3735" t="str">
        <f>HYPERLINK("http://service.sap.com/sap/support/notes/1854867","1854867")</f>
        <v>1854867</v>
      </c>
      <c r="E3735">
        <v>4</v>
      </c>
      <c r="F3735" t="s">
        <v>3933</v>
      </c>
    </row>
    <row r="3736" spans="1:6" x14ac:dyDescent="0.25">
      <c r="A3736" t="s">
        <v>3849</v>
      </c>
      <c r="B3736" t="s">
        <v>97</v>
      </c>
      <c r="C3736" t="s">
        <v>98</v>
      </c>
      <c r="D3736" t="str">
        <f>HYPERLINK("http://service.sap.com/sap/support/notes/1855710","1855710")</f>
        <v>1855710</v>
      </c>
      <c r="E3736">
        <v>2</v>
      </c>
      <c r="F3736" t="s">
        <v>3934</v>
      </c>
    </row>
    <row r="3737" spans="1:6" x14ac:dyDescent="0.25">
      <c r="A3737" t="s">
        <v>3849</v>
      </c>
      <c r="B3737" t="s">
        <v>97</v>
      </c>
      <c r="C3737" t="s">
        <v>98</v>
      </c>
      <c r="D3737" t="str">
        <f>HYPERLINK("http://service.sap.com/sap/support/notes/1856371","1856371")</f>
        <v>1856371</v>
      </c>
      <c r="E3737">
        <v>3</v>
      </c>
      <c r="F3737" t="s">
        <v>3935</v>
      </c>
    </row>
    <row r="3738" spans="1:6" x14ac:dyDescent="0.25">
      <c r="A3738" t="s">
        <v>3849</v>
      </c>
      <c r="B3738" t="s">
        <v>97</v>
      </c>
      <c r="C3738" t="s">
        <v>98</v>
      </c>
      <c r="D3738" t="str">
        <f>HYPERLINK("http://service.sap.com/sap/support/notes/1857088","1857088")</f>
        <v>1857088</v>
      </c>
      <c r="E3738">
        <v>3</v>
      </c>
      <c r="F3738" t="s">
        <v>3936</v>
      </c>
    </row>
    <row r="3739" spans="1:6" x14ac:dyDescent="0.25">
      <c r="A3739" t="s">
        <v>3849</v>
      </c>
      <c r="B3739" t="s">
        <v>97</v>
      </c>
      <c r="C3739" t="s">
        <v>98</v>
      </c>
      <c r="D3739" t="str">
        <f>HYPERLINK("http://service.sap.com/sap/support/notes/1858312","1858312")</f>
        <v>1858312</v>
      </c>
      <c r="E3739">
        <v>3</v>
      </c>
      <c r="F3739" t="s">
        <v>3937</v>
      </c>
    </row>
    <row r="3740" spans="1:6" x14ac:dyDescent="0.25">
      <c r="A3740" t="s">
        <v>3849</v>
      </c>
      <c r="B3740" t="s">
        <v>97</v>
      </c>
      <c r="C3740" t="s">
        <v>98</v>
      </c>
      <c r="D3740" t="str">
        <f>HYPERLINK("http://service.sap.com/sap/support/notes/1858817","1858817")</f>
        <v>1858817</v>
      </c>
      <c r="E3740">
        <v>1</v>
      </c>
      <c r="F3740" t="s">
        <v>3938</v>
      </c>
    </row>
    <row r="3741" spans="1:6" x14ac:dyDescent="0.25">
      <c r="A3741" t="s">
        <v>3849</v>
      </c>
      <c r="B3741" t="s">
        <v>97</v>
      </c>
      <c r="C3741" t="s">
        <v>98</v>
      </c>
      <c r="D3741" t="str">
        <f>HYPERLINK("http://service.sap.com/sap/support/notes/1860396","1860396")</f>
        <v>1860396</v>
      </c>
      <c r="E3741">
        <v>1</v>
      </c>
      <c r="F3741" t="s">
        <v>3939</v>
      </c>
    </row>
    <row r="3742" spans="1:6" x14ac:dyDescent="0.25">
      <c r="A3742" t="s">
        <v>3849</v>
      </c>
      <c r="B3742" t="s">
        <v>97</v>
      </c>
      <c r="C3742" t="s">
        <v>98</v>
      </c>
      <c r="D3742" t="str">
        <f>HYPERLINK("http://service.sap.com/sap/support/notes/1861080","1861080")</f>
        <v>1861080</v>
      </c>
      <c r="E3742">
        <v>2</v>
      </c>
      <c r="F3742" t="s">
        <v>3940</v>
      </c>
    </row>
    <row r="3743" spans="1:6" x14ac:dyDescent="0.25">
      <c r="A3743" t="s">
        <v>3849</v>
      </c>
      <c r="B3743" t="s">
        <v>114</v>
      </c>
      <c r="C3743" t="s">
        <v>115</v>
      </c>
      <c r="D3743" t="str">
        <f>HYPERLINK("http://service.sap.com/sap/support/notes/1807136","1807136")</f>
        <v>1807136</v>
      </c>
      <c r="E3743">
        <v>2</v>
      </c>
      <c r="F3743" t="s">
        <v>1648</v>
      </c>
    </row>
    <row r="3744" spans="1:6" x14ac:dyDescent="0.25">
      <c r="A3744" t="s">
        <v>3849</v>
      </c>
      <c r="B3744" t="s">
        <v>114</v>
      </c>
      <c r="C3744" t="s">
        <v>115</v>
      </c>
      <c r="D3744" t="str">
        <f>HYPERLINK("http://service.sap.com/sap/support/notes/1845803","1845803")</f>
        <v>1845803</v>
      </c>
      <c r="E3744">
        <v>1</v>
      </c>
      <c r="F3744" t="s">
        <v>3941</v>
      </c>
    </row>
    <row r="3745" spans="1:6" x14ac:dyDescent="0.25">
      <c r="A3745" t="s">
        <v>3849</v>
      </c>
      <c r="B3745" t="s">
        <v>114</v>
      </c>
      <c r="C3745" t="s">
        <v>115</v>
      </c>
      <c r="D3745" t="str">
        <f>HYPERLINK("http://service.sap.com/sap/support/notes/1852053","1852053")</f>
        <v>1852053</v>
      </c>
      <c r="E3745">
        <v>1</v>
      </c>
      <c r="F3745" t="s">
        <v>3942</v>
      </c>
    </row>
    <row r="3746" spans="1:6" x14ac:dyDescent="0.25">
      <c r="A3746" t="s">
        <v>3849</v>
      </c>
      <c r="B3746" t="s">
        <v>114</v>
      </c>
      <c r="C3746" t="s">
        <v>115</v>
      </c>
      <c r="D3746" t="str">
        <f>HYPERLINK("http://service.sap.com/sap/support/notes/1852638","1852638")</f>
        <v>1852638</v>
      </c>
      <c r="E3746">
        <v>1</v>
      </c>
      <c r="F3746" t="s">
        <v>3943</v>
      </c>
    </row>
    <row r="3747" spans="1:6" x14ac:dyDescent="0.25">
      <c r="A3747" t="s">
        <v>3849</v>
      </c>
      <c r="B3747" t="s">
        <v>114</v>
      </c>
      <c r="C3747" t="s">
        <v>115</v>
      </c>
      <c r="D3747" t="str">
        <f>HYPERLINK("http://service.sap.com/sap/support/notes/1852639","1852639")</f>
        <v>1852639</v>
      </c>
      <c r="E3747">
        <v>1</v>
      </c>
      <c r="F3747" t="s">
        <v>3944</v>
      </c>
    </row>
    <row r="3748" spans="1:6" x14ac:dyDescent="0.25">
      <c r="A3748" t="s">
        <v>3849</v>
      </c>
      <c r="B3748" t="s">
        <v>114</v>
      </c>
      <c r="C3748" t="s">
        <v>115</v>
      </c>
      <c r="D3748" t="str">
        <f>HYPERLINK("http://service.sap.com/sap/support/notes/1852641","1852641")</f>
        <v>1852641</v>
      </c>
      <c r="E3748">
        <v>1</v>
      </c>
      <c r="F3748" t="s">
        <v>3945</v>
      </c>
    </row>
    <row r="3749" spans="1:6" x14ac:dyDescent="0.25">
      <c r="A3749" t="s">
        <v>3849</v>
      </c>
      <c r="B3749" t="s">
        <v>114</v>
      </c>
      <c r="C3749" t="s">
        <v>115</v>
      </c>
      <c r="D3749" t="str">
        <f>HYPERLINK("http://service.sap.com/sap/support/notes/1852755","1852755")</f>
        <v>1852755</v>
      </c>
      <c r="E3749">
        <v>1</v>
      </c>
      <c r="F3749" t="s">
        <v>3946</v>
      </c>
    </row>
    <row r="3750" spans="1:6" x14ac:dyDescent="0.25">
      <c r="A3750" t="s">
        <v>3849</v>
      </c>
      <c r="B3750" t="s">
        <v>114</v>
      </c>
      <c r="C3750" t="s">
        <v>115</v>
      </c>
      <c r="D3750" t="str">
        <f>HYPERLINK("http://service.sap.com/sap/support/notes/1855402","1855402")</f>
        <v>1855402</v>
      </c>
      <c r="E3750">
        <v>1</v>
      </c>
      <c r="F3750" t="s">
        <v>3947</v>
      </c>
    </row>
    <row r="3751" spans="1:6" x14ac:dyDescent="0.25">
      <c r="A3751" t="s">
        <v>3849</v>
      </c>
      <c r="B3751" t="s">
        <v>114</v>
      </c>
      <c r="C3751" t="s">
        <v>115</v>
      </c>
      <c r="D3751" t="str">
        <f>HYPERLINK("http://service.sap.com/sap/support/notes/1855437","1855437")</f>
        <v>1855437</v>
      </c>
      <c r="E3751">
        <v>1</v>
      </c>
      <c r="F3751" t="s">
        <v>3948</v>
      </c>
    </row>
    <row r="3752" spans="1:6" x14ac:dyDescent="0.25">
      <c r="A3752" t="s">
        <v>3849</v>
      </c>
      <c r="B3752" t="s">
        <v>114</v>
      </c>
      <c r="C3752" t="s">
        <v>115</v>
      </c>
      <c r="D3752" t="str">
        <f>HYPERLINK("http://service.sap.com/sap/support/notes/1855779","1855779")</f>
        <v>1855779</v>
      </c>
      <c r="E3752">
        <v>2</v>
      </c>
      <c r="F3752" t="s">
        <v>3949</v>
      </c>
    </row>
    <row r="3753" spans="1:6" x14ac:dyDescent="0.25">
      <c r="A3753" t="s">
        <v>3849</v>
      </c>
      <c r="B3753" t="s">
        <v>114</v>
      </c>
      <c r="C3753" t="s">
        <v>115</v>
      </c>
      <c r="D3753" t="str">
        <f>HYPERLINK("http://service.sap.com/sap/support/notes/1858261","1858261")</f>
        <v>1858261</v>
      </c>
      <c r="E3753">
        <v>2</v>
      </c>
      <c r="F3753" t="s">
        <v>3950</v>
      </c>
    </row>
    <row r="3754" spans="1:6" x14ac:dyDescent="0.25">
      <c r="A3754" t="s">
        <v>3849</v>
      </c>
      <c r="B3754" t="s">
        <v>114</v>
      </c>
      <c r="C3754" t="s">
        <v>115</v>
      </c>
      <c r="D3754" t="str">
        <f>HYPERLINK("http://service.sap.com/sap/support/notes/1858537","1858537")</f>
        <v>1858537</v>
      </c>
      <c r="E3754">
        <v>1</v>
      </c>
      <c r="F3754" t="s">
        <v>3951</v>
      </c>
    </row>
    <row r="3755" spans="1:6" x14ac:dyDescent="0.25">
      <c r="A3755" t="s">
        <v>3849</v>
      </c>
      <c r="B3755" t="s">
        <v>114</v>
      </c>
      <c r="C3755" t="s">
        <v>115</v>
      </c>
      <c r="D3755" t="str">
        <f>HYPERLINK("http://service.sap.com/sap/support/notes/1859015","1859015")</f>
        <v>1859015</v>
      </c>
      <c r="E3755">
        <v>1</v>
      </c>
      <c r="F3755" t="s">
        <v>3952</v>
      </c>
    </row>
    <row r="3756" spans="1:6" x14ac:dyDescent="0.25">
      <c r="A3756" t="s">
        <v>3849</v>
      </c>
      <c r="B3756" t="s">
        <v>114</v>
      </c>
      <c r="C3756" t="s">
        <v>115</v>
      </c>
      <c r="D3756" t="str">
        <f>HYPERLINK("http://service.sap.com/sap/support/notes/1859809","1859809")</f>
        <v>1859809</v>
      </c>
      <c r="E3756">
        <v>1</v>
      </c>
      <c r="F3756" t="s">
        <v>3953</v>
      </c>
    </row>
    <row r="3757" spans="1:6" x14ac:dyDescent="0.25">
      <c r="A3757" t="s">
        <v>3849</v>
      </c>
      <c r="B3757" t="s">
        <v>114</v>
      </c>
      <c r="C3757" t="s">
        <v>115</v>
      </c>
      <c r="D3757" t="str">
        <f>HYPERLINK("http://service.sap.com/sap/support/notes/1861317","1861317")</f>
        <v>1861317</v>
      </c>
      <c r="E3757">
        <v>1</v>
      </c>
      <c r="F3757" t="s">
        <v>3954</v>
      </c>
    </row>
    <row r="3758" spans="1:6" x14ac:dyDescent="0.25">
      <c r="A3758" t="s">
        <v>3849</v>
      </c>
      <c r="B3758" t="s">
        <v>114</v>
      </c>
      <c r="C3758" t="s">
        <v>115</v>
      </c>
      <c r="D3758" t="str">
        <f>HYPERLINK("http://service.sap.com/sap/support/notes/1861429","1861429")</f>
        <v>1861429</v>
      </c>
      <c r="E3758">
        <v>3</v>
      </c>
      <c r="F3758" t="s">
        <v>3955</v>
      </c>
    </row>
    <row r="3759" spans="1:6" x14ac:dyDescent="0.25">
      <c r="A3759" t="s">
        <v>3849</v>
      </c>
      <c r="B3759" t="s">
        <v>114</v>
      </c>
      <c r="C3759" t="s">
        <v>115</v>
      </c>
      <c r="D3759" t="str">
        <f>HYPERLINK("http://service.sap.com/sap/support/notes/1862160","1862160")</f>
        <v>1862160</v>
      </c>
      <c r="E3759">
        <v>1</v>
      </c>
      <c r="F3759" t="s">
        <v>3956</v>
      </c>
    </row>
    <row r="3760" spans="1:6" x14ac:dyDescent="0.25">
      <c r="A3760" t="s">
        <v>3849</v>
      </c>
      <c r="B3760" t="s">
        <v>114</v>
      </c>
      <c r="C3760" t="s">
        <v>115</v>
      </c>
      <c r="D3760" t="str">
        <f>HYPERLINK("http://service.sap.com/sap/support/notes/1863239","1863239")</f>
        <v>1863239</v>
      </c>
      <c r="E3760">
        <v>1</v>
      </c>
      <c r="F3760" t="s">
        <v>3957</v>
      </c>
    </row>
    <row r="3761" spans="1:6" x14ac:dyDescent="0.25">
      <c r="A3761" t="s">
        <v>3849</v>
      </c>
      <c r="B3761" t="s">
        <v>114</v>
      </c>
      <c r="C3761" t="s">
        <v>115</v>
      </c>
      <c r="D3761" t="str">
        <f>HYPERLINK("http://service.sap.com/sap/support/notes/1864440","1864440")</f>
        <v>1864440</v>
      </c>
      <c r="E3761">
        <v>1</v>
      </c>
      <c r="F3761" t="s">
        <v>3958</v>
      </c>
    </row>
    <row r="3762" spans="1:6" x14ac:dyDescent="0.25">
      <c r="A3762" t="s">
        <v>3849</v>
      </c>
      <c r="B3762" t="s">
        <v>114</v>
      </c>
      <c r="C3762" t="s">
        <v>115</v>
      </c>
      <c r="D3762" t="str">
        <f>HYPERLINK("http://service.sap.com/sap/support/notes/1865005","1865005")</f>
        <v>1865005</v>
      </c>
      <c r="E3762">
        <v>2</v>
      </c>
      <c r="F3762" t="s">
        <v>3959</v>
      </c>
    </row>
    <row r="3763" spans="1:6" x14ac:dyDescent="0.25">
      <c r="A3763" t="s">
        <v>3849</v>
      </c>
      <c r="B3763" t="s">
        <v>685</v>
      </c>
      <c r="C3763" t="s">
        <v>3449</v>
      </c>
      <c r="D3763" t="str">
        <f>HYPERLINK("http://service.sap.com/sap/support/notes/1851081","1851081")</f>
        <v>1851081</v>
      </c>
      <c r="E3763">
        <v>1</v>
      </c>
      <c r="F3763" t="s">
        <v>3960</v>
      </c>
    </row>
    <row r="3764" spans="1:6" x14ac:dyDescent="0.25">
      <c r="A3764" t="s">
        <v>3849</v>
      </c>
      <c r="B3764" t="s">
        <v>685</v>
      </c>
      <c r="C3764" t="s">
        <v>3449</v>
      </c>
      <c r="D3764" t="str">
        <f>HYPERLINK("http://service.sap.com/sap/support/notes/1854441","1854441")</f>
        <v>1854441</v>
      </c>
      <c r="E3764">
        <v>1</v>
      </c>
      <c r="F3764" t="s">
        <v>3961</v>
      </c>
    </row>
    <row r="3765" spans="1:6" x14ac:dyDescent="0.25">
      <c r="A3765" t="s">
        <v>3849</v>
      </c>
      <c r="B3765" t="s">
        <v>127</v>
      </c>
      <c r="C3765" t="s">
        <v>128</v>
      </c>
      <c r="D3765" t="str">
        <f>HYPERLINK("http://service.sap.com/sap/support/notes/1821132","1821132")</f>
        <v>1821132</v>
      </c>
      <c r="E3765">
        <v>2</v>
      </c>
      <c r="F3765" t="s">
        <v>3962</v>
      </c>
    </row>
    <row r="3766" spans="1:6" x14ac:dyDescent="0.25">
      <c r="A3766" t="s">
        <v>3849</v>
      </c>
      <c r="B3766" t="s">
        <v>127</v>
      </c>
      <c r="C3766" t="s">
        <v>128</v>
      </c>
      <c r="D3766" t="str">
        <f>HYPERLINK("http://service.sap.com/sap/support/notes/1841233","1841233")</f>
        <v>1841233</v>
      </c>
      <c r="E3766">
        <v>5</v>
      </c>
      <c r="F3766" t="s">
        <v>3963</v>
      </c>
    </row>
    <row r="3767" spans="1:6" x14ac:dyDescent="0.25">
      <c r="A3767" t="s">
        <v>3849</v>
      </c>
      <c r="B3767" t="s">
        <v>127</v>
      </c>
      <c r="C3767" t="s">
        <v>128</v>
      </c>
      <c r="D3767" t="str">
        <f>HYPERLINK("http://service.sap.com/sap/support/notes/1842772","1842772")</f>
        <v>1842772</v>
      </c>
      <c r="E3767">
        <v>3</v>
      </c>
      <c r="F3767" t="s">
        <v>3964</v>
      </c>
    </row>
    <row r="3768" spans="1:6" x14ac:dyDescent="0.25">
      <c r="A3768" t="s">
        <v>3849</v>
      </c>
      <c r="B3768" t="s">
        <v>127</v>
      </c>
      <c r="C3768" t="s">
        <v>128</v>
      </c>
      <c r="D3768" t="str">
        <f>HYPERLINK("http://service.sap.com/sap/support/notes/1848825","1848825")</f>
        <v>1848825</v>
      </c>
      <c r="E3768">
        <v>2</v>
      </c>
      <c r="F3768" t="s">
        <v>3965</v>
      </c>
    </row>
    <row r="3769" spans="1:6" x14ac:dyDescent="0.25">
      <c r="A3769" t="s">
        <v>3849</v>
      </c>
      <c r="B3769" t="s">
        <v>127</v>
      </c>
      <c r="C3769" t="s">
        <v>128</v>
      </c>
      <c r="D3769" t="str">
        <f>HYPERLINK("http://service.sap.com/sap/support/notes/1856689","1856689")</f>
        <v>1856689</v>
      </c>
      <c r="E3769">
        <v>2</v>
      </c>
      <c r="F3769" t="s">
        <v>3966</v>
      </c>
    </row>
    <row r="3770" spans="1:6" x14ac:dyDescent="0.25">
      <c r="A3770" t="s">
        <v>3849</v>
      </c>
      <c r="B3770" t="s">
        <v>3967</v>
      </c>
      <c r="C3770" t="s">
        <v>3968</v>
      </c>
      <c r="D3770" t="str">
        <f>HYPERLINK("http://service.sap.com/sap/support/notes/1850504","1850504")</f>
        <v>1850504</v>
      </c>
      <c r="E3770">
        <v>1</v>
      </c>
      <c r="F3770" t="s">
        <v>3969</v>
      </c>
    </row>
    <row r="3771" spans="1:6" x14ac:dyDescent="0.25">
      <c r="A3771" t="s">
        <v>3849</v>
      </c>
      <c r="B3771" t="s">
        <v>131</v>
      </c>
      <c r="C3771" t="s">
        <v>132</v>
      </c>
      <c r="D3771" t="str">
        <f>HYPERLINK("http://service.sap.com/sap/support/notes/1838228","1838228")</f>
        <v>1838228</v>
      </c>
      <c r="E3771">
        <v>5</v>
      </c>
      <c r="F3771" t="s">
        <v>3970</v>
      </c>
    </row>
    <row r="3772" spans="1:6" x14ac:dyDescent="0.25">
      <c r="A3772" t="s">
        <v>3849</v>
      </c>
      <c r="B3772" t="s">
        <v>131</v>
      </c>
      <c r="C3772" t="s">
        <v>132</v>
      </c>
      <c r="D3772" t="str">
        <f>HYPERLINK("http://service.sap.com/sap/support/notes/1842875","1842875")</f>
        <v>1842875</v>
      </c>
      <c r="E3772">
        <v>4</v>
      </c>
      <c r="F3772" t="s">
        <v>3971</v>
      </c>
    </row>
    <row r="3773" spans="1:6" x14ac:dyDescent="0.25">
      <c r="A3773" t="s">
        <v>3849</v>
      </c>
      <c r="B3773" t="s">
        <v>131</v>
      </c>
      <c r="C3773" t="s">
        <v>132</v>
      </c>
      <c r="D3773" t="str">
        <f>HYPERLINK("http://service.sap.com/sap/support/notes/1848882","1848882")</f>
        <v>1848882</v>
      </c>
      <c r="E3773">
        <v>3</v>
      </c>
      <c r="F3773" t="s">
        <v>3972</v>
      </c>
    </row>
    <row r="3774" spans="1:6" x14ac:dyDescent="0.25">
      <c r="A3774" t="s">
        <v>3849</v>
      </c>
      <c r="B3774" t="s">
        <v>131</v>
      </c>
      <c r="C3774" t="s">
        <v>132</v>
      </c>
      <c r="D3774" t="str">
        <f>HYPERLINK("http://service.sap.com/sap/support/notes/1849913","1849913")</f>
        <v>1849913</v>
      </c>
      <c r="E3774">
        <v>2</v>
      </c>
      <c r="F3774" t="s">
        <v>3973</v>
      </c>
    </row>
    <row r="3775" spans="1:6" x14ac:dyDescent="0.25">
      <c r="A3775" t="s">
        <v>3849</v>
      </c>
      <c r="B3775" t="s">
        <v>131</v>
      </c>
      <c r="C3775" t="s">
        <v>132</v>
      </c>
      <c r="D3775" t="str">
        <f>HYPERLINK("http://service.sap.com/sap/support/notes/1850553","1850553")</f>
        <v>1850553</v>
      </c>
      <c r="E3775">
        <v>3</v>
      </c>
      <c r="F3775" t="s">
        <v>3974</v>
      </c>
    </row>
    <row r="3776" spans="1:6" x14ac:dyDescent="0.25">
      <c r="A3776" t="s">
        <v>3849</v>
      </c>
      <c r="B3776" t="s">
        <v>131</v>
      </c>
      <c r="C3776" t="s">
        <v>132</v>
      </c>
      <c r="D3776" t="str">
        <f>HYPERLINK("http://service.sap.com/sap/support/notes/1850818","1850818")</f>
        <v>1850818</v>
      </c>
      <c r="E3776">
        <v>2</v>
      </c>
      <c r="F3776" t="s">
        <v>3975</v>
      </c>
    </row>
    <row r="3777" spans="1:6" x14ac:dyDescent="0.25">
      <c r="A3777" t="s">
        <v>3849</v>
      </c>
      <c r="B3777" t="s">
        <v>131</v>
      </c>
      <c r="C3777" t="s">
        <v>132</v>
      </c>
      <c r="D3777" t="str">
        <f>HYPERLINK("http://service.sap.com/sap/support/notes/1851491","1851491")</f>
        <v>1851491</v>
      </c>
      <c r="E3777">
        <v>3</v>
      </c>
      <c r="F3777" t="s">
        <v>3976</v>
      </c>
    </row>
    <row r="3778" spans="1:6" x14ac:dyDescent="0.25">
      <c r="A3778" t="s">
        <v>3849</v>
      </c>
      <c r="B3778" t="s">
        <v>131</v>
      </c>
      <c r="C3778" t="s">
        <v>132</v>
      </c>
      <c r="D3778" t="str">
        <f>HYPERLINK("http://service.sap.com/sap/support/notes/1851855","1851855")</f>
        <v>1851855</v>
      </c>
      <c r="E3778">
        <v>1</v>
      </c>
      <c r="F3778" t="s">
        <v>3977</v>
      </c>
    </row>
    <row r="3779" spans="1:6" x14ac:dyDescent="0.25">
      <c r="A3779" t="s">
        <v>3849</v>
      </c>
      <c r="B3779" t="s">
        <v>131</v>
      </c>
      <c r="C3779" t="s">
        <v>132</v>
      </c>
      <c r="D3779" t="str">
        <f>HYPERLINK("http://service.sap.com/sap/support/notes/1852939","1852939")</f>
        <v>1852939</v>
      </c>
      <c r="E3779">
        <v>3</v>
      </c>
      <c r="F3779" t="s">
        <v>3978</v>
      </c>
    </row>
    <row r="3780" spans="1:6" x14ac:dyDescent="0.25">
      <c r="A3780" t="s">
        <v>3849</v>
      </c>
      <c r="B3780" t="s">
        <v>131</v>
      </c>
      <c r="C3780" t="s">
        <v>132</v>
      </c>
      <c r="D3780" t="str">
        <f>HYPERLINK("http://service.sap.com/sap/support/notes/1852947","1852947")</f>
        <v>1852947</v>
      </c>
      <c r="E3780">
        <v>2</v>
      </c>
      <c r="F3780" t="s">
        <v>3979</v>
      </c>
    </row>
    <row r="3781" spans="1:6" x14ac:dyDescent="0.25">
      <c r="A3781" t="s">
        <v>3849</v>
      </c>
      <c r="B3781" t="s">
        <v>131</v>
      </c>
      <c r="C3781" t="s">
        <v>132</v>
      </c>
      <c r="D3781" t="str">
        <f>HYPERLINK("http://service.sap.com/sap/support/notes/1853151","1853151")</f>
        <v>1853151</v>
      </c>
      <c r="E3781">
        <v>1</v>
      </c>
      <c r="F3781" t="s">
        <v>3980</v>
      </c>
    </row>
    <row r="3782" spans="1:6" x14ac:dyDescent="0.25">
      <c r="A3782" t="s">
        <v>3849</v>
      </c>
      <c r="B3782" t="s">
        <v>131</v>
      </c>
      <c r="C3782" t="s">
        <v>132</v>
      </c>
      <c r="D3782" t="str">
        <f>HYPERLINK("http://service.sap.com/sap/support/notes/1853476","1853476")</f>
        <v>1853476</v>
      </c>
      <c r="E3782">
        <v>2</v>
      </c>
      <c r="F3782" t="s">
        <v>3981</v>
      </c>
    </row>
    <row r="3783" spans="1:6" x14ac:dyDescent="0.25">
      <c r="A3783" t="s">
        <v>3849</v>
      </c>
      <c r="B3783" t="s">
        <v>131</v>
      </c>
      <c r="C3783" t="s">
        <v>132</v>
      </c>
      <c r="D3783" t="str">
        <f>HYPERLINK("http://service.sap.com/sap/support/notes/1853634","1853634")</f>
        <v>1853634</v>
      </c>
      <c r="E3783">
        <v>1</v>
      </c>
      <c r="F3783" t="s">
        <v>3982</v>
      </c>
    </row>
    <row r="3784" spans="1:6" x14ac:dyDescent="0.25">
      <c r="A3784" t="s">
        <v>3849</v>
      </c>
      <c r="B3784" t="s">
        <v>131</v>
      </c>
      <c r="C3784" t="s">
        <v>132</v>
      </c>
      <c r="D3784" t="str">
        <f>HYPERLINK("http://service.sap.com/sap/support/notes/1854569","1854569")</f>
        <v>1854569</v>
      </c>
      <c r="E3784">
        <v>1</v>
      </c>
      <c r="F3784" t="s">
        <v>3983</v>
      </c>
    </row>
    <row r="3785" spans="1:6" x14ac:dyDescent="0.25">
      <c r="A3785" t="s">
        <v>3849</v>
      </c>
      <c r="B3785" t="s">
        <v>131</v>
      </c>
      <c r="C3785" t="s">
        <v>132</v>
      </c>
      <c r="D3785" t="str">
        <f>HYPERLINK("http://service.sap.com/sap/support/notes/1854898","1854898")</f>
        <v>1854898</v>
      </c>
      <c r="E3785">
        <v>2</v>
      </c>
      <c r="F3785" t="s">
        <v>3984</v>
      </c>
    </row>
    <row r="3786" spans="1:6" x14ac:dyDescent="0.25">
      <c r="A3786" t="s">
        <v>3849</v>
      </c>
      <c r="B3786" t="s">
        <v>131</v>
      </c>
      <c r="C3786" t="s">
        <v>132</v>
      </c>
      <c r="D3786" t="str">
        <f>HYPERLINK("http://service.sap.com/sap/support/notes/1855799","1855799")</f>
        <v>1855799</v>
      </c>
      <c r="E3786">
        <v>1</v>
      </c>
      <c r="F3786" t="s">
        <v>3985</v>
      </c>
    </row>
    <row r="3787" spans="1:6" x14ac:dyDescent="0.25">
      <c r="A3787" t="s">
        <v>3849</v>
      </c>
      <c r="B3787" t="s">
        <v>131</v>
      </c>
      <c r="C3787" t="s">
        <v>132</v>
      </c>
      <c r="D3787" t="str">
        <f>HYPERLINK("http://service.sap.com/sap/support/notes/1856368","1856368")</f>
        <v>1856368</v>
      </c>
      <c r="E3787">
        <v>1</v>
      </c>
      <c r="F3787" t="s">
        <v>3986</v>
      </c>
    </row>
    <row r="3788" spans="1:6" x14ac:dyDescent="0.25">
      <c r="A3788" t="s">
        <v>3849</v>
      </c>
      <c r="B3788" t="s">
        <v>131</v>
      </c>
      <c r="C3788" t="s">
        <v>132</v>
      </c>
      <c r="D3788" t="str">
        <f>HYPERLINK("http://service.sap.com/sap/support/notes/1856623","1856623")</f>
        <v>1856623</v>
      </c>
      <c r="E3788">
        <v>1</v>
      </c>
      <c r="F3788" t="s">
        <v>3987</v>
      </c>
    </row>
    <row r="3789" spans="1:6" x14ac:dyDescent="0.25">
      <c r="A3789" t="s">
        <v>3849</v>
      </c>
      <c r="B3789" t="s">
        <v>131</v>
      </c>
      <c r="C3789" t="s">
        <v>132</v>
      </c>
      <c r="D3789" t="str">
        <f>HYPERLINK("http://service.sap.com/sap/support/notes/1856877","1856877")</f>
        <v>1856877</v>
      </c>
      <c r="E3789">
        <v>2</v>
      </c>
      <c r="F3789" t="s">
        <v>3988</v>
      </c>
    </row>
    <row r="3790" spans="1:6" x14ac:dyDescent="0.25">
      <c r="A3790" t="s">
        <v>3849</v>
      </c>
      <c r="B3790" t="s">
        <v>131</v>
      </c>
      <c r="C3790" t="s">
        <v>132</v>
      </c>
      <c r="D3790" t="str">
        <f>HYPERLINK("http://service.sap.com/sap/support/notes/1856958","1856958")</f>
        <v>1856958</v>
      </c>
      <c r="E3790">
        <v>4</v>
      </c>
      <c r="F3790" t="s">
        <v>3989</v>
      </c>
    </row>
    <row r="3791" spans="1:6" x14ac:dyDescent="0.25">
      <c r="A3791" t="s">
        <v>3849</v>
      </c>
      <c r="B3791" t="s">
        <v>131</v>
      </c>
      <c r="C3791" t="s">
        <v>132</v>
      </c>
      <c r="D3791" t="str">
        <f>HYPERLINK("http://service.sap.com/sap/support/notes/1858654","1858654")</f>
        <v>1858654</v>
      </c>
      <c r="E3791">
        <v>4</v>
      </c>
      <c r="F3791" t="s">
        <v>3990</v>
      </c>
    </row>
    <row r="3792" spans="1:6" x14ac:dyDescent="0.25">
      <c r="A3792" t="s">
        <v>3849</v>
      </c>
      <c r="B3792" t="s">
        <v>131</v>
      </c>
      <c r="C3792" t="s">
        <v>132</v>
      </c>
      <c r="D3792" t="str">
        <f>HYPERLINK("http://service.sap.com/sap/support/notes/1862805","1862805")</f>
        <v>1862805</v>
      </c>
      <c r="E3792">
        <v>2</v>
      </c>
      <c r="F3792" t="s">
        <v>3991</v>
      </c>
    </row>
    <row r="3793" spans="1:6" x14ac:dyDescent="0.25">
      <c r="A3793" t="s">
        <v>3849</v>
      </c>
      <c r="B3793" t="s">
        <v>131</v>
      </c>
      <c r="C3793" t="s">
        <v>132</v>
      </c>
      <c r="D3793" t="str">
        <f>HYPERLINK("http://service.sap.com/sap/support/notes/1864089","1864089")</f>
        <v>1864089</v>
      </c>
      <c r="E3793">
        <v>1</v>
      </c>
      <c r="F3793" t="s">
        <v>3992</v>
      </c>
    </row>
    <row r="3794" spans="1:6" x14ac:dyDescent="0.25">
      <c r="A3794" t="s">
        <v>3849</v>
      </c>
      <c r="B3794" t="s">
        <v>144</v>
      </c>
      <c r="C3794" t="s">
        <v>145</v>
      </c>
      <c r="D3794" t="str">
        <f>HYPERLINK("http://service.sap.com/sap/support/notes/1750854","1750854")</f>
        <v>1750854</v>
      </c>
      <c r="E3794">
        <v>3</v>
      </c>
      <c r="F3794" t="s">
        <v>3993</v>
      </c>
    </row>
    <row r="3795" spans="1:6" x14ac:dyDescent="0.25">
      <c r="A3795" t="s">
        <v>3849</v>
      </c>
      <c r="B3795" t="s">
        <v>144</v>
      </c>
      <c r="C3795" t="s">
        <v>145</v>
      </c>
      <c r="D3795" t="str">
        <f>HYPERLINK("http://service.sap.com/sap/support/notes/1815850","1815850")</f>
        <v>1815850</v>
      </c>
      <c r="E3795">
        <v>4</v>
      </c>
      <c r="F3795" t="s">
        <v>3994</v>
      </c>
    </row>
    <row r="3796" spans="1:6" x14ac:dyDescent="0.25">
      <c r="A3796" t="s">
        <v>3849</v>
      </c>
      <c r="B3796" t="s">
        <v>144</v>
      </c>
      <c r="C3796" t="s">
        <v>145</v>
      </c>
      <c r="D3796" t="str">
        <f>HYPERLINK("http://service.sap.com/sap/support/notes/1815945","1815945")</f>
        <v>1815945</v>
      </c>
      <c r="E3796">
        <v>2</v>
      </c>
      <c r="F3796" t="s">
        <v>3995</v>
      </c>
    </row>
    <row r="3797" spans="1:6" x14ac:dyDescent="0.25">
      <c r="A3797" t="s">
        <v>3849</v>
      </c>
      <c r="B3797" t="s">
        <v>144</v>
      </c>
      <c r="C3797" t="s">
        <v>145</v>
      </c>
      <c r="D3797" t="str">
        <f>HYPERLINK("http://service.sap.com/sap/support/notes/1816546","1816546")</f>
        <v>1816546</v>
      </c>
      <c r="E3797">
        <v>4</v>
      </c>
      <c r="F3797" t="s">
        <v>3996</v>
      </c>
    </row>
    <row r="3798" spans="1:6" x14ac:dyDescent="0.25">
      <c r="A3798" t="s">
        <v>3849</v>
      </c>
      <c r="B3798" t="s">
        <v>144</v>
      </c>
      <c r="C3798" t="s">
        <v>145</v>
      </c>
      <c r="D3798" t="str">
        <f>HYPERLINK("http://service.sap.com/sap/support/notes/1837263","1837263")</f>
        <v>1837263</v>
      </c>
      <c r="E3798">
        <v>5</v>
      </c>
      <c r="F3798" t="s">
        <v>3997</v>
      </c>
    </row>
    <row r="3799" spans="1:6" x14ac:dyDescent="0.25">
      <c r="A3799" t="s">
        <v>3849</v>
      </c>
      <c r="B3799" t="s">
        <v>144</v>
      </c>
      <c r="C3799" t="s">
        <v>145</v>
      </c>
      <c r="D3799" t="str">
        <f>HYPERLINK("http://service.sap.com/sap/support/notes/1855864","1855864")</f>
        <v>1855864</v>
      </c>
      <c r="E3799">
        <v>4</v>
      </c>
      <c r="F3799" t="s">
        <v>3998</v>
      </c>
    </row>
    <row r="3800" spans="1:6" x14ac:dyDescent="0.25">
      <c r="A3800" t="s">
        <v>3849</v>
      </c>
      <c r="B3800" t="s">
        <v>144</v>
      </c>
      <c r="C3800" t="s">
        <v>145</v>
      </c>
      <c r="D3800" t="str">
        <f>HYPERLINK("http://service.sap.com/sap/support/notes/1858929","1858929")</f>
        <v>1858929</v>
      </c>
      <c r="E3800">
        <v>2</v>
      </c>
      <c r="F3800" t="s">
        <v>3999</v>
      </c>
    </row>
    <row r="3801" spans="1:6" x14ac:dyDescent="0.25">
      <c r="A3801" t="s">
        <v>3849</v>
      </c>
      <c r="B3801" t="s">
        <v>144</v>
      </c>
      <c r="C3801" t="s">
        <v>145</v>
      </c>
      <c r="D3801" t="str">
        <f>HYPERLINK("http://service.sap.com/sap/support/notes/1859006","1859006")</f>
        <v>1859006</v>
      </c>
      <c r="E3801">
        <v>1</v>
      </c>
      <c r="F3801" t="s">
        <v>4000</v>
      </c>
    </row>
    <row r="3802" spans="1:6" x14ac:dyDescent="0.25">
      <c r="A3802" t="s">
        <v>3849</v>
      </c>
      <c r="B3802" t="s">
        <v>150</v>
      </c>
      <c r="C3802" t="s">
        <v>151</v>
      </c>
      <c r="D3802" t="str">
        <f>HYPERLINK("http://service.sap.com/sap/support/notes/1847561","1847561")</f>
        <v>1847561</v>
      </c>
      <c r="E3802">
        <v>4</v>
      </c>
      <c r="F3802" t="s">
        <v>4001</v>
      </c>
    </row>
    <row r="3803" spans="1:6" x14ac:dyDescent="0.25">
      <c r="A3803" t="s">
        <v>3849</v>
      </c>
      <c r="B3803" t="s">
        <v>150</v>
      </c>
      <c r="C3803" t="s">
        <v>151</v>
      </c>
      <c r="D3803" t="str">
        <f>HYPERLINK("http://service.sap.com/sap/support/notes/1855391","1855391")</f>
        <v>1855391</v>
      </c>
      <c r="E3803">
        <v>2</v>
      </c>
      <c r="F3803" t="s">
        <v>4002</v>
      </c>
    </row>
    <row r="3804" spans="1:6" x14ac:dyDescent="0.25">
      <c r="A3804" t="s">
        <v>3849</v>
      </c>
      <c r="B3804" t="s">
        <v>150</v>
      </c>
      <c r="C3804" t="s">
        <v>151</v>
      </c>
      <c r="D3804" t="str">
        <f>HYPERLINK("http://service.sap.com/sap/support/notes/1858404","1858404")</f>
        <v>1858404</v>
      </c>
      <c r="E3804">
        <v>1</v>
      </c>
      <c r="F3804" t="s">
        <v>4003</v>
      </c>
    </row>
    <row r="3805" spans="1:6" x14ac:dyDescent="0.25">
      <c r="A3805" t="s">
        <v>3849</v>
      </c>
      <c r="B3805" t="s">
        <v>155</v>
      </c>
      <c r="C3805" t="s">
        <v>156</v>
      </c>
      <c r="D3805" t="str">
        <f>HYPERLINK("http://service.sap.com/sap/support/notes/1848071","1848071")</f>
        <v>1848071</v>
      </c>
      <c r="E3805">
        <v>2</v>
      </c>
      <c r="F3805" t="s">
        <v>4004</v>
      </c>
    </row>
    <row r="3806" spans="1:6" x14ac:dyDescent="0.25">
      <c r="A3806" t="s">
        <v>3849</v>
      </c>
      <c r="B3806" t="s">
        <v>155</v>
      </c>
      <c r="C3806" t="s">
        <v>156</v>
      </c>
      <c r="D3806" t="str">
        <f>HYPERLINK("http://service.sap.com/sap/support/notes/1850178","1850178")</f>
        <v>1850178</v>
      </c>
      <c r="E3806">
        <v>2</v>
      </c>
      <c r="F3806" t="s">
        <v>4005</v>
      </c>
    </row>
    <row r="3807" spans="1:6" x14ac:dyDescent="0.25">
      <c r="A3807" t="s">
        <v>3849</v>
      </c>
      <c r="B3807" t="s">
        <v>159</v>
      </c>
      <c r="C3807" t="s">
        <v>160</v>
      </c>
      <c r="D3807" t="str">
        <f>HYPERLINK("http://service.sap.com/sap/support/notes/1513007","1513007")</f>
        <v>1513007</v>
      </c>
      <c r="E3807">
        <v>1</v>
      </c>
      <c r="F3807" t="s">
        <v>2929</v>
      </c>
    </row>
    <row r="3808" spans="1:6" x14ac:dyDescent="0.25">
      <c r="A3808" t="s">
        <v>3849</v>
      </c>
      <c r="B3808" t="s">
        <v>159</v>
      </c>
      <c r="C3808" t="s">
        <v>160</v>
      </c>
      <c r="D3808" t="str">
        <f>HYPERLINK("http://service.sap.com/sap/support/notes/1696261","1696261")</f>
        <v>1696261</v>
      </c>
      <c r="E3808">
        <v>2</v>
      </c>
      <c r="F3808" t="s">
        <v>4006</v>
      </c>
    </row>
    <row r="3809" spans="1:6" x14ac:dyDescent="0.25">
      <c r="A3809" t="s">
        <v>3849</v>
      </c>
      <c r="B3809" t="s">
        <v>159</v>
      </c>
      <c r="C3809" t="s">
        <v>160</v>
      </c>
      <c r="D3809" t="str">
        <f>HYPERLINK("http://service.sap.com/sap/support/notes/1706933","1706933")</f>
        <v>1706933</v>
      </c>
      <c r="E3809">
        <v>2</v>
      </c>
      <c r="F3809" t="s">
        <v>2496</v>
      </c>
    </row>
    <row r="3810" spans="1:6" x14ac:dyDescent="0.25">
      <c r="A3810" t="s">
        <v>3849</v>
      </c>
      <c r="B3810" t="s">
        <v>159</v>
      </c>
      <c r="C3810" t="s">
        <v>160</v>
      </c>
      <c r="D3810" t="str">
        <f>HYPERLINK("http://service.sap.com/sap/support/notes/1829559","1829559")</f>
        <v>1829559</v>
      </c>
      <c r="E3810">
        <v>1</v>
      </c>
      <c r="F3810" t="s">
        <v>3489</v>
      </c>
    </row>
    <row r="3811" spans="1:6" x14ac:dyDescent="0.25">
      <c r="A3811" t="s">
        <v>3849</v>
      </c>
      <c r="B3811" t="s">
        <v>159</v>
      </c>
      <c r="C3811" t="s">
        <v>160</v>
      </c>
      <c r="D3811" t="str">
        <f>HYPERLINK("http://service.sap.com/sap/support/notes/1849119","1849119")</f>
        <v>1849119</v>
      </c>
      <c r="E3811">
        <v>1</v>
      </c>
      <c r="F3811" t="s">
        <v>4007</v>
      </c>
    </row>
    <row r="3812" spans="1:6" x14ac:dyDescent="0.25">
      <c r="A3812" t="s">
        <v>3849</v>
      </c>
      <c r="B3812" t="s">
        <v>159</v>
      </c>
      <c r="C3812" t="s">
        <v>160</v>
      </c>
      <c r="D3812" t="str">
        <f>HYPERLINK("http://service.sap.com/sap/support/notes/1855693","1855693")</f>
        <v>1855693</v>
      </c>
      <c r="E3812">
        <v>1</v>
      </c>
      <c r="F3812" t="s">
        <v>4008</v>
      </c>
    </row>
    <row r="3813" spans="1:6" x14ac:dyDescent="0.25">
      <c r="A3813" t="s">
        <v>3849</v>
      </c>
      <c r="B3813" t="s">
        <v>159</v>
      </c>
      <c r="C3813" t="s">
        <v>160</v>
      </c>
      <c r="D3813" t="str">
        <f>HYPERLINK("http://service.sap.com/sap/support/notes/1858513","1858513")</f>
        <v>1858513</v>
      </c>
      <c r="E3813">
        <v>1</v>
      </c>
      <c r="F3813" t="s">
        <v>4009</v>
      </c>
    </row>
    <row r="3814" spans="1:6" x14ac:dyDescent="0.25">
      <c r="A3814" t="s">
        <v>3849</v>
      </c>
      <c r="B3814" t="s">
        <v>165</v>
      </c>
      <c r="C3814" t="s">
        <v>31</v>
      </c>
      <c r="D3814" t="str">
        <f>HYPERLINK("http://service.sap.com/sap/support/notes/1836368","1836368")</f>
        <v>1836368</v>
      </c>
      <c r="E3814">
        <v>2</v>
      </c>
      <c r="F3814" t="s">
        <v>4010</v>
      </c>
    </row>
    <row r="3815" spans="1:6" x14ac:dyDescent="0.25">
      <c r="A3815" t="s">
        <v>3849</v>
      </c>
      <c r="B3815" t="s">
        <v>165</v>
      </c>
      <c r="C3815" t="s">
        <v>31</v>
      </c>
      <c r="D3815" t="str">
        <f>HYPERLINK("http://service.sap.com/sap/support/notes/1837837","1837837")</f>
        <v>1837837</v>
      </c>
      <c r="E3815">
        <v>2</v>
      </c>
      <c r="F3815" t="s">
        <v>4011</v>
      </c>
    </row>
    <row r="3816" spans="1:6" x14ac:dyDescent="0.25">
      <c r="A3816" t="s">
        <v>3849</v>
      </c>
      <c r="B3816" t="s">
        <v>165</v>
      </c>
      <c r="C3816" t="s">
        <v>31</v>
      </c>
      <c r="D3816" t="str">
        <f>HYPERLINK("http://service.sap.com/sap/support/notes/1842572","1842572")</f>
        <v>1842572</v>
      </c>
      <c r="E3816">
        <v>2</v>
      </c>
      <c r="F3816" t="s">
        <v>4012</v>
      </c>
    </row>
    <row r="3817" spans="1:6" x14ac:dyDescent="0.25">
      <c r="A3817" t="s">
        <v>3849</v>
      </c>
      <c r="B3817" t="s">
        <v>165</v>
      </c>
      <c r="C3817" t="s">
        <v>31</v>
      </c>
      <c r="D3817" t="str">
        <f>HYPERLINK("http://service.sap.com/sap/support/notes/1852506","1852506")</f>
        <v>1852506</v>
      </c>
      <c r="E3817">
        <v>2</v>
      </c>
      <c r="F3817" t="s">
        <v>4013</v>
      </c>
    </row>
    <row r="3818" spans="1:6" x14ac:dyDescent="0.25">
      <c r="A3818" t="s">
        <v>3849</v>
      </c>
      <c r="B3818" t="s">
        <v>165</v>
      </c>
      <c r="C3818" t="s">
        <v>31</v>
      </c>
      <c r="D3818" t="str">
        <f>HYPERLINK("http://service.sap.com/sap/support/notes/1858707","1858707")</f>
        <v>1858707</v>
      </c>
      <c r="E3818">
        <v>3</v>
      </c>
      <c r="F3818" t="s">
        <v>4014</v>
      </c>
    </row>
    <row r="3819" spans="1:6" x14ac:dyDescent="0.25">
      <c r="A3819" t="s">
        <v>3849</v>
      </c>
      <c r="B3819" t="s">
        <v>165</v>
      </c>
      <c r="C3819" t="s">
        <v>31</v>
      </c>
      <c r="D3819" t="str">
        <f>HYPERLINK("http://service.sap.com/sap/support/notes/1861234","1861234")</f>
        <v>1861234</v>
      </c>
      <c r="E3819">
        <v>2</v>
      </c>
      <c r="F3819" t="s">
        <v>4015</v>
      </c>
    </row>
    <row r="3820" spans="1:6" x14ac:dyDescent="0.25">
      <c r="A3820" t="s">
        <v>3849</v>
      </c>
      <c r="B3820" t="s">
        <v>169</v>
      </c>
      <c r="C3820" t="s">
        <v>34</v>
      </c>
      <c r="D3820" t="str">
        <f>HYPERLINK("http://service.sap.com/sap/support/notes/1848305","1848305")</f>
        <v>1848305</v>
      </c>
      <c r="E3820">
        <v>1</v>
      </c>
      <c r="F3820" t="s">
        <v>4016</v>
      </c>
    </row>
    <row r="3821" spans="1:6" x14ac:dyDescent="0.25">
      <c r="A3821" t="s">
        <v>3849</v>
      </c>
      <c r="B3821" t="s">
        <v>169</v>
      </c>
      <c r="C3821" t="s">
        <v>34</v>
      </c>
      <c r="D3821" t="str">
        <f>HYPERLINK("http://service.sap.com/sap/support/notes/1850676","1850676")</f>
        <v>1850676</v>
      </c>
      <c r="E3821">
        <v>1</v>
      </c>
      <c r="F3821" t="s">
        <v>4017</v>
      </c>
    </row>
    <row r="3822" spans="1:6" x14ac:dyDescent="0.25">
      <c r="A3822" t="s">
        <v>3849</v>
      </c>
      <c r="B3822" t="s">
        <v>169</v>
      </c>
      <c r="C3822" t="s">
        <v>34</v>
      </c>
      <c r="D3822" t="str">
        <f>HYPERLINK("http://service.sap.com/sap/support/notes/1852166","1852166")</f>
        <v>1852166</v>
      </c>
      <c r="E3822">
        <v>3</v>
      </c>
      <c r="F3822" t="s">
        <v>4018</v>
      </c>
    </row>
    <row r="3823" spans="1:6" x14ac:dyDescent="0.25">
      <c r="A3823" t="s">
        <v>3849</v>
      </c>
      <c r="B3823" t="s">
        <v>169</v>
      </c>
      <c r="C3823" t="s">
        <v>34</v>
      </c>
      <c r="D3823" t="str">
        <f>HYPERLINK("http://service.sap.com/sap/support/notes/1853280","1853280")</f>
        <v>1853280</v>
      </c>
      <c r="E3823">
        <v>2</v>
      </c>
      <c r="F3823" t="s">
        <v>4019</v>
      </c>
    </row>
    <row r="3824" spans="1:6" x14ac:dyDescent="0.25">
      <c r="A3824" t="s">
        <v>3849</v>
      </c>
      <c r="B3824" t="s">
        <v>169</v>
      </c>
      <c r="C3824" t="s">
        <v>34</v>
      </c>
      <c r="D3824" t="str">
        <f>HYPERLINK("http://service.sap.com/sap/support/notes/1856024","1856024")</f>
        <v>1856024</v>
      </c>
      <c r="E3824">
        <v>1</v>
      </c>
      <c r="F3824" t="s">
        <v>1760</v>
      </c>
    </row>
    <row r="3825" spans="1:6" x14ac:dyDescent="0.25">
      <c r="A3825" t="s">
        <v>3849</v>
      </c>
      <c r="B3825" t="s">
        <v>169</v>
      </c>
      <c r="C3825" t="s">
        <v>34</v>
      </c>
      <c r="D3825" t="str">
        <f>HYPERLINK("http://service.sap.com/sap/support/notes/1857337","1857337")</f>
        <v>1857337</v>
      </c>
      <c r="E3825">
        <v>1</v>
      </c>
      <c r="F3825" t="s">
        <v>4020</v>
      </c>
    </row>
    <row r="3826" spans="1:6" x14ac:dyDescent="0.25">
      <c r="A3826" t="s">
        <v>3849</v>
      </c>
      <c r="B3826" t="s">
        <v>169</v>
      </c>
      <c r="C3826" t="s">
        <v>34</v>
      </c>
      <c r="D3826" t="str">
        <f>HYPERLINK("http://service.sap.com/sap/support/notes/1859149","1859149")</f>
        <v>1859149</v>
      </c>
      <c r="E3826">
        <v>2</v>
      </c>
      <c r="F3826" t="s">
        <v>4021</v>
      </c>
    </row>
    <row r="3827" spans="1:6" x14ac:dyDescent="0.25">
      <c r="A3827" t="s">
        <v>3849</v>
      </c>
      <c r="B3827" t="s">
        <v>169</v>
      </c>
      <c r="C3827" t="s">
        <v>34</v>
      </c>
      <c r="D3827" t="str">
        <f>HYPERLINK("http://service.sap.com/sap/support/notes/1861332","1861332")</f>
        <v>1861332</v>
      </c>
      <c r="E3827">
        <v>1</v>
      </c>
      <c r="F3827" t="s">
        <v>4022</v>
      </c>
    </row>
    <row r="3828" spans="1:6" x14ac:dyDescent="0.25">
      <c r="A3828" t="s">
        <v>3849</v>
      </c>
      <c r="B3828" t="s">
        <v>175</v>
      </c>
      <c r="C3828" t="s">
        <v>176</v>
      </c>
    </row>
    <row r="3829" spans="1:6" x14ac:dyDescent="0.25">
      <c r="A3829" t="s">
        <v>3849</v>
      </c>
      <c r="B3829" t="s">
        <v>177</v>
      </c>
      <c r="C3829" t="s">
        <v>574</v>
      </c>
      <c r="D3829" t="str">
        <f>HYPERLINK("http://service.sap.com/sap/support/notes/1850135","1850135")</f>
        <v>1850135</v>
      </c>
      <c r="E3829">
        <v>5</v>
      </c>
      <c r="F3829" t="s">
        <v>4023</v>
      </c>
    </row>
    <row r="3830" spans="1:6" x14ac:dyDescent="0.25">
      <c r="A3830" t="s">
        <v>3849</v>
      </c>
      <c r="B3830" t="s">
        <v>180</v>
      </c>
      <c r="C3830" t="s">
        <v>575</v>
      </c>
      <c r="D3830" t="str">
        <f>HYPERLINK("http://service.sap.com/sap/support/notes/1834802","1834802")</f>
        <v>1834802</v>
      </c>
      <c r="E3830">
        <v>2</v>
      </c>
      <c r="F3830" t="s">
        <v>4024</v>
      </c>
    </row>
    <row r="3831" spans="1:6" x14ac:dyDescent="0.25">
      <c r="A3831" t="s">
        <v>3849</v>
      </c>
      <c r="B3831" t="s">
        <v>180</v>
      </c>
      <c r="C3831" t="s">
        <v>575</v>
      </c>
      <c r="D3831" t="str">
        <f>HYPERLINK("http://service.sap.com/sap/support/notes/1839173","1839173")</f>
        <v>1839173</v>
      </c>
      <c r="E3831">
        <v>2</v>
      </c>
      <c r="F3831" t="s">
        <v>4025</v>
      </c>
    </row>
    <row r="3832" spans="1:6" x14ac:dyDescent="0.25">
      <c r="A3832" t="s">
        <v>3849</v>
      </c>
      <c r="B3832" t="s">
        <v>180</v>
      </c>
      <c r="C3832" t="s">
        <v>575</v>
      </c>
      <c r="D3832" t="str">
        <f>HYPERLINK("http://service.sap.com/sap/support/notes/1855158","1855158")</f>
        <v>1855158</v>
      </c>
      <c r="E3832">
        <v>3</v>
      </c>
      <c r="F3832" t="s">
        <v>4026</v>
      </c>
    </row>
    <row r="3833" spans="1:6" x14ac:dyDescent="0.25">
      <c r="A3833" t="s">
        <v>3849</v>
      </c>
      <c r="B3833" t="s">
        <v>183</v>
      </c>
      <c r="C3833" t="s">
        <v>184</v>
      </c>
    </row>
    <row r="3834" spans="1:6" x14ac:dyDescent="0.25">
      <c r="A3834" t="s">
        <v>3849</v>
      </c>
      <c r="B3834" t="s">
        <v>576</v>
      </c>
      <c r="C3834" t="s">
        <v>577</v>
      </c>
      <c r="D3834" t="str">
        <f>HYPERLINK("http://service.sap.com/sap/support/notes/1845604","1845604")</f>
        <v>1845604</v>
      </c>
      <c r="E3834">
        <v>2</v>
      </c>
      <c r="F3834" t="s">
        <v>4027</v>
      </c>
    </row>
    <row r="3835" spans="1:6" x14ac:dyDescent="0.25">
      <c r="A3835" t="s">
        <v>3849</v>
      </c>
      <c r="B3835" t="s">
        <v>576</v>
      </c>
      <c r="C3835" t="s">
        <v>577</v>
      </c>
      <c r="D3835" t="str">
        <f>HYPERLINK("http://service.sap.com/sap/support/notes/1846567","1846567")</f>
        <v>1846567</v>
      </c>
      <c r="E3835">
        <v>2</v>
      </c>
      <c r="F3835" t="s">
        <v>4028</v>
      </c>
    </row>
    <row r="3836" spans="1:6" x14ac:dyDescent="0.25">
      <c r="A3836" t="s">
        <v>3849</v>
      </c>
      <c r="B3836" t="s">
        <v>576</v>
      </c>
      <c r="C3836" t="s">
        <v>577</v>
      </c>
      <c r="D3836" t="str">
        <f>HYPERLINK("http://service.sap.com/sap/support/notes/1849939","1849939")</f>
        <v>1849939</v>
      </c>
      <c r="E3836">
        <v>1</v>
      </c>
      <c r="F3836" t="s">
        <v>4029</v>
      </c>
    </row>
    <row r="3837" spans="1:6" x14ac:dyDescent="0.25">
      <c r="A3837" t="s">
        <v>3849</v>
      </c>
      <c r="B3837" t="s">
        <v>576</v>
      </c>
      <c r="C3837" t="s">
        <v>577</v>
      </c>
      <c r="D3837" t="str">
        <f>HYPERLINK("http://service.sap.com/sap/support/notes/1851054","1851054")</f>
        <v>1851054</v>
      </c>
      <c r="E3837">
        <v>1</v>
      </c>
      <c r="F3837" t="s">
        <v>4030</v>
      </c>
    </row>
    <row r="3838" spans="1:6" x14ac:dyDescent="0.25">
      <c r="A3838" t="s">
        <v>3849</v>
      </c>
      <c r="B3838" t="s">
        <v>1522</v>
      </c>
      <c r="C3838" t="s">
        <v>1523</v>
      </c>
      <c r="D3838" t="str">
        <f>HYPERLINK("http://service.sap.com/sap/support/notes/1848557","1848557")</f>
        <v>1848557</v>
      </c>
      <c r="E3838">
        <v>3</v>
      </c>
      <c r="F3838" t="s">
        <v>4031</v>
      </c>
    </row>
    <row r="3839" spans="1:6" x14ac:dyDescent="0.25">
      <c r="A3839" t="s">
        <v>3849</v>
      </c>
      <c r="B3839" t="s">
        <v>1522</v>
      </c>
      <c r="C3839" t="s">
        <v>1523</v>
      </c>
      <c r="D3839" t="str">
        <f>HYPERLINK("http://service.sap.com/sap/support/notes/1852176","1852176")</f>
        <v>1852176</v>
      </c>
      <c r="E3839">
        <v>1</v>
      </c>
      <c r="F3839" t="s">
        <v>4032</v>
      </c>
    </row>
    <row r="3840" spans="1:6" x14ac:dyDescent="0.25">
      <c r="A3840" t="s">
        <v>3849</v>
      </c>
      <c r="B3840" t="s">
        <v>1522</v>
      </c>
      <c r="C3840" t="s">
        <v>1523</v>
      </c>
      <c r="D3840" t="str">
        <f>HYPERLINK("http://service.sap.com/sap/support/notes/1854267","1854267")</f>
        <v>1854267</v>
      </c>
      <c r="E3840">
        <v>1</v>
      </c>
      <c r="F3840" t="s">
        <v>4033</v>
      </c>
    </row>
    <row r="3841" spans="1:6" x14ac:dyDescent="0.25">
      <c r="A3841" t="s">
        <v>3849</v>
      </c>
      <c r="B3841" t="s">
        <v>1522</v>
      </c>
      <c r="C3841" t="s">
        <v>1523</v>
      </c>
      <c r="D3841" t="str">
        <f>HYPERLINK("http://service.sap.com/sap/support/notes/1857958","1857958")</f>
        <v>1857958</v>
      </c>
      <c r="E3841">
        <v>1</v>
      </c>
      <c r="F3841" t="s">
        <v>4034</v>
      </c>
    </row>
    <row r="3842" spans="1:6" x14ac:dyDescent="0.25">
      <c r="A3842" t="s">
        <v>3849</v>
      </c>
      <c r="B3842" t="s">
        <v>1522</v>
      </c>
      <c r="C3842" t="s">
        <v>1523</v>
      </c>
      <c r="D3842" t="str">
        <f>HYPERLINK("http://service.sap.com/sap/support/notes/1863470","1863470")</f>
        <v>1863470</v>
      </c>
      <c r="E3842">
        <v>1</v>
      </c>
      <c r="F3842" t="s">
        <v>4035</v>
      </c>
    </row>
    <row r="3843" spans="1:6" x14ac:dyDescent="0.25">
      <c r="A3843" t="s">
        <v>3849</v>
      </c>
      <c r="B3843" t="s">
        <v>185</v>
      </c>
      <c r="C3843" t="s">
        <v>186</v>
      </c>
      <c r="D3843" t="str">
        <f>HYPERLINK("http://service.sap.com/sap/support/notes/1831615","1831615")</f>
        <v>1831615</v>
      </c>
      <c r="E3843">
        <v>5</v>
      </c>
      <c r="F3843" t="s">
        <v>4036</v>
      </c>
    </row>
    <row r="3844" spans="1:6" x14ac:dyDescent="0.25">
      <c r="A3844" t="s">
        <v>3849</v>
      </c>
      <c r="B3844" t="s">
        <v>185</v>
      </c>
      <c r="C3844" t="s">
        <v>186</v>
      </c>
      <c r="D3844" t="str">
        <f>HYPERLINK("http://service.sap.com/sap/support/notes/1847294","1847294")</f>
        <v>1847294</v>
      </c>
      <c r="E3844">
        <v>5</v>
      </c>
      <c r="F3844" t="s">
        <v>4037</v>
      </c>
    </row>
    <row r="3845" spans="1:6" x14ac:dyDescent="0.25">
      <c r="A3845" t="s">
        <v>3849</v>
      </c>
      <c r="B3845" t="s">
        <v>185</v>
      </c>
      <c r="C3845" t="s">
        <v>186</v>
      </c>
      <c r="D3845" t="str">
        <f>HYPERLINK("http://service.sap.com/sap/support/notes/1850426","1850426")</f>
        <v>1850426</v>
      </c>
      <c r="E3845">
        <v>2</v>
      </c>
      <c r="F3845" t="s">
        <v>4038</v>
      </c>
    </row>
    <row r="3846" spans="1:6" x14ac:dyDescent="0.25">
      <c r="A3846" t="s">
        <v>3849</v>
      </c>
      <c r="B3846" t="s">
        <v>578</v>
      </c>
      <c r="C3846" t="s">
        <v>579</v>
      </c>
      <c r="D3846" t="str">
        <f>HYPERLINK("http://service.sap.com/sap/support/notes/1856882","1856882")</f>
        <v>1856882</v>
      </c>
      <c r="E3846">
        <v>14</v>
      </c>
      <c r="F3846" t="s">
        <v>4039</v>
      </c>
    </row>
    <row r="3847" spans="1:6" x14ac:dyDescent="0.25">
      <c r="A3847" t="s">
        <v>3849</v>
      </c>
      <c r="B3847" t="s">
        <v>191</v>
      </c>
      <c r="C3847" t="s">
        <v>192</v>
      </c>
    </row>
    <row r="3848" spans="1:6" x14ac:dyDescent="0.25">
      <c r="A3848" t="s">
        <v>3849</v>
      </c>
      <c r="B3848" t="s">
        <v>4040</v>
      </c>
      <c r="C3848" t="s">
        <v>4041</v>
      </c>
      <c r="D3848" t="str">
        <f>HYPERLINK("http://service.sap.com/sap/support/notes/1835639","1835639")</f>
        <v>1835639</v>
      </c>
      <c r="E3848">
        <v>2</v>
      </c>
      <c r="F3848" t="s">
        <v>4042</v>
      </c>
    </row>
    <row r="3849" spans="1:6" x14ac:dyDescent="0.25">
      <c r="A3849" t="s">
        <v>3849</v>
      </c>
      <c r="B3849" t="s">
        <v>4040</v>
      </c>
      <c r="C3849" t="s">
        <v>4041</v>
      </c>
      <c r="D3849" t="str">
        <f>HYPERLINK("http://service.sap.com/sap/support/notes/1859193","1859193")</f>
        <v>1859193</v>
      </c>
      <c r="E3849">
        <v>1</v>
      </c>
      <c r="F3849" t="s">
        <v>4043</v>
      </c>
    </row>
    <row r="3850" spans="1:6" x14ac:dyDescent="0.25">
      <c r="A3850" t="s">
        <v>3849</v>
      </c>
      <c r="B3850" t="s">
        <v>195</v>
      </c>
      <c r="C3850" t="s">
        <v>196</v>
      </c>
    </row>
    <row r="3851" spans="1:6" x14ac:dyDescent="0.25">
      <c r="A3851" t="s">
        <v>3849</v>
      </c>
      <c r="B3851" t="s">
        <v>664</v>
      </c>
      <c r="C3851" t="s">
        <v>665</v>
      </c>
      <c r="D3851" t="str">
        <f>HYPERLINK("http://service.sap.com/sap/support/notes/1856515","1856515")</f>
        <v>1856515</v>
      </c>
      <c r="E3851">
        <v>1</v>
      </c>
      <c r="F3851" t="s">
        <v>4044</v>
      </c>
    </row>
    <row r="3852" spans="1:6" x14ac:dyDescent="0.25">
      <c r="A3852" t="s">
        <v>3849</v>
      </c>
      <c r="B3852" t="s">
        <v>197</v>
      </c>
      <c r="C3852" t="s">
        <v>198</v>
      </c>
      <c r="D3852" t="str">
        <f>HYPERLINK("http://service.sap.com/sap/support/notes/1846785","1846785")</f>
        <v>1846785</v>
      </c>
      <c r="E3852">
        <v>2</v>
      </c>
      <c r="F3852" t="s">
        <v>4045</v>
      </c>
    </row>
    <row r="3853" spans="1:6" x14ac:dyDescent="0.25">
      <c r="A3853" t="s">
        <v>3849</v>
      </c>
      <c r="B3853" t="s">
        <v>197</v>
      </c>
      <c r="C3853" t="s">
        <v>198</v>
      </c>
      <c r="D3853" t="str">
        <f>HYPERLINK("http://service.sap.com/sap/support/notes/1850588","1850588")</f>
        <v>1850588</v>
      </c>
      <c r="E3853">
        <v>1</v>
      </c>
      <c r="F3853" t="s">
        <v>4046</v>
      </c>
    </row>
    <row r="3854" spans="1:6" x14ac:dyDescent="0.25">
      <c r="A3854" t="s">
        <v>3849</v>
      </c>
      <c r="B3854" t="s">
        <v>197</v>
      </c>
      <c r="C3854" t="s">
        <v>198</v>
      </c>
      <c r="D3854" t="str">
        <f>HYPERLINK("http://service.sap.com/sap/support/notes/1852249","1852249")</f>
        <v>1852249</v>
      </c>
      <c r="E3854">
        <v>1</v>
      </c>
      <c r="F3854" t="s">
        <v>4047</v>
      </c>
    </row>
    <row r="3855" spans="1:6" x14ac:dyDescent="0.25">
      <c r="A3855" t="s">
        <v>3849</v>
      </c>
      <c r="B3855" t="s">
        <v>197</v>
      </c>
      <c r="C3855" t="s">
        <v>198</v>
      </c>
      <c r="D3855" t="str">
        <f>HYPERLINK("http://service.sap.com/sap/support/notes/1856303","1856303")</f>
        <v>1856303</v>
      </c>
      <c r="E3855">
        <v>1</v>
      </c>
      <c r="F3855" t="s">
        <v>4048</v>
      </c>
    </row>
    <row r="3856" spans="1:6" x14ac:dyDescent="0.25">
      <c r="A3856" t="s">
        <v>3849</v>
      </c>
      <c r="B3856" t="s">
        <v>197</v>
      </c>
      <c r="C3856" t="s">
        <v>198</v>
      </c>
      <c r="D3856" t="str">
        <f>HYPERLINK("http://service.sap.com/sap/support/notes/1863430","1863430")</f>
        <v>1863430</v>
      </c>
      <c r="E3856">
        <v>2</v>
      </c>
      <c r="F3856" t="s">
        <v>4049</v>
      </c>
    </row>
    <row r="3857" spans="1:6" x14ac:dyDescent="0.25">
      <c r="A3857" t="s">
        <v>3849</v>
      </c>
      <c r="B3857" t="s">
        <v>666</v>
      </c>
      <c r="C3857" t="s">
        <v>667</v>
      </c>
      <c r="D3857" t="str">
        <f>HYPERLINK("http://service.sap.com/sap/support/notes/1848585","1848585")</f>
        <v>1848585</v>
      </c>
      <c r="E3857">
        <v>2</v>
      </c>
      <c r="F3857" t="s">
        <v>4050</v>
      </c>
    </row>
    <row r="3858" spans="1:6" x14ac:dyDescent="0.25">
      <c r="A3858" t="s">
        <v>3849</v>
      </c>
      <c r="B3858" t="s">
        <v>666</v>
      </c>
      <c r="C3858" t="s">
        <v>667</v>
      </c>
      <c r="D3858" t="str">
        <f>HYPERLINK("http://service.sap.com/sap/support/notes/1857763","1857763")</f>
        <v>1857763</v>
      </c>
      <c r="E3858">
        <v>1</v>
      </c>
      <c r="F3858" t="s">
        <v>4051</v>
      </c>
    </row>
    <row r="3859" spans="1:6" x14ac:dyDescent="0.25">
      <c r="A3859" t="s">
        <v>3849</v>
      </c>
      <c r="B3859" t="s">
        <v>201</v>
      </c>
      <c r="C3859" t="s">
        <v>202</v>
      </c>
      <c r="D3859" t="str">
        <f>HYPERLINK("http://service.sap.com/sap/support/notes/1819098","1819098")</f>
        <v>1819098</v>
      </c>
      <c r="E3859">
        <v>1</v>
      </c>
      <c r="F3859" t="s">
        <v>4052</v>
      </c>
    </row>
    <row r="3860" spans="1:6" x14ac:dyDescent="0.25">
      <c r="A3860" t="s">
        <v>3849</v>
      </c>
      <c r="B3860" t="s">
        <v>201</v>
      </c>
      <c r="C3860" t="s">
        <v>202</v>
      </c>
      <c r="D3860" t="str">
        <f>HYPERLINK("http://service.sap.com/sap/support/notes/1839008","1839008")</f>
        <v>1839008</v>
      </c>
      <c r="E3860">
        <v>2</v>
      </c>
      <c r="F3860" t="s">
        <v>3521</v>
      </c>
    </row>
    <row r="3861" spans="1:6" x14ac:dyDescent="0.25">
      <c r="A3861" t="s">
        <v>3849</v>
      </c>
      <c r="B3861" t="s">
        <v>201</v>
      </c>
      <c r="C3861" t="s">
        <v>202</v>
      </c>
      <c r="D3861" t="str">
        <f>HYPERLINK("http://service.sap.com/sap/support/notes/1852178","1852178")</f>
        <v>1852178</v>
      </c>
      <c r="E3861">
        <v>1</v>
      </c>
      <c r="F3861" t="s">
        <v>4053</v>
      </c>
    </row>
    <row r="3862" spans="1:6" x14ac:dyDescent="0.25">
      <c r="A3862" t="s">
        <v>3849</v>
      </c>
      <c r="B3862" t="s">
        <v>201</v>
      </c>
      <c r="C3862" t="s">
        <v>202</v>
      </c>
      <c r="D3862" t="str">
        <f>HYPERLINK("http://service.sap.com/sap/support/notes/1855447","1855447")</f>
        <v>1855447</v>
      </c>
      <c r="E3862">
        <v>1</v>
      </c>
      <c r="F3862" t="s">
        <v>4054</v>
      </c>
    </row>
    <row r="3863" spans="1:6" x14ac:dyDescent="0.25">
      <c r="A3863" t="s">
        <v>3849</v>
      </c>
      <c r="B3863" t="s">
        <v>201</v>
      </c>
      <c r="C3863" t="s">
        <v>202</v>
      </c>
      <c r="D3863" t="str">
        <f>HYPERLINK("http://service.sap.com/sap/support/notes/1855884","1855884")</f>
        <v>1855884</v>
      </c>
      <c r="E3863">
        <v>1</v>
      </c>
      <c r="F3863" t="s">
        <v>4055</v>
      </c>
    </row>
    <row r="3864" spans="1:6" x14ac:dyDescent="0.25">
      <c r="A3864" t="s">
        <v>3849</v>
      </c>
      <c r="B3864" t="s">
        <v>582</v>
      </c>
      <c r="C3864" t="s">
        <v>583</v>
      </c>
      <c r="D3864" t="str">
        <f>HYPERLINK("http://service.sap.com/sap/support/notes/1836133","1836133")</f>
        <v>1836133</v>
      </c>
      <c r="E3864">
        <v>1</v>
      </c>
      <c r="F3864" t="s">
        <v>4056</v>
      </c>
    </row>
    <row r="3865" spans="1:6" x14ac:dyDescent="0.25">
      <c r="A3865" t="s">
        <v>3849</v>
      </c>
      <c r="B3865" t="s">
        <v>204</v>
      </c>
      <c r="C3865" t="s">
        <v>205</v>
      </c>
      <c r="D3865" t="str">
        <f>HYPERLINK("http://service.sap.com/sap/support/notes/1841078","1841078")</f>
        <v>1841078</v>
      </c>
      <c r="E3865">
        <v>2</v>
      </c>
      <c r="F3865" t="s">
        <v>4057</v>
      </c>
    </row>
    <row r="3866" spans="1:6" x14ac:dyDescent="0.25">
      <c r="A3866" t="s">
        <v>3849</v>
      </c>
      <c r="B3866" t="s">
        <v>204</v>
      </c>
      <c r="C3866" t="s">
        <v>205</v>
      </c>
      <c r="D3866" t="str">
        <f>HYPERLINK("http://service.sap.com/sap/support/notes/1854934","1854934")</f>
        <v>1854934</v>
      </c>
      <c r="E3866">
        <v>1</v>
      </c>
      <c r="F3866" t="s">
        <v>4058</v>
      </c>
    </row>
    <row r="3867" spans="1:6" x14ac:dyDescent="0.25">
      <c r="A3867" t="s">
        <v>3849</v>
      </c>
      <c r="B3867" t="s">
        <v>211</v>
      </c>
      <c r="C3867" t="s">
        <v>128</v>
      </c>
      <c r="D3867" t="str">
        <f>HYPERLINK("http://service.sap.com/sap/support/notes/1790736","1790736")</f>
        <v>1790736</v>
      </c>
      <c r="E3867">
        <v>4</v>
      </c>
      <c r="F3867" t="s">
        <v>3523</v>
      </c>
    </row>
    <row r="3868" spans="1:6" x14ac:dyDescent="0.25">
      <c r="A3868" t="s">
        <v>3849</v>
      </c>
      <c r="B3868" t="s">
        <v>211</v>
      </c>
      <c r="C3868" t="s">
        <v>128</v>
      </c>
      <c r="D3868" t="str">
        <f>HYPERLINK("http://service.sap.com/sap/support/notes/1850988","1850988")</f>
        <v>1850988</v>
      </c>
      <c r="E3868">
        <v>1</v>
      </c>
      <c r="F3868" t="s">
        <v>4059</v>
      </c>
    </row>
    <row r="3869" spans="1:6" x14ac:dyDescent="0.25">
      <c r="A3869" t="s">
        <v>3849</v>
      </c>
      <c r="B3869" t="s">
        <v>211</v>
      </c>
      <c r="C3869" t="s">
        <v>128</v>
      </c>
      <c r="D3869" t="str">
        <f>HYPERLINK("http://service.sap.com/sap/support/notes/1853772","1853772")</f>
        <v>1853772</v>
      </c>
      <c r="E3869">
        <v>1</v>
      </c>
      <c r="F3869" t="s">
        <v>4060</v>
      </c>
    </row>
    <row r="3870" spans="1:6" x14ac:dyDescent="0.25">
      <c r="A3870" t="s">
        <v>3849</v>
      </c>
      <c r="B3870" t="s">
        <v>211</v>
      </c>
      <c r="C3870" t="s">
        <v>128</v>
      </c>
      <c r="D3870" t="str">
        <f>HYPERLINK("http://service.sap.com/sap/support/notes/1854367","1854367")</f>
        <v>1854367</v>
      </c>
      <c r="E3870">
        <v>1</v>
      </c>
      <c r="F3870" t="s">
        <v>4061</v>
      </c>
    </row>
    <row r="3871" spans="1:6" x14ac:dyDescent="0.25">
      <c r="A3871" t="s">
        <v>3849</v>
      </c>
      <c r="B3871" t="s">
        <v>211</v>
      </c>
      <c r="C3871" t="s">
        <v>128</v>
      </c>
      <c r="D3871" t="str">
        <f>HYPERLINK("http://service.sap.com/sap/support/notes/1855743","1855743")</f>
        <v>1855743</v>
      </c>
      <c r="E3871">
        <v>4</v>
      </c>
      <c r="F3871" t="s">
        <v>4062</v>
      </c>
    </row>
    <row r="3872" spans="1:6" x14ac:dyDescent="0.25">
      <c r="A3872" t="s">
        <v>3849</v>
      </c>
      <c r="B3872" t="s">
        <v>211</v>
      </c>
      <c r="C3872" t="s">
        <v>128</v>
      </c>
      <c r="D3872" t="str">
        <f>HYPERLINK("http://service.sap.com/sap/support/notes/1858400","1858400")</f>
        <v>1858400</v>
      </c>
      <c r="E3872">
        <v>1</v>
      </c>
      <c r="F3872" t="s">
        <v>4063</v>
      </c>
    </row>
    <row r="3873" spans="1:6" x14ac:dyDescent="0.25">
      <c r="A3873" t="s">
        <v>3849</v>
      </c>
      <c r="B3873" t="s">
        <v>221</v>
      </c>
      <c r="C3873" t="s">
        <v>585</v>
      </c>
      <c r="D3873" t="str">
        <f>HYPERLINK("http://service.sap.com/sap/support/notes/1767107","1767107")</f>
        <v>1767107</v>
      </c>
      <c r="E3873">
        <v>4</v>
      </c>
      <c r="F3873" t="s">
        <v>3532</v>
      </c>
    </row>
    <row r="3874" spans="1:6" x14ac:dyDescent="0.25">
      <c r="A3874" t="s">
        <v>3849</v>
      </c>
      <c r="B3874" t="s">
        <v>221</v>
      </c>
      <c r="C3874" t="s">
        <v>585</v>
      </c>
      <c r="D3874" t="str">
        <f>HYPERLINK("http://service.sap.com/sap/support/notes/1783921","1783921")</f>
        <v>1783921</v>
      </c>
      <c r="E3874">
        <v>1</v>
      </c>
      <c r="F3874" t="s">
        <v>4064</v>
      </c>
    </row>
    <row r="3875" spans="1:6" x14ac:dyDescent="0.25">
      <c r="A3875" t="s">
        <v>3849</v>
      </c>
      <c r="B3875" t="s">
        <v>221</v>
      </c>
      <c r="C3875" t="s">
        <v>585</v>
      </c>
      <c r="D3875" t="str">
        <f>HYPERLINK("http://service.sap.com/sap/support/notes/1849562","1849562")</f>
        <v>1849562</v>
      </c>
      <c r="E3875">
        <v>2</v>
      </c>
      <c r="F3875" t="s">
        <v>4065</v>
      </c>
    </row>
    <row r="3876" spans="1:6" x14ac:dyDescent="0.25">
      <c r="A3876" t="s">
        <v>3849</v>
      </c>
      <c r="B3876" t="s">
        <v>221</v>
      </c>
      <c r="C3876" t="s">
        <v>585</v>
      </c>
      <c r="D3876" t="str">
        <f>HYPERLINK("http://service.sap.com/sap/support/notes/1853057","1853057")</f>
        <v>1853057</v>
      </c>
      <c r="E3876">
        <v>1</v>
      </c>
      <c r="F3876" t="s">
        <v>4066</v>
      </c>
    </row>
    <row r="3877" spans="1:6" x14ac:dyDescent="0.25">
      <c r="A3877" t="s">
        <v>3849</v>
      </c>
      <c r="B3877" t="s">
        <v>224</v>
      </c>
      <c r="C3877" t="s">
        <v>156</v>
      </c>
    </row>
    <row r="3878" spans="1:6" x14ac:dyDescent="0.25">
      <c r="A3878" t="s">
        <v>3849</v>
      </c>
      <c r="B3878" t="s">
        <v>225</v>
      </c>
      <c r="C3878" t="s">
        <v>588</v>
      </c>
      <c r="D3878" t="str">
        <f>HYPERLINK("http://service.sap.com/sap/support/notes/1845303","1845303")</f>
        <v>1845303</v>
      </c>
      <c r="E3878">
        <v>15</v>
      </c>
      <c r="F3878" t="s">
        <v>4067</v>
      </c>
    </row>
    <row r="3879" spans="1:6" x14ac:dyDescent="0.25">
      <c r="A3879" t="s">
        <v>3849</v>
      </c>
      <c r="B3879" t="s">
        <v>589</v>
      </c>
      <c r="C3879" t="s">
        <v>590</v>
      </c>
      <c r="D3879" t="str">
        <f>HYPERLINK("http://service.sap.com/sap/support/notes/1853428","1853428")</f>
        <v>1853428</v>
      </c>
      <c r="E3879">
        <v>1</v>
      </c>
      <c r="F3879" t="s">
        <v>4068</v>
      </c>
    </row>
    <row r="3880" spans="1:6" x14ac:dyDescent="0.25">
      <c r="A3880" t="s">
        <v>3849</v>
      </c>
      <c r="B3880" t="s">
        <v>589</v>
      </c>
      <c r="C3880" t="s">
        <v>590</v>
      </c>
      <c r="D3880" t="str">
        <f>HYPERLINK("http://service.sap.com/sap/support/notes/1854429","1854429")</f>
        <v>1854429</v>
      </c>
      <c r="E3880">
        <v>1</v>
      </c>
      <c r="F3880" t="s">
        <v>4069</v>
      </c>
    </row>
    <row r="3881" spans="1:6" x14ac:dyDescent="0.25">
      <c r="A3881" t="s">
        <v>3849</v>
      </c>
      <c r="B3881" t="s">
        <v>589</v>
      </c>
      <c r="C3881" t="s">
        <v>590</v>
      </c>
      <c r="D3881" t="str">
        <f>HYPERLINK("http://service.sap.com/sap/support/notes/1867310","1867310")</f>
        <v>1867310</v>
      </c>
      <c r="E3881">
        <v>1</v>
      </c>
      <c r="F3881" t="s">
        <v>4070</v>
      </c>
    </row>
    <row r="3882" spans="1:6" x14ac:dyDescent="0.25">
      <c r="A3882" t="s">
        <v>3849</v>
      </c>
      <c r="B3882" t="s">
        <v>229</v>
      </c>
      <c r="C3882" t="s">
        <v>230</v>
      </c>
      <c r="D3882" t="str">
        <f>HYPERLINK("http://service.sap.com/sap/support/notes/1017716","1017716")</f>
        <v>1017716</v>
      </c>
      <c r="E3882">
        <v>1</v>
      </c>
      <c r="F3882" t="s">
        <v>1169</v>
      </c>
    </row>
    <row r="3883" spans="1:6" x14ac:dyDescent="0.25">
      <c r="A3883" t="s">
        <v>3849</v>
      </c>
      <c r="B3883" t="s">
        <v>229</v>
      </c>
      <c r="C3883" t="s">
        <v>230</v>
      </c>
      <c r="D3883" t="str">
        <f>HYPERLINK("http://service.sap.com/sap/support/notes/1549671","1549671")</f>
        <v>1549671</v>
      </c>
      <c r="E3883">
        <v>3</v>
      </c>
      <c r="F3883" t="s">
        <v>4071</v>
      </c>
    </row>
    <row r="3884" spans="1:6" x14ac:dyDescent="0.25">
      <c r="A3884" t="s">
        <v>3849</v>
      </c>
      <c r="B3884" t="s">
        <v>229</v>
      </c>
      <c r="C3884" t="s">
        <v>230</v>
      </c>
      <c r="D3884" t="str">
        <f>HYPERLINK("http://service.sap.com/sap/support/notes/1760447","1760447")</f>
        <v>1760447</v>
      </c>
      <c r="E3884">
        <v>17</v>
      </c>
      <c r="F3884" t="s">
        <v>4072</v>
      </c>
    </row>
    <row r="3885" spans="1:6" x14ac:dyDescent="0.25">
      <c r="A3885" t="s">
        <v>3849</v>
      </c>
      <c r="B3885" t="s">
        <v>229</v>
      </c>
      <c r="C3885" t="s">
        <v>230</v>
      </c>
      <c r="D3885" t="str">
        <f>HYPERLINK("http://service.sap.com/sap/support/notes/1810271","1810271")</f>
        <v>1810271</v>
      </c>
      <c r="E3885">
        <v>3</v>
      </c>
      <c r="F3885" t="s">
        <v>4073</v>
      </c>
    </row>
    <row r="3886" spans="1:6" x14ac:dyDescent="0.25">
      <c r="A3886" t="s">
        <v>3849</v>
      </c>
      <c r="B3886" t="s">
        <v>229</v>
      </c>
      <c r="C3886" t="s">
        <v>230</v>
      </c>
      <c r="D3886" t="str">
        <f>HYPERLINK("http://service.sap.com/sap/support/notes/1832935","1832935")</f>
        <v>1832935</v>
      </c>
      <c r="E3886">
        <v>2</v>
      </c>
      <c r="F3886" t="s">
        <v>4074</v>
      </c>
    </row>
    <row r="3887" spans="1:6" x14ac:dyDescent="0.25">
      <c r="A3887" t="s">
        <v>3849</v>
      </c>
      <c r="B3887" t="s">
        <v>229</v>
      </c>
      <c r="C3887" t="s">
        <v>230</v>
      </c>
      <c r="D3887" t="str">
        <f>HYPERLINK("http://service.sap.com/sap/support/notes/1839102","1839102")</f>
        <v>1839102</v>
      </c>
      <c r="E3887">
        <v>2</v>
      </c>
      <c r="F3887" t="s">
        <v>4075</v>
      </c>
    </row>
    <row r="3888" spans="1:6" x14ac:dyDescent="0.25">
      <c r="A3888" t="s">
        <v>3849</v>
      </c>
      <c r="B3888" t="s">
        <v>229</v>
      </c>
      <c r="C3888" t="s">
        <v>230</v>
      </c>
      <c r="D3888" t="str">
        <f>HYPERLINK("http://service.sap.com/sap/support/notes/1839260","1839260")</f>
        <v>1839260</v>
      </c>
      <c r="E3888">
        <v>2</v>
      </c>
      <c r="F3888" t="s">
        <v>4076</v>
      </c>
    </row>
    <row r="3889" spans="1:6" x14ac:dyDescent="0.25">
      <c r="A3889" t="s">
        <v>3849</v>
      </c>
      <c r="B3889" t="s">
        <v>229</v>
      </c>
      <c r="C3889" t="s">
        <v>230</v>
      </c>
      <c r="D3889" t="str">
        <f>HYPERLINK("http://service.sap.com/sap/support/notes/1845700","1845700")</f>
        <v>1845700</v>
      </c>
      <c r="E3889">
        <v>2</v>
      </c>
      <c r="F3889" t="s">
        <v>4077</v>
      </c>
    </row>
    <row r="3890" spans="1:6" x14ac:dyDescent="0.25">
      <c r="A3890" t="s">
        <v>3849</v>
      </c>
      <c r="B3890" t="s">
        <v>229</v>
      </c>
      <c r="C3890" t="s">
        <v>230</v>
      </c>
      <c r="D3890" t="str">
        <f>HYPERLINK("http://service.sap.com/sap/support/notes/1846214","1846214")</f>
        <v>1846214</v>
      </c>
      <c r="E3890">
        <v>2</v>
      </c>
      <c r="F3890" t="s">
        <v>4078</v>
      </c>
    </row>
    <row r="3891" spans="1:6" x14ac:dyDescent="0.25">
      <c r="A3891" t="s">
        <v>3849</v>
      </c>
      <c r="B3891" t="s">
        <v>229</v>
      </c>
      <c r="C3891" t="s">
        <v>230</v>
      </c>
      <c r="D3891" t="str">
        <f>HYPERLINK("http://service.sap.com/sap/support/notes/1846876","1846876")</f>
        <v>1846876</v>
      </c>
      <c r="E3891">
        <v>3</v>
      </c>
      <c r="F3891" t="s">
        <v>4079</v>
      </c>
    </row>
    <row r="3892" spans="1:6" x14ac:dyDescent="0.25">
      <c r="A3892" t="s">
        <v>3849</v>
      </c>
      <c r="B3892" t="s">
        <v>229</v>
      </c>
      <c r="C3892" t="s">
        <v>230</v>
      </c>
      <c r="D3892" t="str">
        <f>HYPERLINK("http://service.sap.com/sap/support/notes/1849334","1849334")</f>
        <v>1849334</v>
      </c>
      <c r="E3892">
        <v>2</v>
      </c>
      <c r="F3892" t="s">
        <v>4080</v>
      </c>
    </row>
    <row r="3893" spans="1:6" x14ac:dyDescent="0.25">
      <c r="A3893" t="s">
        <v>3849</v>
      </c>
      <c r="B3893" t="s">
        <v>229</v>
      </c>
      <c r="C3893" t="s">
        <v>230</v>
      </c>
      <c r="D3893" t="str">
        <f>HYPERLINK("http://service.sap.com/sap/support/notes/1849337","1849337")</f>
        <v>1849337</v>
      </c>
      <c r="E3893">
        <v>3</v>
      </c>
      <c r="F3893" t="s">
        <v>4081</v>
      </c>
    </row>
    <row r="3894" spans="1:6" x14ac:dyDescent="0.25">
      <c r="A3894" t="s">
        <v>3849</v>
      </c>
      <c r="B3894" t="s">
        <v>229</v>
      </c>
      <c r="C3894" t="s">
        <v>230</v>
      </c>
      <c r="D3894" t="str">
        <f>HYPERLINK("http://service.sap.com/sap/support/notes/1849343","1849343")</f>
        <v>1849343</v>
      </c>
      <c r="E3894">
        <v>2</v>
      </c>
      <c r="F3894" t="s">
        <v>4082</v>
      </c>
    </row>
    <row r="3895" spans="1:6" x14ac:dyDescent="0.25">
      <c r="A3895" t="s">
        <v>3849</v>
      </c>
      <c r="B3895" t="s">
        <v>229</v>
      </c>
      <c r="C3895" t="s">
        <v>230</v>
      </c>
      <c r="D3895" t="str">
        <f>HYPERLINK("http://service.sap.com/sap/support/notes/1850466","1850466")</f>
        <v>1850466</v>
      </c>
      <c r="E3895">
        <v>4</v>
      </c>
      <c r="F3895" t="s">
        <v>4083</v>
      </c>
    </row>
    <row r="3896" spans="1:6" x14ac:dyDescent="0.25">
      <c r="A3896" t="s">
        <v>3849</v>
      </c>
      <c r="B3896" t="s">
        <v>229</v>
      </c>
      <c r="C3896" t="s">
        <v>230</v>
      </c>
      <c r="D3896" t="str">
        <f>HYPERLINK("http://service.sap.com/sap/support/notes/1850607","1850607")</f>
        <v>1850607</v>
      </c>
      <c r="E3896">
        <v>3</v>
      </c>
      <c r="F3896" t="s">
        <v>4084</v>
      </c>
    </row>
    <row r="3897" spans="1:6" x14ac:dyDescent="0.25">
      <c r="A3897" t="s">
        <v>3849</v>
      </c>
      <c r="B3897" t="s">
        <v>229</v>
      </c>
      <c r="C3897" t="s">
        <v>230</v>
      </c>
      <c r="D3897" t="str">
        <f>HYPERLINK("http://service.sap.com/sap/support/notes/1851284","1851284")</f>
        <v>1851284</v>
      </c>
      <c r="E3897">
        <v>2</v>
      </c>
      <c r="F3897" t="s">
        <v>4085</v>
      </c>
    </row>
    <row r="3898" spans="1:6" x14ac:dyDescent="0.25">
      <c r="A3898" t="s">
        <v>3849</v>
      </c>
      <c r="B3898" t="s">
        <v>229</v>
      </c>
      <c r="C3898" t="s">
        <v>230</v>
      </c>
      <c r="D3898" t="str">
        <f>HYPERLINK("http://service.sap.com/sap/support/notes/1851996","1851996")</f>
        <v>1851996</v>
      </c>
      <c r="E3898">
        <v>2</v>
      </c>
      <c r="F3898" t="s">
        <v>4086</v>
      </c>
    </row>
    <row r="3899" spans="1:6" x14ac:dyDescent="0.25">
      <c r="A3899" t="s">
        <v>3849</v>
      </c>
      <c r="B3899" t="s">
        <v>229</v>
      </c>
      <c r="C3899" t="s">
        <v>230</v>
      </c>
      <c r="D3899" t="str">
        <f>HYPERLINK("http://service.sap.com/sap/support/notes/1853211","1853211")</f>
        <v>1853211</v>
      </c>
      <c r="E3899">
        <v>3</v>
      </c>
      <c r="F3899" t="s">
        <v>4087</v>
      </c>
    </row>
    <row r="3900" spans="1:6" x14ac:dyDescent="0.25">
      <c r="A3900" t="s">
        <v>3849</v>
      </c>
      <c r="B3900" t="s">
        <v>229</v>
      </c>
      <c r="C3900" t="s">
        <v>230</v>
      </c>
      <c r="D3900" t="str">
        <f>HYPERLINK("http://service.sap.com/sap/support/notes/1853638","1853638")</f>
        <v>1853638</v>
      </c>
      <c r="E3900">
        <v>3</v>
      </c>
      <c r="F3900" t="s">
        <v>4088</v>
      </c>
    </row>
    <row r="3901" spans="1:6" x14ac:dyDescent="0.25">
      <c r="A3901" t="s">
        <v>3849</v>
      </c>
      <c r="B3901" t="s">
        <v>229</v>
      </c>
      <c r="C3901" t="s">
        <v>230</v>
      </c>
      <c r="D3901" t="str">
        <f>HYPERLINK("http://service.sap.com/sap/support/notes/1853883","1853883")</f>
        <v>1853883</v>
      </c>
      <c r="E3901">
        <v>4</v>
      </c>
      <c r="F3901" t="s">
        <v>4089</v>
      </c>
    </row>
    <row r="3902" spans="1:6" x14ac:dyDescent="0.25">
      <c r="A3902" t="s">
        <v>3849</v>
      </c>
      <c r="B3902" t="s">
        <v>229</v>
      </c>
      <c r="C3902" t="s">
        <v>230</v>
      </c>
      <c r="D3902" t="str">
        <f>HYPERLINK("http://service.sap.com/sap/support/notes/1855333","1855333")</f>
        <v>1855333</v>
      </c>
      <c r="E3902">
        <v>1</v>
      </c>
      <c r="F3902" t="s">
        <v>4090</v>
      </c>
    </row>
    <row r="3903" spans="1:6" x14ac:dyDescent="0.25">
      <c r="A3903" t="s">
        <v>3849</v>
      </c>
      <c r="B3903" t="s">
        <v>229</v>
      </c>
      <c r="C3903" t="s">
        <v>230</v>
      </c>
      <c r="D3903" t="str">
        <f>HYPERLINK("http://service.sap.com/sap/support/notes/1855792","1855792")</f>
        <v>1855792</v>
      </c>
      <c r="E3903">
        <v>2</v>
      </c>
      <c r="F3903" t="s">
        <v>4091</v>
      </c>
    </row>
    <row r="3904" spans="1:6" x14ac:dyDescent="0.25">
      <c r="A3904" t="s">
        <v>3849</v>
      </c>
      <c r="B3904" t="s">
        <v>229</v>
      </c>
      <c r="C3904" t="s">
        <v>230</v>
      </c>
      <c r="D3904" t="str">
        <f>HYPERLINK("http://service.sap.com/sap/support/notes/1855897","1855897")</f>
        <v>1855897</v>
      </c>
      <c r="E3904">
        <v>2</v>
      </c>
      <c r="F3904" t="s">
        <v>4092</v>
      </c>
    </row>
    <row r="3905" spans="1:6" x14ac:dyDescent="0.25">
      <c r="A3905" t="s">
        <v>3849</v>
      </c>
      <c r="B3905" t="s">
        <v>229</v>
      </c>
      <c r="C3905" t="s">
        <v>230</v>
      </c>
      <c r="D3905" t="str">
        <f>HYPERLINK("http://service.sap.com/sap/support/notes/1855919","1855919")</f>
        <v>1855919</v>
      </c>
      <c r="E3905">
        <v>2</v>
      </c>
      <c r="F3905" t="s">
        <v>4093</v>
      </c>
    </row>
    <row r="3906" spans="1:6" x14ac:dyDescent="0.25">
      <c r="A3906" t="s">
        <v>3849</v>
      </c>
      <c r="B3906" t="s">
        <v>229</v>
      </c>
      <c r="C3906" t="s">
        <v>230</v>
      </c>
      <c r="D3906" t="str">
        <f>HYPERLINK("http://service.sap.com/sap/support/notes/1856634","1856634")</f>
        <v>1856634</v>
      </c>
      <c r="E3906">
        <v>2</v>
      </c>
      <c r="F3906" t="s">
        <v>4094</v>
      </c>
    </row>
    <row r="3907" spans="1:6" x14ac:dyDescent="0.25">
      <c r="A3907" t="s">
        <v>3849</v>
      </c>
      <c r="B3907" t="s">
        <v>229</v>
      </c>
      <c r="C3907" t="s">
        <v>230</v>
      </c>
      <c r="D3907" t="str">
        <f>HYPERLINK("http://service.sap.com/sap/support/notes/1857293","1857293")</f>
        <v>1857293</v>
      </c>
      <c r="E3907">
        <v>2</v>
      </c>
      <c r="F3907" t="s">
        <v>4095</v>
      </c>
    </row>
    <row r="3908" spans="1:6" x14ac:dyDescent="0.25">
      <c r="A3908" t="s">
        <v>3849</v>
      </c>
      <c r="B3908" t="s">
        <v>229</v>
      </c>
      <c r="C3908" t="s">
        <v>230</v>
      </c>
      <c r="D3908" t="str">
        <f>HYPERLINK("http://service.sap.com/sap/support/notes/1857541","1857541")</f>
        <v>1857541</v>
      </c>
      <c r="E3908">
        <v>2</v>
      </c>
      <c r="F3908" t="s">
        <v>4096</v>
      </c>
    </row>
    <row r="3909" spans="1:6" x14ac:dyDescent="0.25">
      <c r="A3909" t="s">
        <v>3849</v>
      </c>
      <c r="B3909" t="s">
        <v>229</v>
      </c>
      <c r="C3909" t="s">
        <v>230</v>
      </c>
      <c r="D3909" t="str">
        <f>HYPERLINK("http://service.sap.com/sap/support/notes/1857651","1857651")</f>
        <v>1857651</v>
      </c>
      <c r="E3909">
        <v>5</v>
      </c>
      <c r="F3909" t="s">
        <v>4097</v>
      </c>
    </row>
    <row r="3910" spans="1:6" x14ac:dyDescent="0.25">
      <c r="A3910" t="s">
        <v>3849</v>
      </c>
      <c r="B3910" t="s">
        <v>229</v>
      </c>
      <c r="C3910" t="s">
        <v>230</v>
      </c>
      <c r="D3910" t="str">
        <f>HYPERLINK("http://service.sap.com/sap/support/notes/1858902","1858902")</f>
        <v>1858902</v>
      </c>
      <c r="E3910">
        <v>2</v>
      </c>
      <c r="F3910" t="s">
        <v>3999</v>
      </c>
    </row>
    <row r="3911" spans="1:6" x14ac:dyDescent="0.25">
      <c r="A3911" t="s">
        <v>3849</v>
      </c>
      <c r="B3911" t="s">
        <v>229</v>
      </c>
      <c r="C3911" t="s">
        <v>230</v>
      </c>
      <c r="D3911" t="str">
        <f>HYPERLINK("http://service.sap.com/sap/support/notes/1861238","1861238")</f>
        <v>1861238</v>
      </c>
      <c r="E3911">
        <v>2</v>
      </c>
      <c r="F3911" t="s">
        <v>4098</v>
      </c>
    </row>
    <row r="3912" spans="1:6" x14ac:dyDescent="0.25">
      <c r="A3912" t="s">
        <v>3849</v>
      </c>
      <c r="B3912" t="s">
        <v>229</v>
      </c>
      <c r="C3912" t="s">
        <v>230</v>
      </c>
      <c r="D3912" t="str">
        <f>HYPERLINK("http://service.sap.com/sap/support/notes/1861881","1861881")</f>
        <v>1861881</v>
      </c>
      <c r="E3912">
        <v>1</v>
      </c>
      <c r="F3912" t="s">
        <v>4099</v>
      </c>
    </row>
    <row r="3913" spans="1:6" x14ac:dyDescent="0.25">
      <c r="A3913" t="s">
        <v>3849</v>
      </c>
      <c r="B3913" t="s">
        <v>229</v>
      </c>
      <c r="C3913" t="s">
        <v>230</v>
      </c>
      <c r="D3913" t="str">
        <f>HYPERLINK("http://service.sap.com/sap/support/notes/1862277","1862277")</f>
        <v>1862277</v>
      </c>
      <c r="E3913">
        <v>2</v>
      </c>
      <c r="F3913" t="s">
        <v>4100</v>
      </c>
    </row>
    <row r="3914" spans="1:6" x14ac:dyDescent="0.25">
      <c r="A3914" t="s">
        <v>3849</v>
      </c>
      <c r="B3914" t="s">
        <v>229</v>
      </c>
      <c r="C3914" t="s">
        <v>230</v>
      </c>
      <c r="D3914" t="str">
        <f>HYPERLINK("http://service.sap.com/sap/support/notes/1862961","1862961")</f>
        <v>1862961</v>
      </c>
      <c r="E3914">
        <v>1</v>
      </c>
      <c r="F3914" t="s">
        <v>4101</v>
      </c>
    </row>
    <row r="3915" spans="1:6" x14ac:dyDescent="0.25">
      <c r="A3915" t="s">
        <v>3849</v>
      </c>
      <c r="B3915" t="s">
        <v>229</v>
      </c>
      <c r="C3915" t="s">
        <v>230</v>
      </c>
      <c r="D3915" t="str">
        <f>HYPERLINK("http://service.sap.com/sap/support/notes/1864368","1864368")</f>
        <v>1864368</v>
      </c>
      <c r="E3915">
        <v>2</v>
      </c>
      <c r="F3915" t="s">
        <v>4102</v>
      </c>
    </row>
    <row r="3916" spans="1:6" x14ac:dyDescent="0.25">
      <c r="A3916" t="s">
        <v>3849</v>
      </c>
      <c r="B3916" t="s">
        <v>260</v>
      </c>
      <c r="C3916" t="s">
        <v>37</v>
      </c>
      <c r="D3916" t="str">
        <f>HYPERLINK("http://service.sap.com/sap/support/notes/1833190","1833190")</f>
        <v>1833190</v>
      </c>
      <c r="E3916">
        <v>1</v>
      </c>
      <c r="F3916" t="s">
        <v>4103</v>
      </c>
    </row>
    <row r="3917" spans="1:6" x14ac:dyDescent="0.25">
      <c r="A3917" t="s">
        <v>3849</v>
      </c>
      <c r="B3917" t="s">
        <v>263</v>
      </c>
      <c r="C3917" t="s">
        <v>41</v>
      </c>
      <c r="D3917" t="str">
        <f>HYPERLINK("http://service.sap.com/sap/support/notes/1830517","1830517")</f>
        <v>1830517</v>
      </c>
      <c r="E3917">
        <v>1</v>
      </c>
      <c r="F3917" t="s">
        <v>4104</v>
      </c>
    </row>
    <row r="3918" spans="1:6" x14ac:dyDescent="0.25">
      <c r="A3918" t="s">
        <v>3849</v>
      </c>
      <c r="B3918" t="s">
        <v>263</v>
      </c>
      <c r="C3918" t="s">
        <v>41</v>
      </c>
      <c r="D3918" t="str">
        <f>HYPERLINK("http://service.sap.com/sap/support/notes/1836239","1836239")</f>
        <v>1836239</v>
      </c>
      <c r="E3918">
        <v>7</v>
      </c>
      <c r="F3918" t="s">
        <v>4105</v>
      </c>
    </row>
    <row r="3919" spans="1:6" x14ac:dyDescent="0.25">
      <c r="A3919" t="s">
        <v>3849</v>
      </c>
      <c r="B3919" t="s">
        <v>263</v>
      </c>
      <c r="C3919" t="s">
        <v>41</v>
      </c>
      <c r="D3919" t="str">
        <f>HYPERLINK("http://service.sap.com/sap/support/notes/1841445","1841445")</f>
        <v>1841445</v>
      </c>
      <c r="E3919">
        <v>2</v>
      </c>
      <c r="F3919" t="s">
        <v>4106</v>
      </c>
    </row>
    <row r="3920" spans="1:6" x14ac:dyDescent="0.25">
      <c r="A3920" t="s">
        <v>3849</v>
      </c>
      <c r="B3920" t="s">
        <v>263</v>
      </c>
      <c r="C3920" t="s">
        <v>41</v>
      </c>
      <c r="D3920" t="str">
        <f>HYPERLINK("http://service.sap.com/sap/support/notes/1841730","1841730")</f>
        <v>1841730</v>
      </c>
      <c r="E3920">
        <v>2</v>
      </c>
      <c r="F3920" t="s">
        <v>4107</v>
      </c>
    </row>
    <row r="3921" spans="1:6" x14ac:dyDescent="0.25">
      <c r="A3921" t="s">
        <v>3849</v>
      </c>
      <c r="B3921" t="s">
        <v>263</v>
      </c>
      <c r="C3921" t="s">
        <v>41</v>
      </c>
      <c r="D3921" t="str">
        <f>HYPERLINK("http://service.sap.com/sap/support/notes/1842863","1842863")</f>
        <v>1842863</v>
      </c>
      <c r="E3921">
        <v>3</v>
      </c>
      <c r="F3921" t="s">
        <v>4108</v>
      </c>
    </row>
    <row r="3922" spans="1:6" x14ac:dyDescent="0.25">
      <c r="A3922" t="s">
        <v>3849</v>
      </c>
      <c r="B3922" t="s">
        <v>263</v>
      </c>
      <c r="C3922" t="s">
        <v>41</v>
      </c>
      <c r="D3922" t="str">
        <f>HYPERLINK("http://service.sap.com/sap/support/notes/1844285","1844285")</f>
        <v>1844285</v>
      </c>
      <c r="E3922">
        <v>2</v>
      </c>
      <c r="F3922" t="s">
        <v>4109</v>
      </c>
    </row>
    <row r="3923" spans="1:6" x14ac:dyDescent="0.25">
      <c r="A3923" t="s">
        <v>3849</v>
      </c>
      <c r="B3923" t="s">
        <v>263</v>
      </c>
      <c r="C3923" t="s">
        <v>41</v>
      </c>
      <c r="D3923" t="str">
        <f>HYPERLINK("http://service.sap.com/sap/support/notes/1849589","1849589")</f>
        <v>1849589</v>
      </c>
      <c r="E3923">
        <v>1</v>
      </c>
      <c r="F3923" t="s">
        <v>4110</v>
      </c>
    </row>
    <row r="3924" spans="1:6" x14ac:dyDescent="0.25">
      <c r="A3924" t="s">
        <v>3849</v>
      </c>
      <c r="B3924" t="s">
        <v>263</v>
      </c>
      <c r="C3924" t="s">
        <v>41</v>
      </c>
      <c r="D3924" t="str">
        <f>HYPERLINK("http://service.sap.com/sap/support/notes/1850140","1850140")</f>
        <v>1850140</v>
      </c>
      <c r="E3924">
        <v>1</v>
      </c>
      <c r="F3924" t="s">
        <v>4111</v>
      </c>
    </row>
    <row r="3925" spans="1:6" x14ac:dyDescent="0.25">
      <c r="A3925" t="s">
        <v>3849</v>
      </c>
      <c r="B3925" t="s">
        <v>263</v>
      </c>
      <c r="C3925" t="s">
        <v>41</v>
      </c>
      <c r="D3925" t="str">
        <f>HYPERLINK("http://service.sap.com/sap/support/notes/1850168","1850168")</f>
        <v>1850168</v>
      </c>
      <c r="E3925">
        <v>1</v>
      </c>
      <c r="F3925" t="s">
        <v>4112</v>
      </c>
    </row>
    <row r="3926" spans="1:6" x14ac:dyDescent="0.25">
      <c r="A3926" t="s">
        <v>3849</v>
      </c>
      <c r="B3926" t="s">
        <v>263</v>
      </c>
      <c r="C3926" t="s">
        <v>41</v>
      </c>
      <c r="D3926" t="str">
        <f>HYPERLINK("http://service.sap.com/sap/support/notes/1852982","1852982")</f>
        <v>1852982</v>
      </c>
      <c r="E3926">
        <v>2</v>
      </c>
      <c r="F3926" t="s">
        <v>4113</v>
      </c>
    </row>
    <row r="3927" spans="1:6" x14ac:dyDescent="0.25">
      <c r="A3927" t="s">
        <v>3849</v>
      </c>
      <c r="B3927" t="s">
        <v>263</v>
      </c>
      <c r="C3927" t="s">
        <v>41</v>
      </c>
      <c r="D3927" t="str">
        <f>HYPERLINK("http://service.sap.com/sap/support/notes/1853107","1853107")</f>
        <v>1853107</v>
      </c>
      <c r="E3927">
        <v>1</v>
      </c>
      <c r="F3927" t="s">
        <v>4114</v>
      </c>
    </row>
    <row r="3928" spans="1:6" x14ac:dyDescent="0.25">
      <c r="A3928" t="s">
        <v>3849</v>
      </c>
      <c r="B3928" t="s">
        <v>263</v>
      </c>
      <c r="C3928" t="s">
        <v>41</v>
      </c>
      <c r="D3928" t="str">
        <f>HYPERLINK("http://service.sap.com/sap/support/notes/1853432","1853432")</f>
        <v>1853432</v>
      </c>
      <c r="E3928">
        <v>1</v>
      </c>
      <c r="F3928" t="s">
        <v>4115</v>
      </c>
    </row>
    <row r="3929" spans="1:6" x14ac:dyDescent="0.25">
      <c r="A3929" t="s">
        <v>3849</v>
      </c>
      <c r="B3929" t="s">
        <v>263</v>
      </c>
      <c r="C3929" t="s">
        <v>41</v>
      </c>
      <c r="D3929" t="str">
        <f>HYPERLINK("http://service.sap.com/sap/support/notes/1854824","1854824")</f>
        <v>1854824</v>
      </c>
      <c r="E3929">
        <v>1</v>
      </c>
      <c r="F3929" t="s">
        <v>4116</v>
      </c>
    </row>
    <row r="3930" spans="1:6" x14ac:dyDescent="0.25">
      <c r="A3930" t="s">
        <v>3849</v>
      </c>
      <c r="B3930" t="s">
        <v>263</v>
      </c>
      <c r="C3930" t="s">
        <v>41</v>
      </c>
      <c r="D3930" t="str">
        <f>HYPERLINK("http://service.sap.com/sap/support/notes/1859178","1859178")</f>
        <v>1859178</v>
      </c>
      <c r="E3930">
        <v>2</v>
      </c>
      <c r="F3930" t="s">
        <v>4117</v>
      </c>
    </row>
    <row r="3931" spans="1:6" x14ac:dyDescent="0.25">
      <c r="A3931" t="s">
        <v>3849</v>
      </c>
      <c r="B3931" t="s">
        <v>263</v>
      </c>
      <c r="C3931" t="s">
        <v>41</v>
      </c>
      <c r="D3931" t="str">
        <f>HYPERLINK("http://service.sap.com/sap/support/notes/1861574","1861574")</f>
        <v>1861574</v>
      </c>
      <c r="E3931">
        <v>1</v>
      </c>
      <c r="F3931" t="s">
        <v>4118</v>
      </c>
    </row>
    <row r="3932" spans="1:6" x14ac:dyDescent="0.25">
      <c r="A3932" t="s">
        <v>3849</v>
      </c>
      <c r="B3932" t="s">
        <v>263</v>
      </c>
      <c r="C3932" t="s">
        <v>41</v>
      </c>
      <c r="D3932" t="str">
        <f>HYPERLINK("http://service.sap.com/sap/support/notes/1864568","1864568")</f>
        <v>1864568</v>
      </c>
      <c r="E3932">
        <v>1</v>
      </c>
      <c r="F3932" t="s">
        <v>4119</v>
      </c>
    </row>
    <row r="3933" spans="1:6" x14ac:dyDescent="0.25">
      <c r="A3933" t="s">
        <v>3849</v>
      </c>
      <c r="B3933" t="s">
        <v>263</v>
      </c>
      <c r="C3933" t="s">
        <v>41</v>
      </c>
      <c r="D3933" t="str">
        <f>HYPERLINK("http://service.sap.com/sap/support/notes/1864754","1864754")</f>
        <v>1864754</v>
      </c>
      <c r="E3933">
        <v>1</v>
      </c>
      <c r="F3933" t="s">
        <v>4120</v>
      </c>
    </row>
    <row r="3934" spans="1:6" x14ac:dyDescent="0.25">
      <c r="A3934" t="s">
        <v>3849</v>
      </c>
      <c r="B3934" t="s">
        <v>704</v>
      </c>
      <c r="C3934" t="s">
        <v>128</v>
      </c>
      <c r="D3934" t="str">
        <f>HYPERLINK("http://service.sap.com/sap/support/notes/1841929","1841929")</f>
        <v>1841929</v>
      </c>
      <c r="E3934">
        <v>5</v>
      </c>
      <c r="F3934" t="s">
        <v>4121</v>
      </c>
    </row>
    <row r="3935" spans="1:6" x14ac:dyDescent="0.25">
      <c r="A3935" t="s">
        <v>3849</v>
      </c>
      <c r="B3935" t="s">
        <v>286</v>
      </c>
      <c r="C3935" t="s">
        <v>287</v>
      </c>
      <c r="D3935" t="str">
        <f>HYPERLINK("http://service.sap.com/sap/support/notes/1129168","1129168")</f>
        <v>1129168</v>
      </c>
      <c r="E3935">
        <v>1</v>
      </c>
      <c r="F3935" t="s">
        <v>591</v>
      </c>
    </row>
    <row r="3936" spans="1:6" x14ac:dyDescent="0.25">
      <c r="A3936" t="s">
        <v>3849</v>
      </c>
      <c r="B3936" t="s">
        <v>286</v>
      </c>
      <c r="C3936" t="s">
        <v>287</v>
      </c>
      <c r="D3936" t="str">
        <f>HYPERLINK("http://service.sap.com/sap/support/notes/1833722","1833722")</f>
        <v>1833722</v>
      </c>
      <c r="E3936">
        <v>5</v>
      </c>
      <c r="F3936" t="s">
        <v>4122</v>
      </c>
    </row>
    <row r="3937" spans="1:6" x14ac:dyDescent="0.25">
      <c r="A3937" t="s">
        <v>3849</v>
      </c>
      <c r="B3937" t="s">
        <v>286</v>
      </c>
      <c r="C3937" t="s">
        <v>287</v>
      </c>
      <c r="D3937" t="str">
        <f>HYPERLINK("http://service.sap.com/sap/support/notes/1837714","1837714")</f>
        <v>1837714</v>
      </c>
      <c r="E3937">
        <v>3</v>
      </c>
      <c r="F3937" t="s">
        <v>4123</v>
      </c>
    </row>
    <row r="3938" spans="1:6" x14ac:dyDescent="0.25">
      <c r="A3938" t="s">
        <v>3849</v>
      </c>
      <c r="B3938" t="s">
        <v>286</v>
      </c>
      <c r="C3938" t="s">
        <v>287</v>
      </c>
      <c r="D3938" t="str">
        <f>HYPERLINK("http://service.sap.com/sap/support/notes/1846246","1846246")</f>
        <v>1846246</v>
      </c>
      <c r="E3938">
        <v>1</v>
      </c>
      <c r="F3938" t="s">
        <v>4124</v>
      </c>
    </row>
    <row r="3939" spans="1:6" x14ac:dyDescent="0.25">
      <c r="A3939" t="s">
        <v>3849</v>
      </c>
      <c r="B3939" t="s">
        <v>286</v>
      </c>
      <c r="C3939" t="s">
        <v>287</v>
      </c>
      <c r="D3939" t="str">
        <f>HYPERLINK("http://service.sap.com/sap/support/notes/1849411","1849411")</f>
        <v>1849411</v>
      </c>
      <c r="E3939">
        <v>1</v>
      </c>
      <c r="F3939" t="s">
        <v>4125</v>
      </c>
    </row>
    <row r="3940" spans="1:6" x14ac:dyDescent="0.25">
      <c r="A3940" t="s">
        <v>3849</v>
      </c>
      <c r="B3940" t="s">
        <v>286</v>
      </c>
      <c r="C3940" t="s">
        <v>287</v>
      </c>
      <c r="D3940" t="str">
        <f>HYPERLINK("http://service.sap.com/sap/support/notes/1850995","1850995")</f>
        <v>1850995</v>
      </c>
      <c r="E3940">
        <v>2</v>
      </c>
      <c r="F3940" t="s">
        <v>4126</v>
      </c>
    </row>
    <row r="3941" spans="1:6" x14ac:dyDescent="0.25">
      <c r="A3941" t="s">
        <v>3849</v>
      </c>
      <c r="B3941" t="s">
        <v>286</v>
      </c>
      <c r="C3941" t="s">
        <v>287</v>
      </c>
      <c r="D3941" t="str">
        <f>HYPERLINK("http://service.sap.com/sap/support/notes/1851385","1851385")</f>
        <v>1851385</v>
      </c>
      <c r="E3941">
        <v>1</v>
      </c>
      <c r="F3941" t="s">
        <v>3612</v>
      </c>
    </row>
    <row r="3942" spans="1:6" x14ac:dyDescent="0.25">
      <c r="A3942" t="s">
        <v>3849</v>
      </c>
      <c r="B3942" t="s">
        <v>286</v>
      </c>
      <c r="C3942" t="s">
        <v>287</v>
      </c>
      <c r="D3942" t="str">
        <f>HYPERLINK("http://service.sap.com/sap/support/notes/1851979","1851979")</f>
        <v>1851979</v>
      </c>
      <c r="E3942">
        <v>3</v>
      </c>
      <c r="F3942" t="s">
        <v>4127</v>
      </c>
    </row>
    <row r="3943" spans="1:6" x14ac:dyDescent="0.25">
      <c r="A3943" t="s">
        <v>3849</v>
      </c>
      <c r="B3943" t="s">
        <v>286</v>
      </c>
      <c r="C3943" t="s">
        <v>287</v>
      </c>
      <c r="D3943" t="str">
        <f>HYPERLINK("http://service.sap.com/sap/support/notes/1852107","1852107")</f>
        <v>1852107</v>
      </c>
      <c r="E3943">
        <v>3</v>
      </c>
      <c r="F3943" t="s">
        <v>4128</v>
      </c>
    </row>
    <row r="3944" spans="1:6" x14ac:dyDescent="0.25">
      <c r="A3944" t="s">
        <v>3849</v>
      </c>
      <c r="B3944" t="s">
        <v>286</v>
      </c>
      <c r="C3944" t="s">
        <v>287</v>
      </c>
      <c r="D3944" t="str">
        <f>HYPERLINK("http://service.sap.com/sap/support/notes/1852844","1852844")</f>
        <v>1852844</v>
      </c>
      <c r="E3944">
        <v>3</v>
      </c>
      <c r="F3944" t="s">
        <v>4129</v>
      </c>
    </row>
    <row r="3945" spans="1:6" x14ac:dyDescent="0.25">
      <c r="A3945" t="s">
        <v>3849</v>
      </c>
      <c r="B3945" t="s">
        <v>286</v>
      </c>
      <c r="C3945" t="s">
        <v>287</v>
      </c>
      <c r="D3945" t="str">
        <f>HYPERLINK("http://service.sap.com/sap/support/notes/1853684","1853684")</f>
        <v>1853684</v>
      </c>
      <c r="E3945">
        <v>2</v>
      </c>
      <c r="F3945" t="s">
        <v>4130</v>
      </c>
    </row>
    <row r="3946" spans="1:6" x14ac:dyDescent="0.25">
      <c r="A3946" t="s">
        <v>3849</v>
      </c>
      <c r="B3946" t="s">
        <v>286</v>
      </c>
      <c r="C3946" t="s">
        <v>287</v>
      </c>
      <c r="D3946" t="str">
        <f>HYPERLINK("http://service.sap.com/sap/support/notes/1856113","1856113")</f>
        <v>1856113</v>
      </c>
      <c r="E3946">
        <v>1</v>
      </c>
      <c r="F3946" t="s">
        <v>4131</v>
      </c>
    </row>
    <row r="3947" spans="1:6" x14ac:dyDescent="0.25">
      <c r="A3947" t="s">
        <v>3849</v>
      </c>
      <c r="B3947" t="s">
        <v>286</v>
      </c>
      <c r="C3947" t="s">
        <v>287</v>
      </c>
      <c r="D3947" t="str">
        <f>HYPERLINK("http://service.sap.com/sap/support/notes/1856297","1856297")</f>
        <v>1856297</v>
      </c>
      <c r="E3947">
        <v>2</v>
      </c>
      <c r="F3947" t="s">
        <v>4132</v>
      </c>
    </row>
    <row r="3948" spans="1:6" x14ac:dyDescent="0.25">
      <c r="A3948" t="s">
        <v>3849</v>
      </c>
      <c r="B3948" t="s">
        <v>286</v>
      </c>
      <c r="C3948" t="s">
        <v>287</v>
      </c>
      <c r="D3948" t="str">
        <f>HYPERLINK("http://service.sap.com/sap/support/notes/1856982","1856982")</f>
        <v>1856982</v>
      </c>
      <c r="E3948">
        <v>1</v>
      </c>
      <c r="F3948" t="s">
        <v>4133</v>
      </c>
    </row>
    <row r="3949" spans="1:6" x14ac:dyDescent="0.25">
      <c r="A3949" t="s">
        <v>3849</v>
      </c>
      <c r="B3949" t="s">
        <v>286</v>
      </c>
      <c r="C3949" t="s">
        <v>287</v>
      </c>
      <c r="D3949" t="str">
        <f>HYPERLINK("http://service.sap.com/sap/support/notes/1857466","1857466")</f>
        <v>1857466</v>
      </c>
      <c r="E3949">
        <v>1</v>
      </c>
      <c r="F3949" t="s">
        <v>4134</v>
      </c>
    </row>
    <row r="3950" spans="1:6" x14ac:dyDescent="0.25">
      <c r="A3950" t="s">
        <v>3849</v>
      </c>
      <c r="B3950" t="s">
        <v>286</v>
      </c>
      <c r="C3950" t="s">
        <v>287</v>
      </c>
      <c r="D3950" t="str">
        <f>HYPERLINK("http://service.sap.com/sap/support/notes/1859692","1859692")</f>
        <v>1859692</v>
      </c>
      <c r="E3950">
        <v>1</v>
      </c>
      <c r="F3950" t="s">
        <v>4135</v>
      </c>
    </row>
    <row r="3951" spans="1:6" x14ac:dyDescent="0.25">
      <c r="A3951" t="s">
        <v>3849</v>
      </c>
      <c r="B3951" t="s">
        <v>286</v>
      </c>
      <c r="C3951" t="s">
        <v>287</v>
      </c>
      <c r="D3951" t="str">
        <f>HYPERLINK("http://service.sap.com/sap/support/notes/1859923","1859923")</f>
        <v>1859923</v>
      </c>
      <c r="E3951">
        <v>1</v>
      </c>
      <c r="F3951" t="s">
        <v>4136</v>
      </c>
    </row>
    <row r="3952" spans="1:6" x14ac:dyDescent="0.25">
      <c r="A3952" t="s">
        <v>3849</v>
      </c>
      <c r="B3952" t="s">
        <v>286</v>
      </c>
      <c r="C3952" t="s">
        <v>287</v>
      </c>
      <c r="D3952" t="str">
        <f>HYPERLINK("http://service.sap.com/sap/support/notes/1860228","1860228")</f>
        <v>1860228</v>
      </c>
      <c r="E3952">
        <v>1</v>
      </c>
      <c r="F3952" t="s">
        <v>4137</v>
      </c>
    </row>
    <row r="3953" spans="1:6" x14ac:dyDescent="0.25">
      <c r="A3953" t="s">
        <v>3849</v>
      </c>
      <c r="B3953" t="s">
        <v>286</v>
      </c>
      <c r="C3953" t="s">
        <v>287</v>
      </c>
      <c r="D3953" t="str">
        <f>HYPERLINK("http://service.sap.com/sap/support/notes/1860673","1860673")</f>
        <v>1860673</v>
      </c>
      <c r="E3953">
        <v>1</v>
      </c>
      <c r="F3953" t="s">
        <v>4138</v>
      </c>
    </row>
    <row r="3954" spans="1:6" x14ac:dyDescent="0.25">
      <c r="A3954" t="s">
        <v>3849</v>
      </c>
      <c r="B3954" t="s">
        <v>286</v>
      </c>
      <c r="C3954" t="s">
        <v>287</v>
      </c>
      <c r="D3954" t="str">
        <f>HYPERLINK("http://service.sap.com/sap/support/notes/1861170","1861170")</f>
        <v>1861170</v>
      </c>
      <c r="E3954">
        <v>1</v>
      </c>
      <c r="F3954" t="s">
        <v>4139</v>
      </c>
    </row>
    <row r="3955" spans="1:6" x14ac:dyDescent="0.25">
      <c r="A3955" t="s">
        <v>3849</v>
      </c>
      <c r="B3955" t="s">
        <v>286</v>
      </c>
      <c r="C3955" t="s">
        <v>287</v>
      </c>
      <c r="D3955" t="str">
        <f>HYPERLINK("http://service.sap.com/sap/support/notes/1862369","1862369")</f>
        <v>1862369</v>
      </c>
      <c r="E3955">
        <v>1</v>
      </c>
      <c r="F3955" t="s">
        <v>4140</v>
      </c>
    </row>
    <row r="3956" spans="1:6" x14ac:dyDescent="0.25">
      <c r="A3956" t="s">
        <v>3849</v>
      </c>
      <c r="B3956" t="s">
        <v>286</v>
      </c>
      <c r="C3956" t="s">
        <v>287</v>
      </c>
      <c r="D3956" t="str">
        <f>HYPERLINK("http://service.sap.com/sap/support/notes/1862704","1862704")</f>
        <v>1862704</v>
      </c>
      <c r="E3956">
        <v>1</v>
      </c>
      <c r="F3956" t="s">
        <v>4141</v>
      </c>
    </row>
    <row r="3957" spans="1:6" x14ac:dyDescent="0.25">
      <c r="A3957" t="s">
        <v>3849</v>
      </c>
      <c r="B3957" t="s">
        <v>286</v>
      </c>
      <c r="C3957" t="s">
        <v>287</v>
      </c>
      <c r="D3957" t="str">
        <f>HYPERLINK("http://service.sap.com/sap/support/notes/1863660","1863660")</f>
        <v>1863660</v>
      </c>
      <c r="E3957">
        <v>1</v>
      </c>
      <c r="F3957" t="s">
        <v>4142</v>
      </c>
    </row>
    <row r="3958" spans="1:6" x14ac:dyDescent="0.25">
      <c r="A3958" t="s">
        <v>3849</v>
      </c>
      <c r="B3958" t="s">
        <v>286</v>
      </c>
      <c r="C3958" t="s">
        <v>287</v>
      </c>
      <c r="D3958" t="str">
        <f>HYPERLINK("http://service.sap.com/sap/support/notes/1863970","1863970")</f>
        <v>1863970</v>
      </c>
      <c r="E3958">
        <v>1</v>
      </c>
      <c r="F3958" t="s">
        <v>4143</v>
      </c>
    </row>
    <row r="3959" spans="1:6" x14ac:dyDescent="0.25">
      <c r="A3959" t="s">
        <v>3849</v>
      </c>
      <c r="B3959" t="s">
        <v>286</v>
      </c>
      <c r="C3959" t="s">
        <v>287</v>
      </c>
      <c r="D3959" t="str">
        <f>HYPERLINK("http://service.sap.com/sap/support/notes/1864419","1864419")</f>
        <v>1864419</v>
      </c>
      <c r="E3959">
        <v>1</v>
      </c>
      <c r="F3959" t="s">
        <v>4144</v>
      </c>
    </row>
    <row r="3960" spans="1:6" x14ac:dyDescent="0.25">
      <c r="A3960" t="s">
        <v>3849</v>
      </c>
      <c r="B3960" t="s">
        <v>286</v>
      </c>
      <c r="C3960" t="s">
        <v>287</v>
      </c>
      <c r="D3960" t="str">
        <f>HYPERLINK("http://service.sap.com/sap/support/notes/1864550","1864550")</f>
        <v>1864550</v>
      </c>
      <c r="E3960">
        <v>1</v>
      </c>
      <c r="F3960" t="s">
        <v>4145</v>
      </c>
    </row>
    <row r="3961" spans="1:6" x14ac:dyDescent="0.25">
      <c r="A3961" t="s">
        <v>3849</v>
      </c>
      <c r="B3961" t="s">
        <v>286</v>
      </c>
      <c r="C3961" t="s">
        <v>287</v>
      </c>
      <c r="D3961" t="str">
        <f>HYPERLINK("http://service.sap.com/sap/support/notes/1864638","1864638")</f>
        <v>1864638</v>
      </c>
      <c r="E3961">
        <v>2</v>
      </c>
      <c r="F3961" t="s">
        <v>4146</v>
      </c>
    </row>
    <row r="3962" spans="1:6" x14ac:dyDescent="0.25">
      <c r="A3962" t="s">
        <v>3849</v>
      </c>
      <c r="B3962" t="s">
        <v>286</v>
      </c>
      <c r="C3962" t="s">
        <v>287</v>
      </c>
      <c r="D3962" t="str">
        <f>HYPERLINK("http://service.sap.com/sap/support/notes/1864971","1864971")</f>
        <v>1864971</v>
      </c>
      <c r="E3962">
        <v>1</v>
      </c>
      <c r="F3962" t="s">
        <v>4147</v>
      </c>
    </row>
    <row r="3963" spans="1:6" x14ac:dyDescent="0.25">
      <c r="A3963" t="s">
        <v>3849</v>
      </c>
      <c r="B3963" t="s">
        <v>286</v>
      </c>
      <c r="C3963" t="s">
        <v>287</v>
      </c>
      <c r="D3963" t="str">
        <f>HYPERLINK("http://service.sap.com/sap/support/notes/1865003","1865003")</f>
        <v>1865003</v>
      </c>
      <c r="E3963">
        <v>2</v>
      </c>
      <c r="F3963" t="s">
        <v>4148</v>
      </c>
    </row>
    <row r="3964" spans="1:6" x14ac:dyDescent="0.25">
      <c r="A3964" t="s">
        <v>3849</v>
      </c>
      <c r="B3964" t="s">
        <v>651</v>
      </c>
      <c r="C3964" t="s">
        <v>192</v>
      </c>
    </row>
    <row r="3965" spans="1:6" x14ac:dyDescent="0.25">
      <c r="A3965" t="s">
        <v>3849</v>
      </c>
      <c r="B3965" t="s">
        <v>652</v>
      </c>
      <c r="C3965" t="s">
        <v>1262</v>
      </c>
      <c r="D3965" t="str">
        <f>HYPERLINK("http://service.sap.com/sap/support/notes/1864477","1864477")</f>
        <v>1864477</v>
      </c>
      <c r="E3965">
        <v>1</v>
      </c>
      <c r="F3965" t="s">
        <v>4149</v>
      </c>
    </row>
    <row r="3966" spans="1:6" x14ac:dyDescent="0.25">
      <c r="A3966" t="s">
        <v>3849</v>
      </c>
      <c r="B3966" t="s">
        <v>292</v>
      </c>
      <c r="C3966" t="s">
        <v>196</v>
      </c>
    </row>
    <row r="3967" spans="1:6" x14ac:dyDescent="0.25">
      <c r="A3967" t="s">
        <v>3849</v>
      </c>
      <c r="B3967" t="s">
        <v>293</v>
      </c>
      <c r="C3967" t="s">
        <v>294</v>
      </c>
      <c r="D3967" t="str">
        <f>HYPERLINK("http://service.sap.com/sap/support/notes/1842108","1842108")</f>
        <v>1842108</v>
      </c>
      <c r="E3967">
        <v>1</v>
      </c>
      <c r="F3967" t="s">
        <v>4150</v>
      </c>
    </row>
    <row r="3968" spans="1:6" x14ac:dyDescent="0.25">
      <c r="A3968" t="s">
        <v>3849</v>
      </c>
      <c r="B3968" t="s">
        <v>296</v>
      </c>
      <c r="C3968" t="s">
        <v>297</v>
      </c>
      <c r="D3968" t="str">
        <f>HYPERLINK("http://service.sap.com/sap/support/notes/1820038","1820038")</f>
        <v>1820038</v>
      </c>
      <c r="E3968">
        <v>3</v>
      </c>
      <c r="F3968" t="s">
        <v>4151</v>
      </c>
    </row>
    <row r="3969" spans="1:6" x14ac:dyDescent="0.25">
      <c r="A3969" t="s">
        <v>3849</v>
      </c>
      <c r="B3969" t="s">
        <v>299</v>
      </c>
      <c r="C3969" t="s">
        <v>128</v>
      </c>
      <c r="D3969" t="str">
        <f>HYPERLINK("http://service.sap.com/sap/support/notes/1856846","1856846")</f>
        <v>1856846</v>
      </c>
      <c r="E3969">
        <v>1</v>
      </c>
      <c r="F3969" t="s">
        <v>4152</v>
      </c>
    </row>
    <row r="3970" spans="1:6" x14ac:dyDescent="0.25">
      <c r="A3970" t="s">
        <v>3849</v>
      </c>
      <c r="B3970" t="s">
        <v>301</v>
      </c>
      <c r="C3970" t="s">
        <v>156</v>
      </c>
    </row>
    <row r="3971" spans="1:6" x14ac:dyDescent="0.25">
      <c r="A3971" t="s">
        <v>3849</v>
      </c>
      <c r="B3971" t="s">
        <v>302</v>
      </c>
      <c r="C3971" t="s">
        <v>303</v>
      </c>
      <c r="D3971" t="str">
        <f>HYPERLINK("http://service.sap.com/sap/support/notes/1842604","1842604")</f>
        <v>1842604</v>
      </c>
      <c r="E3971">
        <v>1</v>
      </c>
      <c r="F3971" t="s">
        <v>3617</v>
      </c>
    </row>
    <row r="3972" spans="1:6" x14ac:dyDescent="0.25">
      <c r="A3972" t="s">
        <v>3849</v>
      </c>
      <c r="B3972" t="s">
        <v>302</v>
      </c>
      <c r="C3972" t="s">
        <v>303</v>
      </c>
      <c r="D3972" t="str">
        <f>HYPERLINK("http://service.sap.com/sap/support/notes/1844967","1844967")</f>
        <v>1844967</v>
      </c>
      <c r="E3972">
        <v>3</v>
      </c>
      <c r="F3972" t="s">
        <v>4153</v>
      </c>
    </row>
    <row r="3973" spans="1:6" x14ac:dyDescent="0.25">
      <c r="A3973" t="s">
        <v>3849</v>
      </c>
      <c r="B3973" t="s">
        <v>302</v>
      </c>
      <c r="C3973" t="s">
        <v>303</v>
      </c>
      <c r="D3973" t="str">
        <f>HYPERLINK("http://service.sap.com/sap/support/notes/1846940","1846940")</f>
        <v>1846940</v>
      </c>
      <c r="E3973">
        <v>3</v>
      </c>
      <c r="F3973" t="s">
        <v>4154</v>
      </c>
    </row>
    <row r="3974" spans="1:6" x14ac:dyDescent="0.25">
      <c r="A3974" t="s">
        <v>3849</v>
      </c>
      <c r="B3974" t="s">
        <v>302</v>
      </c>
      <c r="C3974" t="s">
        <v>303</v>
      </c>
      <c r="D3974" t="str">
        <f>HYPERLINK("http://service.sap.com/sap/support/notes/1852303","1852303")</f>
        <v>1852303</v>
      </c>
      <c r="E3974">
        <v>1</v>
      </c>
      <c r="F3974" t="s">
        <v>4155</v>
      </c>
    </row>
    <row r="3975" spans="1:6" x14ac:dyDescent="0.25">
      <c r="A3975" t="s">
        <v>3849</v>
      </c>
      <c r="B3975" t="s">
        <v>302</v>
      </c>
      <c r="C3975" t="s">
        <v>303</v>
      </c>
      <c r="D3975" t="str">
        <f>HYPERLINK("http://service.sap.com/sap/support/notes/1859695","1859695")</f>
        <v>1859695</v>
      </c>
      <c r="E3975">
        <v>1</v>
      </c>
      <c r="F3975" t="s">
        <v>4156</v>
      </c>
    </row>
    <row r="3976" spans="1:6" x14ac:dyDescent="0.25">
      <c r="A3976" t="s">
        <v>3849</v>
      </c>
      <c r="B3976" t="s">
        <v>306</v>
      </c>
      <c r="C3976" t="s">
        <v>307</v>
      </c>
      <c r="D3976" t="str">
        <f>HYPERLINK("http://service.sap.com/sap/support/notes/1846985","1846985")</f>
        <v>1846985</v>
      </c>
      <c r="E3976">
        <v>1</v>
      </c>
      <c r="F3976" t="s">
        <v>4157</v>
      </c>
    </row>
    <row r="3977" spans="1:6" x14ac:dyDescent="0.25">
      <c r="A3977" t="s">
        <v>3849</v>
      </c>
      <c r="B3977" t="s">
        <v>306</v>
      </c>
      <c r="C3977" t="s">
        <v>307</v>
      </c>
      <c r="D3977" t="str">
        <f>HYPERLINK("http://service.sap.com/sap/support/notes/1850859","1850859")</f>
        <v>1850859</v>
      </c>
      <c r="E3977">
        <v>1</v>
      </c>
      <c r="F3977" t="s">
        <v>4158</v>
      </c>
    </row>
    <row r="3978" spans="1:6" x14ac:dyDescent="0.25">
      <c r="A3978" t="s">
        <v>3849</v>
      </c>
      <c r="B3978" t="s">
        <v>306</v>
      </c>
      <c r="C3978" t="s">
        <v>307</v>
      </c>
      <c r="D3978" t="str">
        <f>HYPERLINK("http://service.sap.com/sap/support/notes/1855505","1855505")</f>
        <v>1855505</v>
      </c>
      <c r="E3978">
        <v>1</v>
      </c>
      <c r="F3978" t="s">
        <v>4159</v>
      </c>
    </row>
    <row r="3979" spans="1:6" x14ac:dyDescent="0.25">
      <c r="A3979" t="s">
        <v>3849</v>
      </c>
      <c r="B3979" t="s">
        <v>306</v>
      </c>
      <c r="C3979" t="s">
        <v>307</v>
      </c>
      <c r="D3979" t="str">
        <f>HYPERLINK("http://service.sap.com/sap/support/notes/1857433","1857433")</f>
        <v>1857433</v>
      </c>
      <c r="E3979">
        <v>1</v>
      </c>
      <c r="F3979" t="s">
        <v>4160</v>
      </c>
    </row>
    <row r="3980" spans="1:6" x14ac:dyDescent="0.25">
      <c r="A3980" t="s">
        <v>3849</v>
      </c>
      <c r="B3980" t="s">
        <v>306</v>
      </c>
      <c r="C3980" t="s">
        <v>307</v>
      </c>
      <c r="D3980" t="str">
        <f>HYPERLINK("http://service.sap.com/sap/support/notes/1858149","1858149")</f>
        <v>1858149</v>
      </c>
      <c r="E3980">
        <v>2</v>
      </c>
      <c r="F3980" t="s">
        <v>4161</v>
      </c>
    </row>
    <row r="3981" spans="1:6" x14ac:dyDescent="0.25">
      <c r="A3981" t="s">
        <v>3849</v>
      </c>
      <c r="B3981" t="s">
        <v>306</v>
      </c>
      <c r="C3981" t="s">
        <v>307</v>
      </c>
      <c r="D3981" t="str">
        <f>HYPERLINK("http://service.sap.com/sap/support/notes/1859848","1859848")</f>
        <v>1859848</v>
      </c>
      <c r="E3981">
        <v>1</v>
      </c>
      <c r="F3981" t="s">
        <v>4162</v>
      </c>
    </row>
    <row r="3982" spans="1:6" x14ac:dyDescent="0.25">
      <c r="A3982" t="s">
        <v>3849</v>
      </c>
      <c r="B3982" t="s">
        <v>306</v>
      </c>
      <c r="C3982" t="s">
        <v>307</v>
      </c>
      <c r="D3982" t="str">
        <f>HYPERLINK("http://service.sap.com/sap/support/notes/1863139","1863139")</f>
        <v>1863139</v>
      </c>
      <c r="E3982">
        <v>2</v>
      </c>
      <c r="F3982" t="s">
        <v>4163</v>
      </c>
    </row>
    <row r="3983" spans="1:6" x14ac:dyDescent="0.25">
      <c r="A3983" t="s">
        <v>3849</v>
      </c>
      <c r="B3983" t="s">
        <v>310</v>
      </c>
      <c r="C3983" t="s">
        <v>311</v>
      </c>
      <c r="D3983" t="str">
        <f>HYPERLINK("http://service.sap.com/sap/support/notes/1854126","1854126")</f>
        <v>1854126</v>
      </c>
      <c r="E3983">
        <v>1</v>
      </c>
      <c r="F3983" t="s">
        <v>4164</v>
      </c>
    </row>
    <row r="3984" spans="1:6" x14ac:dyDescent="0.25">
      <c r="A3984" t="s">
        <v>3849</v>
      </c>
      <c r="B3984" t="s">
        <v>310</v>
      </c>
      <c r="C3984" t="s">
        <v>311</v>
      </c>
      <c r="D3984" t="str">
        <f>HYPERLINK("http://service.sap.com/sap/support/notes/1859041","1859041")</f>
        <v>1859041</v>
      </c>
      <c r="E3984">
        <v>1</v>
      </c>
      <c r="F3984" t="s">
        <v>4165</v>
      </c>
    </row>
    <row r="3985" spans="1:6" x14ac:dyDescent="0.25">
      <c r="A3985" t="s">
        <v>3849</v>
      </c>
      <c r="B3985" t="s">
        <v>313</v>
      </c>
      <c r="C3985" t="s">
        <v>314</v>
      </c>
      <c r="D3985" t="str">
        <f>HYPERLINK("http://service.sap.com/sap/support/notes/1849214","1849214")</f>
        <v>1849214</v>
      </c>
      <c r="E3985">
        <v>2</v>
      </c>
      <c r="F3985" t="s">
        <v>4166</v>
      </c>
    </row>
    <row r="3986" spans="1:6" x14ac:dyDescent="0.25">
      <c r="A3986" t="s">
        <v>3849</v>
      </c>
      <c r="B3986" t="s">
        <v>313</v>
      </c>
      <c r="C3986" t="s">
        <v>314</v>
      </c>
      <c r="D3986" t="str">
        <f>HYPERLINK("http://service.sap.com/sap/support/notes/1852891","1852891")</f>
        <v>1852891</v>
      </c>
      <c r="E3986">
        <v>1</v>
      </c>
      <c r="F3986" t="s">
        <v>3621</v>
      </c>
    </row>
    <row r="3987" spans="1:6" x14ac:dyDescent="0.25">
      <c r="A3987" t="s">
        <v>3849</v>
      </c>
      <c r="B3987" t="s">
        <v>313</v>
      </c>
      <c r="C3987" t="s">
        <v>314</v>
      </c>
      <c r="D3987" t="str">
        <f>HYPERLINK("http://service.sap.com/sap/support/notes/1861163","1861163")</f>
        <v>1861163</v>
      </c>
      <c r="E3987">
        <v>1</v>
      </c>
      <c r="F3987" t="s">
        <v>4167</v>
      </c>
    </row>
    <row r="3988" spans="1:6" x14ac:dyDescent="0.25">
      <c r="A3988" t="s">
        <v>3849</v>
      </c>
      <c r="B3988" t="s">
        <v>313</v>
      </c>
      <c r="C3988" t="s">
        <v>314</v>
      </c>
      <c r="D3988" t="str">
        <f>HYPERLINK("http://service.sap.com/sap/support/notes/1864911","1864911")</f>
        <v>1864911</v>
      </c>
      <c r="E3988">
        <v>1</v>
      </c>
      <c r="F3988" t="s">
        <v>4168</v>
      </c>
    </row>
    <row r="3989" spans="1:6" x14ac:dyDescent="0.25">
      <c r="A3989" t="s">
        <v>3849</v>
      </c>
      <c r="B3989" t="s">
        <v>319</v>
      </c>
      <c r="C3989" t="s">
        <v>320</v>
      </c>
      <c r="D3989" t="str">
        <f>HYPERLINK("http://service.sap.com/sap/support/notes/1844336","1844336")</f>
        <v>1844336</v>
      </c>
      <c r="E3989">
        <v>7</v>
      </c>
      <c r="F3989" t="s">
        <v>4169</v>
      </c>
    </row>
    <row r="3990" spans="1:6" x14ac:dyDescent="0.25">
      <c r="A3990" t="s">
        <v>3849</v>
      </c>
      <c r="B3990" t="s">
        <v>319</v>
      </c>
      <c r="C3990" t="s">
        <v>320</v>
      </c>
      <c r="D3990" t="str">
        <f>HYPERLINK("http://service.sap.com/sap/support/notes/1844562","1844562")</f>
        <v>1844562</v>
      </c>
      <c r="E3990">
        <v>3</v>
      </c>
      <c r="F3990" t="s">
        <v>4170</v>
      </c>
    </row>
    <row r="3991" spans="1:6" x14ac:dyDescent="0.25">
      <c r="A3991" t="s">
        <v>3849</v>
      </c>
      <c r="B3991" t="s">
        <v>319</v>
      </c>
      <c r="C3991" t="s">
        <v>320</v>
      </c>
      <c r="D3991" t="str">
        <f>HYPERLINK("http://service.sap.com/sap/support/notes/1847862","1847862")</f>
        <v>1847862</v>
      </c>
      <c r="E3991">
        <v>2</v>
      </c>
      <c r="F3991" t="s">
        <v>4171</v>
      </c>
    </row>
    <row r="3992" spans="1:6" x14ac:dyDescent="0.25">
      <c r="A3992" t="s">
        <v>3849</v>
      </c>
      <c r="B3992" t="s">
        <v>319</v>
      </c>
      <c r="C3992" t="s">
        <v>320</v>
      </c>
      <c r="D3992" t="str">
        <f>HYPERLINK("http://service.sap.com/sap/support/notes/1850965","1850965")</f>
        <v>1850965</v>
      </c>
      <c r="E3992">
        <v>3</v>
      </c>
      <c r="F3992" t="s">
        <v>4172</v>
      </c>
    </row>
    <row r="3993" spans="1:6" x14ac:dyDescent="0.25">
      <c r="A3993" t="s">
        <v>3849</v>
      </c>
      <c r="B3993" t="s">
        <v>319</v>
      </c>
      <c r="C3993" t="s">
        <v>320</v>
      </c>
      <c r="D3993" t="str">
        <f>HYPERLINK("http://service.sap.com/sap/support/notes/1851794","1851794")</f>
        <v>1851794</v>
      </c>
      <c r="E3993">
        <v>1</v>
      </c>
      <c r="F3993" t="s">
        <v>4173</v>
      </c>
    </row>
    <row r="3994" spans="1:6" x14ac:dyDescent="0.25">
      <c r="A3994" t="s">
        <v>3849</v>
      </c>
      <c r="B3994" t="s">
        <v>319</v>
      </c>
      <c r="C3994" t="s">
        <v>320</v>
      </c>
      <c r="D3994" t="str">
        <f>HYPERLINK("http://service.sap.com/sap/support/notes/1855007","1855007")</f>
        <v>1855007</v>
      </c>
      <c r="E3994">
        <v>2</v>
      </c>
      <c r="F3994" t="s">
        <v>4174</v>
      </c>
    </row>
    <row r="3995" spans="1:6" x14ac:dyDescent="0.25">
      <c r="A3995" t="s">
        <v>3849</v>
      </c>
      <c r="B3995" t="s">
        <v>319</v>
      </c>
      <c r="C3995" t="s">
        <v>320</v>
      </c>
      <c r="D3995" t="str">
        <f>HYPERLINK("http://service.sap.com/sap/support/notes/1856369","1856369")</f>
        <v>1856369</v>
      </c>
      <c r="E3995">
        <v>5</v>
      </c>
      <c r="F3995" t="s">
        <v>4175</v>
      </c>
    </row>
    <row r="3996" spans="1:6" x14ac:dyDescent="0.25">
      <c r="A3996" t="s">
        <v>3849</v>
      </c>
      <c r="B3996" t="s">
        <v>319</v>
      </c>
      <c r="C3996" t="s">
        <v>320</v>
      </c>
      <c r="D3996" t="str">
        <f>HYPERLINK("http://service.sap.com/sap/support/notes/1856880","1856880")</f>
        <v>1856880</v>
      </c>
      <c r="E3996">
        <v>2</v>
      </c>
      <c r="F3996" t="s">
        <v>4176</v>
      </c>
    </row>
    <row r="3997" spans="1:6" x14ac:dyDescent="0.25">
      <c r="A3997" t="s">
        <v>3849</v>
      </c>
      <c r="B3997" t="s">
        <v>319</v>
      </c>
      <c r="C3997" t="s">
        <v>320</v>
      </c>
      <c r="D3997" t="str">
        <f>HYPERLINK("http://service.sap.com/sap/support/notes/1857485","1857485")</f>
        <v>1857485</v>
      </c>
      <c r="E3997">
        <v>2</v>
      </c>
      <c r="F3997" t="s">
        <v>4177</v>
      </c>
    </row>
    <row r="3998" spans="1:6" x14ac:dyDescent="0.25">
      <c r="A3998" t="s">
        <v>3849</v>
      </c>
      <c r="B3998" t="s">
        <v>319</v>
      </c>
      <c r="C3998" t="s">
        <v>320</v>
      </c>
      <c r="D3998" t="str">
        <f>HYPERLINK("http://service.sap.com/sap/support/notes/1857827","1857827")</f>
        <v>1857827</v>
      </c>
      <c r="E3998">
        <v>2</v>
      </c>
      <c r="F3998" t="s">
        <v>4178</v>
      </c>
    </row>
    <row r="3999" spans="1:6" x14ac:dyDescent="0.25">
      <c r="A3999" t="s">
        <v>3849</v>
      </c>
      <c r="B3999" t="s">
        <v>319</v>
      </c>
      <c r="C3999" t="s">
        <v>320</v>
      </c>
      <c r="D3999" t="str">
        <f>HYPERLINK("http://service.sap.com/sap/support/notes/1860855","1860855")</f>
        <v>1860855</v>
      </c>
      <c r="E3999">
        <v>1</v>
      </c>
      <c r="F3999" t="s">
        <v>4179</v>
      </c>
    </row>
    <row r="4000" spans="1:6" x14ac:dyDescent="0.25">
      <c r="A4000" t="s">
        <v>3849</v>
      </c>
      <c r="B4000" t="s">
        <v>319</v>
      </c>
      <c r="C4000" t="s">
        <v>320</v>
      </c>
      <c r="D4000" t="str">
        <f>HYPERLINK("http://service.sap.com/sap/support/notes/1861373","1861373")</f>
        <v>1861373</v>
      </c>
      <c r="E4000">
        <v>2</v>
      </c>
      <c r="F4000" t="s">
        <v>4180</v>
      </c>
    </row>
    <row r="4001" spans="1:6" x14ac:dyDescent="0.25">
      <c r="A4001" t="s">
        <v>3849</v>
      </c>
      <c r="B4001" t="s">
        <v>319</v>
      </c>
      <c r="C4001" t="s">
        <v>320</v>
      </c>
      <c r="D4001" t="str">
        <f>HYPERLINK("http://service.sap.com/sap/support/notes/1861375","1861375")</f>
        <v>1861375</v>
      </c>
      <c r="E4001">
        <v>2</v>
      </c>
      <c r="F4001" t="s">
        <v>4181</v>
      </c>
    </row>
    <row r="4002" spans="1:6" x14ac:dyDescent="0.25">
      <c r="A4002" t="s">
        <v>3849</v>
      </c>
      <c r="B4002" t="s">
        <v>319</v>
      </c>
      <c r="C4002" t="s">
        <v>320</v>
      </c>
      <c r="D4002" t="str">
        <f>HYPERLINK("http://service.sap.com/sap/support/notes/1861376","1861376")</f>
        <v>1861376</v>
      </c>
      <c r="E4002">
        <v>2</v>
      </c>
      <c r="F4002" t="s">
        <v>4182</v>
      </c>
    </row>
    <row r="4003" spans="1:6" x14ac:dyDescent="0.25">
      <c r="A4003" t="s">
        <v>3849</v>
      </c>
      <c r="B4003" t="s">
        <v>319</v>
      </c>
      <c r="C4003" t="s">
        <v>320</v>
      </c>
      <c r="D4003" t="str">
        <f>HYPERLINK("http://service.sap.com/sap/support/notes/1863154","1863154")</f>
        <v>1863154</v>
      </c>
      <c r="E4003">
        <v>2</v>
      </c>
      <c r="F4003" t="s">
        <v>4183</v>
      </c>
    </row>
    <row r="4004" spans="1:6" x14ac:dyDescent="0.25">
      <c r="A4004" t="s">
        <v>3849</v>
      </c>
      <c r="B4004" t="s">
        <v>319</v>
      </c>
      <c r="C4004" t="s">
        <v>320</v>
      </c>
      <c r="D4004" t="str">
        <f>HYPERLINK("http://service.sap.com/sap/support/notes/1864037","1864037")</f>
        <v>1864037</v>
      </c>
      <c r="E4004">
        <v>2</v>
      </c>
      <c r="F4004" t="s">
        <v>4184</v>
      </c>
    </row>
    <row r="4005" spans="1:6" x14ac:dyDescent="0.25">
      <c r="A4005" t="s">
        <v>3849</v>
      </c>
      <c r="B4005" t="s">
        <v>2263</v>
      </c>
      <c r="C4005" t="s">
        <v>2264</v>
      </c>
      <c r="D4005" t="str">
        <f>HYPERLINK("http://service.sap.com/sap/support/notes/1176415","1176415")</f>
        <v>1176415</v>
      </c>
      <c r="E4005">
        <v>1</v>
      </c>
      <c r="F4005" t="s">
        <v>3629</v>
      </c>
    </row>
    <row r="4006" spans="1:6" x14ac:dyDescent="0.25">
      <c r="A4006" t="s">
        <v>3849</v>
      </c>
      <c r="B4006" t="s">
        <v>2263</v>
      </c>
      <c r="C4006" t="s">
        <v>2264</v>
      </c>
      <c r="D4006" t="str">
        <f>HYPERLINK("http://service.sap.com/sap/support/notes/1850953","1850953")</f>
        <v>1850953</v>
      </c>
      <c r="E4006">
        <v>2</v>
      </c>
      <c r="F4006" t="s">
        <v>4185</v>
      </c>
    </row>
    <row r="4007" spans="1:6" x14ac:dyDescent="0.25">
      <c r="A4007" t="s">
        <v>3849</v>
      </c>
      <c r="B4007" t="s">
        <v>327</v>
      </c>
      <c r="C4007" t="s">
        <v>328</v>
      </c>
      <c r="D4007" t="str">
        <f>HYPERLINK("http://service.sap.com/sap/support/notes/1794126","1794126")</f>
        <v>1794126</v>
      </c>
      <c r="E4007">
        <v>2</v>
      </c>
      <c r="F4007" t="s">
        <v>4186</v>
      </c>
    </row>
    <row r="4008" spans="1:6" x14ac:dyDescent="0.25">
      <c r="A4008" t="s">
        <v>3849</v>
      </c>
      <c r="B4008" t="s">
        <v>327</v>
      </c>
      <c r="C4008" t="s">
        <v>328</v>
      </c>
      <c r="D4008" t="str">
        <f>HYPERLINK("http://service.sap.com/sap/support/notes/1825447","1825447")</f>
        <v>1825447</v>
      </c>
      <c r="E4008">
        <v>4</v>
      </c>
      <c r="F4008" t="s">
        <v>4187</v>
      </c>
    </row>
    <row r="4009" spans="1:6" x14ac:dyDescent="0.25">
      <c r="A4009" t="s">
        <v>3849</v>
      </c>
      <c r="B4009" t="s">
        <v>327</v>
      </c>
      <c r="C4009" t="s">
        <v>328</v>
      </c>
      <c r="D4009" t="str">
        <f>HYPERLINK("http://service.sap.com/sap/support/notes/1833491","1833491")</f>
        <v>1833491</v>
      </c>
      <c r="E4009">
        <v>3</v>
      </c>
      <c r="F4009" t="s">
        <v>4188</v>
      </c>
    </row>
    <row r="4010" spans="1:6" x14ac:dyDescent="0.25">
      <c r="A4010" t="s">
        <v>3849</v>
      </c>
      <c r="B4010" t="s">
        <v>327</v>
      </c>
      <c r="C4010" t="s">
        <v>328</v>
      </c>
      <c r="D4010" t="str">
        <f>HYPERLINK("http://service.sap.com/sap/support/notes/1840936","1840936")</f>
        <v>1840936</v>
      </c>
      <c r="E4010">
        <v>4</v>
      </c>
      <c r="F4010" t="s">
        <v>4189</v>
      </c>
    </row>
    <row r="4011" spans="1:6" x14ac:dyDescent="0.25">
      <c r="A4011" t="s">
        <v>3849</v>
      </c>
      <c r="B4011" t="s">
        <v>327</v>
      </c>
      <c r="C4011" t="s">
        <v>328</v>
      </c>
      <c r="D4011" t="str">
        <f>HYPERLINK("http://service.sap.com/sap/support/notes/1849364","1849364")</f>
        <v>1849364</v>
      </c>
      <c r="E4011">
        <v>1</v>
      </c>
      <c r="F4011" t="s">
        <v>4190</v>
      </c>
    </row>
    <row r="4012" spans="1:6" x14ac:dyDescent="0.25">
      <c r="A4012" t="s">
        <v>3849</v>
      </c>
      <c r="B4012" t="s">
        <v>327</v>
      </c>
      <c r="C4012" t="s">
        <v>328</v>
      </c>
      <c r="D4012" t="str">
        <f>HYPERLINK("http://service.sap.com/sap/support/notes/1850525","1850525")</f>
        <v>1850525</v>
      </c>
      <c r="E4012">
        <v>4</v>
      </c>
      <c r="F4012" t="s">
        <v>4191</v>
      </c>
    </row>
    <row r="4013" spans="1:6" x14ac:dyDescent="0.25">
      <c r="A4013" t="s">
        <v>3849</v>
      </c>
      <c r="B4013" t="s">
        <v>327</v>
      </c>
      <c r="C4013" t="s">
        <v>328</v>
      </c>
      <c r="D4013" t="str">
        <f>HYPERLINK("http://service.sap.com/sap/support/notes/1858158","1858158")</f>
        <v>1858158</v>
      </c>
      <c r="E4013">
        <v>2</v>
      </c>
      <c r="F4013" t="s">
        <v>4192</v>
      </c>
    </row>
    <row r="4014" spans="1:6" x14ac:dyDescent="0.25">
      <c r="A4014" t="s">
        <v>3849</v>
      </c>
      <c r="B4014" t="s">
        <v>327</v>
      </c>
      <c r="C4014" t="s">
        <v>328</v>
      </c>
      <c r="D4014" t="str">
        <f>HYPERLINK("http://service.sap.com/sap/support/notes/1858891","1858891")</f>
        <v>1858891</v>
      </c>
      <c r="E4014">
        <v>1</v>
      </c>
      <c r="F4014" t="s">
        <v>3999</v>
      </c>
    </row>
    <row r="4015" spans="1:6" x14ac:dyDescent="0.25">
      <c r="A4015" t="s">
        <v>3849</v>
      </c>
      <c r="B4015" t="s">
        <v>337</v>
      </c>
      <c r="C4015" t="s">
        <v>48</v>
      </c>
      <c r="D4015" t="str">
        <f>HYPERLINK("http://service.sap.com/sap/support/notes/1840951","1840951")</f>
        <v>1840951</v>
      </c>
      <c r="E4015">
        <v>1</v>
      </c>
      <c r="F4015" t="s">
        <v>4193</v>
      </c>
    </row>
    <row r="4016" spans="1:6" x14ac:dyDescent="0.25">
      <c r="A4016" t="s">
        <v>3849</v>
      </c>
      <c r="B4016" t="s">
        <v>337</v>
      </c>
      <c r="C4016" t="s">
        <v>48</v>
      </c>
      <c r="D4016" t="str">
        <f>HYPERLINK("http://service.sap.com/sap/support/notes/1847564","1847564")</f>
        <v>1847564</v>
      </c>
      <c r="E4016">
        <v>1</v>
      </c>
      <c r="F4016" t="s">
        <v>4194</v>
      </c>
    </row>
    <row r="4017" spans="1:6" x14ac:dyDescent="0.25">
      <c r="A4017" t="s">
        <v>3849</v>
      </c>
      <c r="B4017" t="s">
        <v>337</v>
      </c>
      <c r="C4017" t="s">
        <v>48</v>
      </c>
      <c r="D4017" t="str">
        <f>HYPERLINK("http://service.sap.com/sap/support/notes/1855415","1855415")</f>
        <v>1855415</v>
      </c>
      <c r="E4017">
        <v>1</v>
      </c>
      <c r="F4017" t="s">
        <v>4195</v>
      </c>
    </row>
    <row r="4018" spans="1:6" x14ac:dyDescent="0.25">
      <c r="A4018" t="s">
        <v>3849</v>
      </c>
      <c r="B4018" t="s">
        <v>340</v>
      </c>
      <c r="C4018" t="s">
        <v>52</v>
      </c>
      <c r="D4018" t="str">
        <f>HYPERLINK("http://service.sap.com/sap/support/notes/1849402","1849402")</f>
        <v>1849402</v>
      </c>
      <c r="E4018">
        <v>4</v>
      </c>
      <c r="F4018" t="s">
        <v>4196</v>
      </c>
    </row>
    <row r="4019" spans="1:6" x14ac:dyDescent="0.25">
      <c r="A4019" t="s">
        <v>3849</v>
      </c>
      <c r="B4019" t="s">
        <v>340</v>
      </c>
      <c r="C4019" t="s">
        <v>52</v>
      </c>
      <c r="D4019" t="str">
        <f>HYPERLINK("http://service.sap.com/sap/support/notes/1850073","1850073")</f>
        <v>1850073</v>
      </c>
      <c r="E4019">
        <v>9</v>
      </c>
      <c r="F4019" t="s">
        <v>4197</v>
      </c>
    </row>
    <row r="4020" spans="1:6" x14ac:dyDescent="0.25">
      <c r="A4020" t="s">
        <v>3849</v>
      </c>
      <c r="B4020" t="s">
        <v>340</v>
      </c>
      <c r="C4020" t="s">
        <v>52</v>
      </c>
      <c r="D4020" t="str">
        <f>HYPERLINK("http://service.sap.com/sap/support/notes/1850256","1850256")</f>
        <v>1850256</v>
      </c>
      <c r="E4020">
        <v>2</v>
      </c>
      <c r="F4020" t="s">
        <v>4198</v>
      </c>
    </row>
    <row r="4021" spans="1:6" x14ac:dyDescent="0.25">
      <c r="A4021" t="s">
        <v>3849</v>
      </c>
      <c r="B4021" t="s">
        <v>340</v>
      </c>
      <c r="C4021" t="s">
        <v>52</v>
      </c>
      <c r="D4021" t="str">
        <f>HYPERLINK("http://service.sap.com/sap/support/notes/1851981","1851981")</f>
        <v>1851981</v>
      </c>
      <c r="E4021">
        <v>2</v>
      </c>
      <c r="F4021" t="s">
        <v>4199</v>
      </c>
    </row>
    <row r="4022" spans="1:6" x14ac:dyDescent="0.25">
      <c r="A4022" t="s">
        <v>3849</v>
      </c>
      <c r="B4022" t="s">
        <v>340</v>
      </c>
      <c r="C4022" t="s">
        <v>52</v>
      </c>
      <c r="D4022" t="str">
        <f>HYPERLINK("http://service.sap.com/sap/support/notes/1852119","1852119")</f>
        <v>1852119</v>
      </c>
      <c r="E4022">
        <v>1</v>
      </c>
      <c r="F4022" t="s">
        <v>4200</v>
      </c>
    </row>
    <row r="4023" spans="1:6" x14ac:dyDescent="0.25">
      <c r="A4023" t="s">
        <v>3849</v>
      </c>
      <c r="B4023" t="s">
        <v>340</v>
      </c>
      <c r="C4023" t="s">
        <v>52</v>
      </c>
      <c r="D4023" t="str">
        <f>HYPERLINK("http://service.sap.com/sap/support/notes/1854082","1854082")</f>
        <v>1854082</v>
      </c>
      <c r="E4023">
        <v>4</v>
      </c>
      <c r="F4023" t="s">
        <v>4201</v>
      </c>
    </row>
    <row r="4024" spans="1:6" x14ac:dyDescent="0.25">
      <c r="A4024" t="s">
        <v>3849</v>
      </c>
      <c r="B4024" t="s">
        <v>340</v>
      </c>
      <c r="C4024" t="s">
        <v>52</v>
      </c>
      <c r="D4024" t="str">
        <f>HYPERLINK("http://service.sap.com/sap/support/notes/1858365","1858365")</f>
        <v>1858365</v>
      </c>
      <c r="E4024">
        <v>6</v>
      </c>
      <c r="F4024" t="s">
        <v>4202</v>
      </c>
    </row>
    <row r="4025" spans="1:6" x14ac:dyDescent="0.25">
      <c r="A4025" t="s">
        <v>3849</v>
      </c>
      <c r="B4025" t="s">
        <v>344</v>
      </c>
      <c r="C4025" t="s">
        <v>345</v>
      </c>
      <c r="D4025" t="str">
        <f>HYPERLINK("http://service.sap.com/sap/support/notes/1838664","1838664")</f>
        <v>1838664</v>
      </c>
      <c r="E4025">
        <v>6</v>
      </c>
      <c r="F4025" t="s">
        <v>4203</v>
      </c>
    </row>
    <row r="4026" spans="1:6" x14ac:dyDescent="0.25">
      <c r="A4026" t="s">
        <v>3849</v>
      </c>
      <c r="B4026" t="s">
        <v>344</v>
      </c>
      <c r="C4026" t="s">
        <v>345</v>
      </c>
      <c r="D4026" t="str">
        <f>HYPERLINK("http://service.sap.com/sap/support/notes/1841874","1841874")</f>
        <v>1841874</v>
      </c>
      <c r="E4026">
        <v>2</v>
      </c>
      <c r="F4026" t="s">
        <v>4204</v>
      </c>
    </row>
    <row r="4027" spans="1:6" x14ac:dyDescent="0.25">
      <c r="A4027" t="s">
        <v>3849</v>
      </c>
      <c r="B4027" t="s">
        <v>344</v>
      </c>
      <c r="C4027" t="s">
        <v>345</v>
      </c>
      <c r="D4027" t="str">
        <f>HYPERLINK("http://service.sap.com/sap/support/notes/1849780","1849780")</f>
        <v>1849780</v>
      </c>
      <c r="E4027">
        <v>1</v>
      </c>
      <c r="F4027" t="s">
        <v>4205</v>
      </c>
    </row>
    <row r="4028" spans="1:6" x14ac:dyDescent="0.25">
      <c r="A4028" t="s">
        <v>3849</v>
      </c>
      <c r="B4028" t="s">
        <v>344</v>
      </c>
      <c r="C4028" t="s">
        <v>345</v>
      </c>
      <c r="D4028" t="str">
        <f>HYPERLINK("http://service.sap.com/sap/support/notes/1851101","1851101")</f>
        <v>1851101</v>
      </c>
      <c r="E4028">
        <v>1</v>
      </c>
      <c r="F4028" t="s">
        <v>4206</v>
      </c>
    </row>
    <row r="4029" spans="1:6" x14ac:dyDescent="0.25">
      <c r="A4029" t="s">
        <v>3849</v>
      </c>
      <c r="B4029" t="s">
        <v>344</v>
      </c>
      <c r="C4029" t="s">
        <v>345</v>
      </c>
      <c r="D4029" t="str">
        <f>HYPERLINK("http://service.sap.com/sap/support/notes/1851267","1851267")</f>
        <v>1851267</v>
      </c>
      <c r="E4029">
        <v>3</v>
      </c>
      <c r="F4029" t="s">
        <v>4207</v>
      </c>
    </row>
    <row r="4030" spans="1:6" x14ac:dyDescent="0.25">
      <c r="A4030" t="s">
        <v>3849</v>
      </c>
      <c r="B4030" t="s">
        <v>350</v>
      </c>
      <c r="C4030" t="s">
        <v>351</v>
      </c>
      <c r="D4030" t="str">
        <f>HYPERLINK("http://service.sap.com/sap/support/notes/645372","645372")</f>
        <v>645372</v>
      </c>
      <c r="E4030">
        <v>1</v>
      </c>
      <c r="F4030" t="s">
        <v>4208</v>
      </c>
    </row>
    <row r="4031" spans="1:6" x14ac:dyDescent="0.25">
      <c r="A4031" t="s">
        <v>3849</v>
      </c>
      <c r="B4031" t="s">
        <v>350</v>
      </c>
      <c r="C4031" t="s">
        <v>351</v>
      </c>
      <c r="D4031" t="str">
        <f>HYPERLINK("http://service.sap.com/sap/support/notes/1836919","1836919")</f>
        <v>1836919</v>
      </c>
      <c r="E4031">
        <v>3</v>
      </c>
      <c r="F4031" t="s">
        <v>4209</v>
      </c>
    </row>
    <row r="4032" spans="1:6" x14ac:dyDescent="0.25">
      <c r="A4032" t="s">
        <v>3849</v>
      </c>
      <c r="B4032" t="s">
        <v>350</v>
      </c>
      <c r="C4032" t="s">
        <v>351</v>
      </c>
      <c r="D4032" t="str">
        <f>HYPERLINK("http://service.sap.com/sap/support/notes/1857432","1857432")</f>
        <v>1857432</v>
      </c>
      <c r="E4032">
        <v>1</v>
      </c>
      <c r="F4032" t="s">
        <v>4210</v>
      </c>
    </row>
    <row r="4033" spans="1:6" x14ac:dyDescent="0.25">
      <c r="A4033" t="s">
        <v>3849</v>
      </c>
      <c r="B4033" t="s">
        <v>350</v>
      </c>
      <c r="C4033" t="s">
        <v>351</v>
      </c>
      <c r="D4033" t="str">
        <f>HYPERLINK("http://service.sap.com/sap/support/notes/1859133","1859133")</f>
        <v>1859133</v>
      </c>
      <c r="E4033">
        <v>1</v>
      </c>
      <c r="F4033" t="s">
        <v>3118</v>
      </c>
    </row>
    <row r="4034" spans="1:6" x14ac:dyDescent="0.25">
      <c r="A4034" t="s">
        <v>3849</v>
      </c>
      <c r="B4034" t="s">
        <v>356</v>
      </c>
      <c r="C4034" t="s">
        <v>55</v>
      </c>
      <c r="D4034" t="str">
        <f>HYPERLINK("http://service.sap.com/sap/support/notes/1821963","1821963")</f>
        <v>1821963</v>
      </c>
      <c r="E4034">
        <v>2</v>
      </c>
      <c r="F4034" t="s">
        <v>4211</v>
      </c>
    </row>
    <row r="4035" spans="1:6" x14ac:dyDescent="0.25">
      <c r="A4035" t="s">
        <v>3849</v>
      </c>
      <c r="B4035" t="s">
        <v>356</v>
      </c>
      <c r="C4035" t="s">
        <v>55</v>
      </c>
      <c r="D4035" t="str">
        <f>HYPERLINK("http://service.sap.com/sap/support/notes/1827544","1827544")</f>
        <v>1827544</v>
      </c>
      <c r="E4035">
        <v>1</v>
      </c>
      <c r="F4035" t="s">
        <v>4212</v>
      </c>
    </row>
    <row r="4036" spans="1:6" x14ac:dyDescent="0.25">
      <c r="A4036" t="s">
        <v>3849</v>
      </c>
      <c r="B4036" t="s">
        <v>356</v>
      </c>
      <c r="C4036" t="s">
        <v>55</v>
      </c>
      <c r="D4036" t="str">
        <f>HYPERLINK("http://service.sap.com/sap/support/notes/1829617","1829617")</f>
        <v>1829617</v>
      </c>
      <c r="E4036">
        <v>7</v>
      </c>
      <c r="F4036" t="s">
        <v>4213</v>
      </c>
    </row>
    <row r="4037" spans="1:6" x14ac:dyDescent="0.25">
      <c r="A4037" t="s">
        <v>3849</v>
      </c>
      <c r="B4037" t="s">
        <v>356</v>
      </c>
      <c r="C4037" t="s">
        <v>55</v>
      </c>
      <c r="D4037" t="str">
        <f>HYPERLINK("http://service.sap.com/sap/support/notes/1831291","1831291")</f>
        <v>1831291</v>
      </c>
      <c r="E4037">
        <v>1</v>
      </c>
      <c r="F4037" t="s">
        <v>4214</v>
      </c>
    </row>
    <row r="4038" spans="1:6" x14ac:dyDescent="0.25">
      <c r="A4038" t="s">
        <v>3849</v>
      </c>
      <c r="B4038" t="s">
        <v>356</v>
      </c>
      <c r="C4038" t="s">
        <v>55</v>
      </c>
      <c r="D4038" t="str">
        <f>HYPERLINK("http://service.sap.com/sap/support/notes/1839045","1839045")</f>
        <v>1839045</v>
      </c>
      <c r="E4038">
        <v>2</v>
      </c>
      <c r="F4038" t="s">
        <v>4215</v>
      </c>
    </row>
    <row r="4039" spans="1:6" x14ac:dyDescent="0.25">
      <c r="A4039" t="s">
        <v>3849</v>
      </c>
      <c r="B4039" t="s">
        <v>356</v>
      </c>
      <c r="C4039" t="s">
        <v>55</v>
      </c>
      <c r="D4039" t="str">
        <f>HYPERLINK("http://service.sap.com/sap/support/notes/1855076","1855076")</f>
        <v>1855076</v>
      </c>
      <c r="E4039">
        <v>1</v>
      </c>
      <c r="F4039" t="s">
        <v>4216</v>
      </c>
    </row>
    <row r="4040" spans="1:6" x14ac:dyDescent="0.25">
      <c r="A4040" t="s">
        <v>3849</v>
      </c>
      <c r="B4040" t="s">
        <v>356</v>
      </c>
      <c r="C4040" t="s">
        <v>55</v>
      </c>
      <c r="D4040" t="str">
        <f>HYPERLINK("http://service.sap.com/sap/support/notes/1855573","1855573")</f>
        <v>1855573</v>
      </c>
      <c r="E4040">
        <v>2</v>
      </c>
      <c r="F4040" t="s">
        <v>4217</v>
      </c>
    </row>
    <row r="4041" spans="1:6" x14ac:dyDescent="0.25">
      <c r="A4041" t="s">
        <v>3849</v>
      </c>
      <c r="B4041" t="s">
        <v>356</v>
      </c>
      <c r="C4041" t="s">
        <v>55</v>
      </c>
      <c r="D4041" t="str">
        <f>HYPERLINK("http://service.sap.com/sap/support/notes/1859922","1859922")</f>
        <v>1859922</v>
      </c>
      <c r="E4041">
        <v>1</v>
      </c>
      <c r="F4041" t="s">
        <v>4218</v>
      </c>
    </row>
    <row r="4042" spans="1:6" x14ac:dyDescent="0.25">
      <c r="A4042" t="s">
        <v>3849</v>
      </c>
      <c r="B4042" t="s">
        <v>362</v>
      </c>
      <c r="C4042" t="s">
        <v>363</v>
      </c>
      <c r="D4042" t="str">
        <f>HYPERLINK("http://service.sap.com/sap/support/notes/1827111","1827111")</f>
        <v>1827111</v>
      </c>
      <c r="E4042">
        <v>4</v>
      </c>
      <c r="F4042" t="s">
        <v>4219</v>
      </c>
    </row>
    <row r="4043" spans="1:6" x14ac:dyDescent="0.25">
      <c r="A4043" t="s">
        <v>3849</v>
      </c>
      <c r="B4043" t="s">
        <v>362</v>
      </c>
      <c r="C4043" t="s">
        <v>363</v>
      </c>
      <c r="D4043" t="str">
        <f>HYPERLINK("http://service.sap.com/sap/support/notes/1837261","1837261")</f>
        <v>1837261</v>
      </c>
      <c r="E4043">
        <v>1</v>
      </c>
      <c r="F4043" t="s">
        <v>4220</v>
      </c>
    </row>
    <row r="4044" spans="1:6" x14ac:dyDescent="0.25">
      <c r="A4044" t="s">
        <v>3849</v>
      </c>
      <c r="B4044" t="s">
        <v>362</v>
      </c>
      <c r="C4044" t="s">
        <v>363</v>
      </c>
      <c r="D4044" t="str">
        <f>HYPERLINK("http://service.sap.com/sap/support/notes/1841656","1841656")</f>
        <v>1841656</v>
      </c>
      <c r="E4044">
        <v>3</v>
      </c>
      <c r="F4044" t="s">
        <v>3682</v>
      </c>
    </row>
    <row r="4045" spans="1:6" x14ac:dyDescent="0.25">
      <c r="A4045" t="s">
        <v>3849</v>
      </c>
      <c r="B4045" t="s">
        <v>362</v>
      </c>
      <c r="C4045" t="s">
        <v>363</v>
      </c>
      <c r="D4045" t="str">
        <f>HYPERLINK("http://service.sap.com/sap/support/notes/1841777","1841777")</f>
        <v>1841777</v>
      </c>
      <c r="E4045">
        <v>5</v>
      </c>
      <c r="F4045" t="s">
        <v>4221</v>
      </c>
    </row>
    <row r="4046" spans="1:6" x14ac:dyDescent="0.25">
      <c r="A4046" t="s">
        <v>3849</v>
      </c>
      <c r="B4046" t="s">
        <v>362</v>
      </c>
      <c r="C4046" t="s">
        <v>363</v>
      </c>
      <c r="D4046" t="str">
        <f>HYPERLINK("http://service.sap.com/sap/support/notes/1849285","1849285")</f>
        <v>1849285</v>
      </c>
      <c r="E4046">
        <v>2</v>
      </c>
      <c r="F4046" t="s">
        <v>3687</v>
      </c>
    </row>
    <row r="4047" spans="1:6" x14ac:dyDescent="0.25">
      <c r="A4047" t="s">
        <v>3849</v>
      </c>
      <c r="B4047" t="s">
        <v>362</v>
      </c>
      <c r="C4047" t="s">
        <v>363</v>
      </c>
      <c r="D4047" t="str">
        <f>HYPERLINK("http://service.sap.com/sap/support/notes/1850421","1850421")</f>
        <v>1850421</v>
      </c>
      <c r="E4047">
        <v>1</v>
      </c>
      <c r="F4047" t="s">
        <v>4222</v>
      </c>
    </row>
    <row r="4048" spans="1:6" x14ac:dyDescent="0.25">
      <c r="A4048" t="s">
        <v>3849</v>
      </c>
      <c r="B4048" t="s">
        <v>362</v>
      </c>
      <c r="C4048" t="s">
        <v>363</v>
      </c>
      <c r="D4048" t="str">
        <f>HYPERLINK("http://service.sap.com/sap/support/notes/1852422","1852422")</f>
        <v>1852422</v>
      </c>
      <c r="E4048">
        <v>2</v>
      </c>
      <c r="F4048" t="s">
        <v>4223</v>
      </c>
    </row>
    <row r="4049" spans="1:6" x14ac:dyDescent="0.25">
      <c r="A4049" t="s">
        <v>3849</v>
      </c>
      <c r="B4049" t="s">
        <v>362</v>
      </c>
      <c r="C4049" t="s">
        <v>363</v>
      </c>
      <c r="D4049" t="str">
        <f>HYPERLINK("http://service.sap.com/sap/support/notes/1853086","1853086")</f>
        <v>1853086</v>
      </c>
      <c r="E4049">
        <v>1</v>
      </c>
      <c r="F4049" t="s">
        <v>4224</v>
      </c>
    </row>
    <row r="4050" spans="1:6" x14ac:dyDescent="0.25">
      <c r="A4050" t="s">
        <v>3849</v>
      </c>
      <c r="B4050" t="s">
        <v>362</v>
      </c>
      <c r="C4050" t="s">
        <v>363</v>
      </c>
      <c r="D4050" t="str">
        <f>HYPERLINK("http://service.sap.com/sap/support/notes/1857603","1857603")</f>
        <v>1857603</v>
      </c>
      <c r="E4050">
        <v>1</v>
      </c>
      <c r="F4050" t="s">
        <v>4225</v>
      </c>
    </row>
    <row r="4051" spans="1:6" x14ac:dyDescent="0.25">
      <c r="A4051" t="s">
        <v>3849</v>
      </c>
      <c r="B4051" t="s">
        <v>362</v>
      </c>
      <c r="C4051" t="s">
        <v>363</v>
      </c>
      <c r="D4051" t="str">
        <f>HYPERLINK("http://service.sap.com/sap/support/notes/1857717","1857717")</f>
        <v>1857717</v>
      </c>
      <c r="E4051">
        <v>2</v>
      </c>
      <c r="F4051" t="s">
        <v>4226</v>
      </c>
    </row>
    <row r="4052" spans="1:6" x14ac:dyDescent="0.25">
      <c r="A4052" t="s">
        <v>3849</v>
      </c>
      <c r="B4052" t="s">
        <v>362</v>
      </c>
      <c r="C4052" t="s">
        <v>363</v>
      </c>
      <c r="D4052" t="str">
        <f>HYPERLINK("http://service.sap.com/sap/support/notes/1858633","1858633")</f>
        <v>1858633</v>
      </c>
      <c r="E4052">
        <v>2</v>
      </c>
      <c r="F4052" t="s">
        <v>4227</v>
      </c>
    </row>
    <row r="4053" spans="1:6" x14ac:dyDescent="0.25">
      <c r="A4053" t="s">
        <v>3849</v>
      </c>
      <c r="B4053" t="s">
        <v>362</v>
      </c>
      <c r="C4053" t="s">
        <v>363</v>
      </c>
      <c r="D4053" t="str">
        <f>HYPERLINK("http://service.sap.com/sap/support/notes/1858634","1858634")</f>
        <v>1858634</v>
      </c>
      <c r="E4053">
        <v>2</v>
      </c>
      <c r="F4053" t="s">
        <v>4228</v>
      </c>
    </row>
    <row r="4054" spans="1:6" x14ac:dyDescent="0.25">
      <c r="A4054" t="s">
        <v>3849</v>
      </c>
      <c r="B4054" t="s">
        <v>362</v>
      </c>
      <c r="C4054" t="s">
        <v>363</v>
      </c>
      <c r="D4054" t="str">
        <f>HYPERLINK("http://service.sap.com/sap/support/notes/1859214","1859214")</f>
        <v>1859214</v>
      </c>
      <c r="E4054">
        <v>1</v>
      </c>
      <c r="F4054" t="s">
        <v>4229</v>
      </c>
    </row>
    <row r="4055" spans="1:6" x14ac:dyDescent="0.25">
      <c r="A4055" t="s">
        <v>3849</v>
      </c>
      <c r="B4055" t="s">
        <v>362</v>
      </c>
      <c r="C4055" t="s">
        <v>363</v>
      </c>
      <c r="D4055" t="str">
        <f>HYPERLINK("http://service.sap.com/sap/support/notes/1864344","1864344")</f>
        <v>1864344</v>
      </c>
      <c r="E4055">
        <v>2</v>
      </c>
      <c r="F4055" t="s">
        <v>4230</v>
      </c>
    </row>
    <row r="4056" spans="1:6" x14ac:dyDescent="0.25">
      <c r="A4056" t="s">
        <v>3849</v>
      </c>
      <c r="B4056" t="s">
        <v>379</v>
      </c>
      <c r="C4056" t="s">
        <v>1356</v>
      </c>
      <c r="D4056" t="str">
        <f>HYPERLINK("http://service.sap.com/sap/support/notes/1843749","1843749")</f>
        <v>1843749</v>
      </c>
      <c r="E4056">
        <v>3</v>
      </c>
      <c r="F4056" t="s">
        <v>3688</v>
      </c>
    </row>
    <row r="4057" spans="1:6" x14ac:dyDescent="0.25">
      <c r="A4057" t="s">
        <v>3849</v>
      </c>
      <c r="B4057" t="s">
        <v>379</v>
      </c>
      <c r="C4057" t="s">
        <v>1356</v>
      </c>
      <c r="D4057" t="str">
        <f>HYPERLINK("http://service.sap.com/sap/support/notes/1851470","1851470")</f>
        <v>1851470</v>
      </c>
      <c r="E4057">
        <v>3</v>
      </c>
      <c r="F4057" t="s">
        <v>4231</v>
      </c>
    </row>
    <row r="4058" spans="1:6" x14ac:dyDescent="0.25">
      <c r="A4058" t="s">
        <v>3849</v>
      </c>
      <c r="B4058" t="s">
        <v>384</v>
      </c>
      <c r="C4058" t="s">
        <v>595</v>
      </c>
      <c r="D4058" t="str">
        <f>HYPERLINK("http://service.sap.com/sap/support/notes/1640083","1640083")</f>
        <v>1640083</v>
      </c>
      <c r="E4058">
        <v>2</v>
      </c>
      <c r="F4058" t="s">
        <v>4232</v>
      </c>
    </row>
    <row r="4059" spans="1:6" x14ac:dyDescent="0.25">
      <c r="A4059" t="s">
        <v>3849</v>
      </c>
      <c r="B4059" t="s">
        <v>384</v>
      </c>
      <c r="C4059" t="s">
        <v>595</v>
      </c>
      <c r="D4059" t="str">
        <f>HYPERLINK("http://service.sap.com/sap/support/notes/1724017","1724017")</f>
        <v>1724017</v>
      </c>
      <c r="E4059">
        <v>1</v>
      </c>
      <c r="F4059" t="s">
        <v>387</v>
      </c>
    </row>
    <row r="4060" spans="1:6" x14ac:dyDescent="0.25">
      <c r="A4060" t="s">
        <v>3849</v>
      </c>
      <c r="B4060" t="s">
        <v>384</v>
      </c>
      <c r="C4060" t="s">
        <v>595</v>
      </c>
      <c r="D4060" t="str">
        <f>HYPERLINK("http://service.sap.com/sap/support/notes/1848144","1848144")</f>
        <v>1848144</v>
      </c>
      <c r="E4060">
        <v>1</v>
      </c>
      <c r="F4060" t="s">
        <v>4233</v>
      </c>
    </row>
    <row r="4061" spans="1:6" x14ac:dyDescent="0.25">
      <c r="A4061" t="s">
        <v>3849</v>
      </c>
      <c r="B4061" t="s">
        <v>384</v>
      </c>
      <c r="C4061" t="s">
        <v>595</v>
      </c>
      <c r="D4061" t="str">
        <f>HYPERLINK("http://service.sap.com/sap/support/notes/1855503","1855503")</f>
        <v>1855503</v>
      </c>
      <c r="E4061">
        <v>1</v>
      </c>
      <c r="F4061" t="s">
        <v>4234</v>
      </c>
    </row>
    <row r="4062" spans="1:6" x14ac:dyDescent="0.25">
      <c r="A4062" t="s">
        <v>3849</v>
      </c>
      <c r="B4062" t="s">
        <v>384</v>
      </c>
      <c r="C4062" t="s">
        <v>595</v>
      </c>
      <c r="D4062" t="str">
        <f>HYPERLINK("http://service.sap.com/sap/support/notes/1860907","1860907")</f>
        <v>1860907</v>
      </c>
      <c r="E4062">
        <v>2</v>
      </c>
      <c r="F4062" t="s">
        <v>4235</v>
      </c>
    </row>
    <row r="4063" spans="1:6" x14ac:dyDescent="0.25">
      <c r="A4063" t="s">
        <v>3849</v>
      </c>
      <c r="B4063" t="s">
        <v>384</v>
      </c>
      <c r="C4063" t="s">
        <v>595</v>
      </c>
      <c r="D4063" t="str">
        <f>HYPERLINK("http://service.sap.com/sap/support/notes/1861991","1861991")</f>
        <v>1861991</v>
      </c>
      <c r="E4063">
        <v>4</v>
      </c>
      <c r="F4063" t="s">
        <v>4236</v>
      </c>
    </row>
    <row r="4064" spans="1:6" x14ac:dyDescent="0.25">
      <c r="A4064" t="s">
        <v>3849</v>
      </c>
      <c r="B4064" t="s">
        <v>384</v>
      </c>
      <c r="C4064" t="s">
        <v>595</v>
      </c>
      <c r="D4064" t="str">
        <f>HYPERLINK("http://service.sap.com/sap/support/notes/1862162","1862162")</f>
        <v>1862162</v>
      </c>
      <c r="E4064">
        <v>2</v>
      </c>
      <c r="F4064" t="s">
        <v>4237</v>
      </c>
    </row>
    <row r="4065" spans="1:6" x14ac:dyDescent="0.25">
      <c r="A4065" t="s">
        <v>3849</v>
      </c>
      <c r="B4065" t="s">
        <v>395</v>
      </c>
      <c r="C4065" t="s">
        <v>396</v>
      </c>
      <c r="D4065" t="str">
        <f>HYPERLINK("http://service.sap.com/sap/support/notes/1836350","1836350")</f>
        <v>1836350</v>
      </c>
      <c r="E4065">
        <v>2</v>
      </c>
      <c r="F4065" t="s">
        <v>4238</v>
      </c>
    </row>
    <row r="4066" spans="1:6" x14ac:dyDescent="0.25">
      <c r="A4066" t="s">
        <v>3849</v>
      </c>
      <c r="B4066" t="s">
        <v>395</v>
      </c>
      <c r="C4066" t="s">
        <v>396</v>
      </c>
      <c r="D4066" t="str">
        <f>HYPERLINK("http://service.sap.com/sap/support/notes/1843881","1843881")</f>
        <v>1843881</v>
      </c>
      <c r="E4066">
        <v>2</v>
      </c>
      <c r="F4066" t="s">
        <v>4239</v>
      </c>
    </row>
    <row r="4067" spans="1:6" x14ac:dyDescent="0.25">
      <c r="A4067" t="s">
        <v>3849</v>
      </c>
      <c r="B4067" t="s">
        <v>395</v>
      </c>
      <c r="C4067" t="s">
        <v>396</v>
      </c>
      <c r="D4067" t="str">
        <f>HYPERLINK("http://service.sap.com/sap/support/notes/1844572","1844572")</f>
        <v>1844572</v>
      </c>
      <c r="E4067">
        <v>2</v>
      </c>
      <c r="F4067" t="s">
        <v>4240</v>
      </c>
    </row>
    <row r="4068" spans="1:6" x14ac:dyDescent="0.25">
      <c r="A4068" t="s">
        <v>3849</v>
      </c>
      <c r="B4068" t="s">
        <v>395</v>
      </c>
      <c r="C4068" t="s">
        <v>396</v>
      </c>
      <c r="D4068" t="str">
        <f>HYPERLINK("http://service.sap.com/sap/support/notes/1851397","1851397")</f>
        <v>1851397</v>
      </c>
      <c r="E4068">
        <v>1</v>
      </c>
      <c r="F4068" t="s">
        <v>4241</v>
      </c>
    </row>
    <row r="4069" spans="1:6" x14ac:dyDescent="0.25">
      <c r="A4069" t="s">
        <v>3849</v>
      </c>
      <c r="B4069" t="s">
        <v>395</v>
      </c>
      <c r="C4069" t="s">
        <v>396</v>
      </c>
      <c r="D4069" t="str">
        <f>HYPERLINK("http://service.sap.com/sap/support/notes/1853005","1853005")</f>
        <v>1853005</v>
      </c>
      <c r="E4069">
        <v>3</v>
      </c>
      <c r="F4069" t="s">
        <v>4242</v>
      </c>
    </row>
    <row r="4070" spans="1:6" x14ac:dyDescent="0.25">
      <c r="A4070" t="s">
        <v>3849</v>
      </c>
      <c r="B4070" t="s">
        <v>395</v>
      </c>
      <c r="C4070" t="s">
        <v>396</v>
      </c>
      <c r="D4070" t="str">
        <f>HYPERLINK("http://service.sap.com/sap/support/notes/1853373","1853373")</f>
        <v>1853373</v>
      </c>
      <c r="E4070">
        <v>1</v>
      </c>
      <c r="F4070" t="s">
        <v>4243</v>
      </c>
    </row>
    <row r="4071" spans="1:6" x14ac:dyDescent="0.25">
      <c r="A4071" t="s">
        <v>3849</v>
      </c>
      <c r="B4071" t="s">
        <v>395</v>
      </c>
      <c r="C4071" t="s">
        <v>396</v>
      </c>
      <c r="D4071" t="str">
        <f>HYPERLINK("http://service.sap.com/sap/support/notes/1857542","1857542")</f>
        <v>1857542</v>
      </c>
      <c r="E4071">
        <v>1</v>
      </c>
      <c r="F4071" t="s">
        <v>4244</v>
      </c>
    </row>
    <row r="4072" spans="1:6" x14ac:dyDescent="0.25">
      <c r="A4072" t="s">
        <v>3849</v>
      </c>
      <c r="B4072" t="s">
        <v>395</v>
      </c>
      <c r="C4072" t="s">
        <v>396</v>
      </c>
      <c r="D4072" t="str">
        <f>HYPERLINK("http://service.sap.com/sap/support/notes/1860452","1860452")</f>
        <v>1860452</v>
      </c>
      <c r="E4072">
        <v>1</v>
      </c>
      <c r="F4072" t="s">
        <v>4245</v>
      </c>
    </row>
    <row r="4073" spans="1:6" x14ac:dyDescent="0.25">
      <c r="A4073" t="s">
        <v>3849</v>
      </c>
      <c r="B4073" t="s">
        <v>395</v>
      </c>
      <c r="C4073" t="s">
        <v>396</v>
      </c>
      <c r="D4073" t="str">
        <f>HYPERLINK("http://service.sap.com/sap/support/notes/1862181","1862181")</f>
        <v>1862181</v>
      </c>
      <c r="E4073">
        <v>1</v>
      </c>
      <c r="F4073" t="s">
        <v>4246</v>
      </c>
    </row>
    <row r="4074" spans="1:6" x14ac:dyDescent="0.25">
      <c r="A4074" t="s">
        <v>3849</v>
      </c>
      <c r="B4074" t="s">
        <v>402</v>
      </c>
      <c r="C4074" t="s">
        <v>403</v>
      </c>
      <c r="D4074" t="str">
        <f>HYPERLINK("http://service.sap.com/sap/support/notes/1780077","1780077")</f>
        <v>1780077</v>
      </c>
      <c r="E4074">
        <v>5</v>
      </c>
      <c r="F4074" t="s">
        <v>1379</v>
      </c>
    </row>
    <row r="4075" spans="1:6" x14ac:dyDescent="0.25">
      <c r="A4075" t="s">
        <v>3849</v>
      </c>
      <c r="B4075" t="s">
        <v>402</v>
      </c>
      <c r="C4075" t="s">
        <v>403</v>
      </c>
      <c r="D4075" t="str">
        <f>HYPERLINK("http://service.sap.com/sap/support/notes/1814796","1814796")</f>
        <v>1814796</v>
      </c>
      <c r="E4075">
        <v>1</v>
      </c>
      <c r="F4075" t="s">
        <v>4247</v>
      </c>
    </row>
    <row r="4076" spans="1:6" x14ac:dyDescent="0.25">
      <c r="A4076" t="s">
        <v>3849</v>
      </c>
      <c r="B4076" t="s">
        <v>406</v>
      </c>
      <c r="C4076" t="s">
        <v>407</v>
      </c>
      <c r="D4076" t="str">
        <f>HYPERLINK("http://service.sap.com/sap/support/notes/1060820","1060820")</f>
        <v>1060820</v>
      </c>
      <c r="E4076">
        <v>1</v>
      </c>
      <c r="F4076" t="s">
        <v>596</v>
      </c>
    </row>
    <row r="4077" spans="1:6" x14ac:dyDescent="0.25">
      <c r="A4077" t="s">
        <v>3849</v>
      </c>
      <c r="B4077" t="s">
        <v>406</v>
      </c>
      <c r="C4077" t="s">
        <v>407</v>
      </c>
      <c r="D4077" t="str">
        <f>HYPERLINK("http://service.sap.com/sap/support/notes/1815767","1815767")</f>
        <v>1815767</v>
      </c>
      <c r="E4077">
        <v>2</v>
      </c>
      <c r="F4077" t="s">
        <v>4248</v>
      </c>
    </row>
    <row r="4078" spans="1:6" x14ac:dyDescent="0.25">
      <c r="A4078" t="s">
        <v>3849</v>
      </c>
      <c r="B4078" t="s">
        <v>406</v>
      </c>
      <c r="C4078" t="s">
        <v>407</v>
      </c>
      <c r="D4078" t="str">
        <f>HYPERLINK("http://service.sap.com/sap/support/notes/1826676","1826676")</f>
        <v>1826676</v>
      </c>
      <c r="E4078">
        <v>10</v>
      </c>
      <c r="F4078" t="s">
        <v>4249</v>
      </c>
    </row>
    <row r="4079" spans="1:6" x14ac:dyDescent="0.25">
      <c r="A4079" t="s">
        <v>3849</v>
      </c>
      <c r="B4079" t="s">
        <v>406</v>
      </c>
      <c r="C4079" t="s">
        <v>407</v>
      </c>
      <c r="D4079" t="str">
        <f>HYPERLINK("http://service.sap.com/sap/support/notes/1828279","1828279")</f>
        <v>1828279</v>
      </c>
      <c r="E4079">
        <v>4</v>
      </c>
      <c r="F4079" t="s">
        <v>4250</v>
      </c>
    </row>
    <row r="4080" spans="1:6" x14ac:dyDescent="0.25">
      <c r="A4080" t="s">
        <v>3849</v>
      </c>
      <c r="B4080" t="s">
        <v>406</v>
      </c>
      <c r="C4080" t="s">
        <v>407</v>
      </c>
      <c r="D4080" t="str">
        <f>HYPERLINK("http://service.sap.com/sap/support/notes/1835505","1835505")</f>
        <v>1835505</v>
      </c>
      <c r="E4080">
        <v>5</v>
      </c>
      <c r="F4080" t="s">
        <v>4251</v>
      </c>
    </row>
    <row r="4081" spans="1:6" x14ac:dyDescent="0.25">
      <c r="A4081" t="s">
        <v>3849</v>
      </c>
      <c r="B4081" t="s">
        <v>406</v>
      </c>
      <c r="C4081" t="s">
        <v>407</v>
      </c>
      <c r="D4081" t="str">
        <f>HYPERLINK("http://service.sap.com/sap/support/notes/1839839","1839839")</f>
        <v>1839839</v>
      </c>
      <c r="E4081">
        <v>8</v>
      </c>
      <c r="F4081" t="s">
        <v>4252</v>
      </c>
    </row>
    <row r="4082" spans="1:6" x14ac:dyDescent="0.25">
      <c r="A4082" t="s">
        <v>3849</v>
      </c>
      <c r="B4082" t="s">
        <v>406</v>
      </c>
      <c r="C4082" t="s">
        <v>407</v>
      </c>
      <c r="D4082" t="str">
        <f>HYPERLINK("http://service.sap.com/sap/support/notes/1846874","1846874")</f>
        <v>1846874</v>
      </c>
      <c r="E4082">
        <v>4</v>
      </c>
      <c r="F4082" t="s">
        <v>4253</v>
      </c>
    </row>
    <row r="4083" spans="1:6" x14ac:dyDescent="0.25">
      <c r="A4083" t="s">
        <v>3849</v>
      </c>
      <c r="B4083" t="s">
        <v>406</v>
      </c>
      <c r="C4083" t="s">
        <v>407</v>
      </c>
      <c r="D4083" t="str">
        <f>HYPERLINK("http://service.sap.com/sap/support/notes/1858963","1858963")</f>
        <v>1858963</v>
      </c>
      <c r="E4083">
        <v>1</v>
      </c>
      <c r="F4083" t="s">
        <v>3999</v>
      </c>
    </row>
    <row r="4084" spans="1:6" x14ac:dyDescent="0.25">
      <c r="A4084" t="s">
        <v>3849</v>
      </c>
      <c r="B4084" t="s">
        <v>409</v>
      </c>
      <c r="C4084" t="s">
        <v>597</v>
      </c>
      <c r="D4084" t="str">
        <f>HYPERLINK("http://service.sap.com/sap/support/notes/1805747","1805747")</f>
        <v>1805747</v>
      </c>
      <c r="E4084">
        <v>9</v>
      </c>
      <c r="F4084" t="s">
        <v>4254</v>
      </c>
    </row>
    <row r="4085" spans="1:6" x14ac:dyDescent="0.25">
      <c r="A4085" t="s">
        <v>3849</v>
      </c>
      <c r="B4085" t="s">
        <v>409</v>
      </c>
      <c r="C4085" t="s">
        <v>597</v>
      </c>
      <c r="D4085" t="str">
        <f>HYPERLINK("http://service.sap.com/sap/support/notes/1810643","1810643")</f>
        <v>1810643</v>
      </c>
      <c r="E4085">
        <v>2</v>
      </c>
      <c r="F4085" t="s">
        <v>4255</v>
      </c>
    </row>
    <row r="4086" spans="1:6" x14ac:dyDescent="0.25">
      <c r="A4086" t="s">
        <v>3849</v>
      </c>
      <c r="B4086" t="s">
        <v>409</v>
      </c>
      <c r="C4086" t="s">
        <v>597</v>
      </c>
      <c r="D4086" t="str">
        <f>HYPERLINK("http://service.sap.com/sap/support/notes/1841362","1841362")</f>
        <v>1841362</v>
      </c>
      <c r="E4086">
        <v>12</v>
      </c>
      <c r="F4086" t="s">
        <v>4256</v>
      </c>
    </row>
    <row r="4087" spans="1:6" x14ac:dyDescent="0.25">
      <c r="A4087" t="s">
        <v>3849</v>
      </c>
      <c r="B4087" t="s">
        <v>409</v>
      </c>
      <c r="C4087" t="s">
        <v>597</v>
      </c>
      <c r="D4087" t="str">
        <f>HYPERLINK("http://service.sap.com/sap/support/notes/1847276","1847276")</f>
        <v>1847276</v>
      </c>
      <c r="E4087">
        <v>3</v>
      </c>
      <c r="F4087" t="s">
        <v>4257</v>
      </c>
    </row>
    <row r="4088" spans="1:6" x14ac:dyDescent="0.25">
      <c r="A4088" t="s">
        <v>3849</v>
      </c>
      <c r="B4088" t="s">
        <v>409</v>
      </c>
      <c r="C4088" t="s">
        <v>597</v>
      </c>
      <c r="D4088" t="str">
        <f>HYPERLINK("http://service.sap.com/sap/support/notes/1852577","1852577")</f>
        <v>1852577</v>
      </c>
      <c r="E4088">
        <v>2</v>
      </c>
      <c r="F4088" t="s">
        <v>4258</v>
      </c>
    </row>
    <row r="4089" spans="1:6" x14ac:dyDescent="0.25">
      <c r="A4089" t="s">
        <v>3849</v>
      </c>
      <c r="B4089" t="s">
        <v>409</v>
      </c>
      <c r="C4089" t="s">
        <v>597</v>
      </c>
      <c r="D4089" t="str">
        <f>HYPERLINK("http://service.sap.com/sap/support/notes/1853828","1853828")</f>
        <v>1853828</v>
      </c>
      <c r="E4089">
        <v>3</v>
      </c>
      <c r="F4089" t="s">
        <v>4259</v>
      </c>
    </row>
    <row r="4090" spans="1:6" x14ac:dyDescent="0.25">
      <c r="A4090" t="s">
        <v>3849</v>
      </c>
      <c r="B4090" t="s">
        <v>409</v>
      </c>
      <c r="C4090" t="s">
        <v>597</v>
      </c>
      <c r="D4090" t="str">
        <f>HYPERLINK("http://service.sap.com/sap/support/notes/1857333","1857333")</f>
        <v>1857333</v>
      </c>
      <c r="E4090">
        <v>5</v>
      </c>
      <c r="F4090" t="s">
        <v>4260</v>
      </c>
    </row>
    <row r="4091" spans="1:6" x14ac:dyDescent="0.25">
      <c r="A4091" t="s">
        <v>3849</v>
      </c>
      <c r="B4091" t="s">
        <v>418</v>
      </c>
      <c r="C4091" t="s">
        <v>61</v>
      </c>
      <c r="D4091" t="str">
        <f>HYPERLINK("http://service.sap.com/sap/support/notes/1811940","1811940")</f>
        <v>1811940</v>
      </c>
      <c r="E4091">
        <v>1</v>
      </c>
      <c r="F4091" t="s">
        <v>3720</v>
      </c>
    </row>
    <row r="4092" spans="1:6" x14ac:dyDescent="0.25">
      <c r="A4092" t="s">
        <v>3849</v>
      </c>
      <c r="B4092" t="s">
        <v>418</v>
      </c>
      <c r="C4092" t="s">
        <v>61</v>
      </c>
      <c r="D4092" t="str">
        <f>HYPERLINK("http://service.sap.com/sap/support/notes/1836403","1836403")</f>
        <v>1836403</v>
      </c>
      <c r="E4092">
        <v>1</v>
      </c>
      <c r="F4092" t="s">
        <v>4261</v>
      </c>
    </row>
    <row r="4093" spans="1:6" x14ac:dyDescent="0.25">
      <c r="A4093" t="s">
        <v>3849</v>
      </c>
      <c r="B4093" t="s">
        <v>418</v>
      </c>
      <c r="C4093" t="s">
        <v>61</v>
      </c>
      <c r="D4093" t="str">
        <f>HYPERLINK("http://service.sap.com/sap/support/notes/1850145","1850145")</f>
        <v>1850145</v>
      </c>
      <c r="E4093">
        <v>1</v>
      </c>
      <c r="F4093" t="s">
        <v>4262</v>
      </c>
    </row>
    <row r="4094" spans="1:6" x14ac:dyDescent="0.25">
      <c r="A4094" t="s">
        <v>3849</v>
      </c>
      <c r="B4094" t="s">
        <v>418</v>
      </c>
      <c r="C4094" t="s">
        <v>61</v>
      </c>
      <c r="D4094" t="str">
        <f>HYPERLINK("http://service.sap.com/sap/support/notes/1855524","1855524")</f>
        <v>1855524</v>
      </c>
      <c r="E4094">
        <v>1</v>
      </c>
      <c r="F4094" t="s">
        <v>4263</v>
      </c>
    </row>
    <row r="4095" spans="1:6" x14ac:dyDescent="0.25">
      <c r="A4095" t="s">
        <v>3849</v>
      </c>
      <c r="B4095" t="s">
        <v>418</v>
      </c>
      <c r="C4095" t="s">
        <v>61</v>
      </c>
      <c r="D4095" t="str">
        <f>HYPERLINK("http://service.sap.com/sap/support/notes/1859264","1859264")</f>
        <v>1859264</v>
      </c>
      <c r="E4095">
        <v>2</v>
      </c>
      <c r="F4095" t="s">
        <v>4264</v>
      </c>
    </row>
    <row r="4096" spans="1:6" x14ac:dyDescent="0.25">
      <c r="A4096" t="s">
        <v>3849</v>
      </c>
      <c r="B4096" t="s">
        <v>418</v>
      </c>
      <c r="C4096" t="s">
        <v>61</v>
      </c>
      <c r="D4096" t="str">
        <f>HYPERLINK("http://service.sap.com/sap/support/notes/1859895","1859895")</f>
        <v>1859895</v>
      </c>
      <c r="E4096">
        <v>1</v>
      </c>
      <c r="F4096" t="s">
        <v>4265</v>
      </c>
    </row>
    <row r="4097" spans="1:6" x14ac:dyDescent="0.25">
      <c r="A4097" t="s">
        <v>3849</v>
      </c>
      <c r="B4097" t="s">
        <v>418</v>
      </c>
      <c r="C4097" t="s">
        <v>61</v>
      </c>
      <c r="D4097" t="str">
        <f>HYPERLINK("http://service.sap.com/sap/support/notes/1861972","1861972")</f>
        <v>1861972</v>
      </c>
      <c r="E4097">
        <v>1</v>
      </c>
      <c r="F4097" t="s">
        <v>4236</v>
      </c>
    </row>
    <row r="4098" spans="1:6" x14ac:dyDescent="0.25">
      <c r="A4098" t="s">
        <v>3849</v>
      </c>
      <c r="B4098" t="s">
        <v>418</v>
      </c>
      <c r="C4098" t="s">
        <v>61</v>
      </c>
      <c r="D4098" t="str">
        <f>HYPERLINK("http://service.sap.com/sap/support/notes/1862981","1862981")</f>
        <v>1862981</v>
      </c>
      <c r="E4098">
        <v>1</v>
      </c>
      <c r="F4098" t="s">
        <v>4266</v>
      </c>
    </row>
    <row r="4099" spans="1:6" x14ac:dyDescent="0.25">
      <c r="A4099" t="s">
        <v>3849</v>
      </c>
      <c r="B4099" t="s">
        <v>423</v>
      </c>
      <c r="C4099" t="s">
        <v>598</v>
      </c>
      <c r="D4099" t="str">
        <f>HYPERLINK("http://service.sap.com/sap/support/notes/1824277","1824277")</f>
        <v>1824277</v>
      </c>
      <c r="E4099">
        <v>1</v>
      </c>
      <c r="F4099" t="s">
        <v>2765</v>
      </c>
    </row>
    <row r="4100" spans="1:6" x14ac:dyDescent="0.25">
      <c r="A4100" t="s">
        <v>3849</v>
      </c>
      <c r="B4100" t="s">
        <v>423</v>
      </c>
      <c r="C4100" t="s">
        <v>598</v>
      </c>
      <c r="D4100" t="str">
        <f>HYPERLINK("http://service.sap.com/sap/support/notes/1829564","1829564")</f>
        <v>1829564</v>
      </c>
      <c r="E4100">
        <v>2</v>
      </c>
      <c r="F4100" t="s">
        <v>3162</v>
      </c>
    </row>
    <row r="4101" spans="1:6" x14ac:dyDescent="0.25">
      <c r="A4101" t="s">
        <v>3849</v>
      </c>
      <c r="B4101" t="s">
        <v>423</v>
      </c>
      <c r="C4101" t="s">
        <v>598</v>
      </c>
      <c r="D4101" t="str">
        <f>HYPERLINK("http://service.sap.com/sap/support/notes/1841045","1841045")</f>
        <v>1841045</v>
      </c>
      <c r="E4101">
        <v>1</v>
      </c>
      <c r="F4101" t="s">
        <v>4267</v>
      </c>
    </row>
    <row r="4102" spans="1:6" x14ac:dyDescent="0.25">
      <c r="A4102" t="s">
        <v>3849</v>
      </c>
      <c r="B4102" t="s">
        <v>423</v>
      </c>
      <c r="C4102" t="s">
        <v>598</v>
      </c>
      <c r="D4102" t="str">
        <f>HYPERLINK("http://service.sap.com/sap/support/notes/1845275","1845275")</f>
        <v>1845275</v>
      </c>
      <c r="E4102">
        <v>8</v>
      </c>
      <c r="F4102" t="s">
        <v>3732</v>
      </c>
    </row>
    <row r="4103" spans="1:6" x14ac:dyDescent="0.25">
      <c r="A4103" t="s">
        <v>3849</v>
      </c>
      <c r="B4103" t="s">
        <v>423</v>
      </c>
      <c r="C4103" t="s">
        <v>598</v>
      </c>
      <c r="D4103" t="str">
        <f>HYPERLINK("http://service.sap.com/sap/support/notes/1845379","1845379")</f>
        <v>1845379</v>
      </c>
      <c r="E4103">
        <v>7</v>
      </c>
      <c r="F4103" t="s">
        <v>4268</v>
      </c>
    </row>
    <row r="4104" spans="1:6" x14ac:dyDescent="0.25">
      <c r="A4104" t="s">
        <v>3849</v>
      </c>
      <c r="B4104" t="s">
        <v>423</v>
      </c>
      <c r="C4104" t="s">
        <v>598</v>
      </c>
      <c r="D4104" t="str">
        <f>HYPERLINK("http://service.sap.com/sap/support/notes/1847580","1847580")</f>
        <v>1847580</v>
      </c>
      <c r="E4104">
        <v>5</v>
      </c>
      <c r="F4104" t="s">
        <v>4269</v>
      </c>
    </row>
    <row r="4105" spans="1:6" x14ac:dyDescent="0.25">
      <c r="A4105" t="s">
        <v>3849</v>
      </c>
      <c r="B4105" t="s">
        <v>423</v>
      </c>
      <c r="C4105" t="s">
        <v>598</v>
      </c>
      <c r="D4105" t="str">
        <f>HYPERLINK("http://service.sap.com/sap/support/notes/1848636","1848636")</f>
        <v>1848636</v>
      </c>
      <c r="E4105">
        <v>2</v>
      </c>
      <c r="F4105" t="s">
        <v>4270</v>
      </c>
    </row>
    <row r="4106" spans="1:6" x14ac:dyDescent="0.25">
      <c r="A4106" t="s">
        <v>3849</v>
      </c>
      <c r="B4106" t="s">
        <v>423</v>
      </c>
      <c r="C4106" t="s">
        <v>598</v>
      </c>
      <c r="D4106" t="str">
        <f>HYPERLINK("http://service.sap.com/sap/support/notes/1848648","1848648")</f>
        <v>1848648</v>
      </c>
      <c r="E4106">
        <v>3</v>
      </c>
      <c r="F4106" t="s">
        <v>4271</v>
      </c>
    </row>
    <row r="4107" spans="1:6" x14ac:dyDescent="0.25">
      <c r="A4107" t="s">
        <v>3849</v>
      </c>
      <c r="B4107" t="s">
        <v>423</v>
      </c>
      <c r="C4107" t="s">
        <v>598</v>
      </c>
      <c r="D4107" t="str">
        <f>HYPERLINK("http://service.sap.com/sap/support/notes/1849467","1849467")</f>
        <v>1849467</v>
      </c>
      <c r="E4107">
        <v>1</v>
      </c>
      <c r="F4107" t="s">
        <v>4272</v>
      </c>
    </row>
    <row r="4108" spans="1:6" x14ac:dyDescent="0.25">
      <c r="A4108" t="s">
        <v>3849</v>
      </c>
      <c r="B4108" t="s">
        <v>423</v>
      </c>
      <c r="C4108" t="s">
        <v>598</v>
      </c>
      <c r="D4108" t="str">
        <f>HYPERLINK("http://service.sap.com/sap/support/notes/1849473","1849473")</f>
        <v>1849473</v>
      </c>
      <c r="E4108">
        <v>2</v>
      </c>
      <c r="F4108" t="s">
        <v>4273</v>
      </c>
    </row>
    <row r="4109" spans="1:6" x14ac:dyDescent="0.25">
      <c r="A4109" t="s">
        <v>3849</v>
      </c>
      <c r="B4109" t="s">
        <v>423</v>
      </c>
      <c r="C4109" t="s">
        <v>598</v>
      </c>
      <c r="D4109" t="str">
        <f>HYPERLINK("http://service.sap.com/sap/support/notes/1850213","1850213")</f>
        <v>1850213</v>
      </c>
      <c r="E4109">
        <v>2</v>
      </c>
      <c r="F4109" t="s">
        <v>4274</v>
      </c>
    </row>
    <row r="4110" spans="1:6" x14ac:dyDescent="0.25">
      <c r="A4110" t="s">
        <v>3849</v>
      </c>
      <c r="B4110" t="s">
        <v>423</v>
      </c>
      <c r="C4110" t="s">
        <v>598</v>
      </c>
      <c r="D4110" t="str">
        <f>HYPERLINK("http://service.sap.com/sap/support/notes/1850336","1850336")</f>
        <v>1850336</v>
      </c>
      <c r="E4110">
        <v>4</v>
      </c>
      <c r="F4110" t="s">
        <v>4275</v>
      </c>
    </row>
    <row r="4111" spans="1:6" x14ac:dyDescent="0.25">
      <c r="A4111" t="s">
        <v>3849</v>
      </c>
      <c r="B4111" t="s">
        <v>423</v>
      </c>
      <c r="C4111" t="s">
        <v>598</v>
      </c>
      <c r="D4111" t="str">
        <f>HYPERLINK("http://service.sap.com/sap/support/notes/1851032","1851032")</f>
        <v>1851032</v>
      </c>
      <c r="E4111">
        <v>5</v>
      </c>
      <c r="F4111" t="s">
        <v>4276</v>
      </c>
    </row>
    <row r="4112" spans="1:6" x14ac:dyDescent="0.25">
      <c r="A4112" t="s">
        <v>3849</v>
      </c>
      <c r="B4112" t="s">
        <v>423</v>
      </c>
      <c r="C4112" t="s">
        <v>598</v>
      </c>
      <c r="D4112" t="str">
        <f>HYPERLINK("http://service.sap.com/sap/support/notes/1851112","1851112")</f>
        <v>1851112</v>
      </c>
      <c r="E4112">
        <v>3</v>
      </c>
      <c r="F4112" t="s">
        <v>4277</v>
      </c>
    </row>
    <row r="4113" spans="1:6" x14ac:dyDescent="0.25">
      <c r="A4113" t="s">
        <v>3849</v>
      </c>
      <c r="B4113" t="s">
        <v>423</v>
      </c>
      <c r="C4113" t="s">
        <v>598</v>
      </c>
      <c r="D4113" t="str">
        <f>HYPERLINK("http://service.sap.com/sap/support/notes/1851291","1851291")</f>
        <v>1851291</v>
      </c>
      <c r="E4113">
        <v>1</v>
      </c>
      <c r="F4113" t="s">
        <v>4278</v>
      </c>
    </row>
    <row r="4114" spans="1:6" x14ac:dyDescent="0.25">
      <c r="A4114" t="s">
        <v>3849</v>
      </c>
      <c r="B4114" t="s">
        <v>423</v>
      </c>
      <c r="C4114" t="s">
        <v>598</v>
      </c>
      <c r="D4114" t="str">
        <f>HYPERLINK("http://service.sap.com/sap/support/notes/1852431","1852431")</f>
        <v>1852431</v>
      </c>
      <c r="E4114">
        <v>5</v>
      </c>
      <c r="F4114" t="s">
        <v>4279</v>
      </c>
    </row>
    <row r="4115" spans="1:6" x14ac:dyDescent="0.25">
      <c r="A4115" t="s">
        <v>3849</v>
      </c>
      <c r="B4115" t="s">
        <v>423</v>
      </c>
      <c r="C4115" t="s">
        <v>598</v>
      </c>
      <c r="D4115" t="str">
        <f>HYPERLINK("http://service.sap.com/sap/support/notes/1857085","1857085")</f>
        <v>1857085</v>
      </c>
      <c r="E4115">
        <v>2</v>
      </c>
      <c r="F4115" t="s">
        <v>4280</v>
      </c>
    </row>
    <row r="4116" spans="1:6" x14ac:dyDescent="0.25">
      <c r="A4116" t="s">
        <v>3849</v>
      </c>
      <c r="B4116" t="s">
        <v>423</v>
      </c>
      <c r="C4116" t="s">
        <v>598</v>
      </c>
      <c r="D4116" t="str">
        <f>HYPERLINK("http://service.sap.com/sap/support/notes/1858337","1858337")</f>
        <v>1858337</v>
      </c>
      <c r="E4116">
        <v>2</v>
      </c>
      <c r="F4116" t="s">
        <v>4281</v>
      </c>
    </row>
    <row r="4117" spans="1:6" x14ac:dyDescent="0.25">
      <c r="A4117" t="s">
        <v>3849</v>
      </c>
      <c r="B4117" t="s">
        <v>423</v>
      </c>
      <c r="C4117" t="s">
        <v>598</v>
      </c>
      <c r="D4117" t="str">
        <f>HYPERLINK("http://service.sap.com/sap/support/notes/1861057","1861057")</f>
        <v>1861057</v>
      </c>
      <c r="E4117">
        <v>1</v>
      </c>
      <c r="F4117" t="s">
        <v>4282</v>
      </c>
    </row>
    <row r="4118" spans="1:6" x14ac:dyDescent="0.25">
      <c r="A4118" t="s">
        <v>3849</v>
      </c>
      <c r="B4118" t="s">
        <v>423</v>
      </c>
      <c r="C4118" t="s">
        <v>598</v>
      </c>
      <c r="D4118" t="str">
        <f>HYPERLINK("http://service.sap.com/sap/support/notes/1864282","1864282")</f>
        <v>1864282</v>
      </c>
      <c r="E4118">
        <v>2</v>
      </c>
      <c r="F4118" t="s">
        <v>4283</v>
      </c>
    </row>
    <row r="4119" spans="1:6" x14ac:dyDescent="0.25">
      <c r="A4119" t="s">
        <v>3849</v>
      </c>
      <c r="B4119" t="s">
        <v>430</v>
      </c>
      <c r="C4119" t="s">
        <v>431</v>
      </c>
      <c r="D4119" t="str">
        <f>HYPERLINK("http://service.sap.com/sap/support/notes/1775628","1775628")</f>
        <v>1775628</v>
      </c>
      <c r="E4119">
        <v>2</v>
      </c>
      <c r="F4119" t="s">
        <v>4284</v>
      </c>
    </row>
    <row r="4120" spans="1:6" x14ac:dyDescent="0.25">
      <c r="A4120" t="s">
        <v>3849</v>
      </c>
      <c r="B4120" t="s">
        <v>430</v>
      </c>
      <c r="C4120" t="s">
        <v>431</v>
      </c>
      <c r="D4120" t="str">
        <f>HYPERLINK("http://service.sap.com/sap/support/notes/1781511","1781511")</f>
        <v>1781511</v>
      </c>
      <c r="E4120">
        <v>18</v>
      </c>
      <c r="F4120" t="s">
        <v>4285</v>
      </c>
    </row>
    <row r="4121" spans="1:6" x14ac:dyDescent="0.25">
      <c r="A4121" t="s">
        <v>3849</v>
      </c>
      <c r="B4121" t="s">
        <v>430</v>
      </c>
      <c r="C4121" t="s">
        <v>431</v>
      </c>
      <c r="D4121" t="str">
        <f>HYPERLINK("http://service.sap.com/sap/support/notes/1815934","1815934")</f>
        <v>1815934</v>
      </c>
      <c r="E4121">
        <v>4</v>
      </c>
      <c r="F4121" t="s">
        <v>4286</v>
      </c>
    </row>
    <row r="4122" spans="1:6" x14ac:dyDescent="0.25">
      <c r="A4122" t="s">
        <v>3849</v>
      </c>
      <c r="B4122" t="s">
        <v>430</v>
      </c>
      <c r="C4122" t="s">
        <v>431</v>
      </c>
      <c r="D4122" t="str">
        <f>HYPERLINK("http://service.sap.com/sap/support/notes/1847960","1847960")</f>
        <v>1847960</v>
      </c>
      <c r="E4122">
        <v>1</v>
      </c>
      <c r="F4122" t="s">
        <v>4287</v>
      </c>
    </row>
    <row r="4123" spans="1:6" x14ac:dyDescent="0.25">
      <c r="A4123" t="s">
        <v>3849</v>
      </c>
      <c r="B4123" t="s">
        <v>430</v>
      </c>
      <c r="C4123" t="s">
        <v>431</v>
      </c>
      <c r="D4123" t="str">
        <f>HYPERLINK("http://service.sap.com/sap/support/notes/1859340","1859340")</f>
        <v>1859340</v>
      </c>
      <c r="E4123">
        <v>1</v>
      </c>
      <c r="F4123" t="s">
        <v>4288</v>
      </c>
    </row>
    <row r="4124" spans="1:6" x14ac:dyDescent="0.25">
      <c r="A4124" t="s">
        <v>3849</v>
      </c>
      <c r="B4124" t="s">
        <v>430</v>
      </c>
      <c r="C4124" t="s">
        <v>431</v>
      </c>
      <c r="D4124" t="str">
        <f>HYPERLINK("http://service.sap.com/sap/support/notes/1862285","1862285")</f>
        <v>1862285</v>
      </c>
      <c r="E4124">
        <v>1</v>
      </c>
      <c r="F4124" t="s">
        <v>4289</v>
      </c>
    </row>
    <row r="4125" spans="1:6" x14ac:dyDescent="0.25">
      <c r="A4125" t="s">
        <v>3849</v>
      </c>
      <c r="B4125" t="s">
        <v>437</v>
      </c>
      <c r="C4125" t="s">
        <v>438</v>
      </c>
      <c r="D4125" t="str">
        <f>HYPERLINK("http://service.sap.com/sap/support/notes/1830294","1830294")</f>
        <v>1830294</v>
      </c>
      <c r="E4125">
        <v>1</v>
      </c>
      <c r="F4125" t="s">
        <v>4290</v>
      </c>
    </row>
    <row r="4126" spans="1:6" x14ac:dyDescent="0.25">
      <c r="A4126" t="s">
        <v>3849</v>
      </c>
      <c r="B4126" t="s">
        <v>437</v>
      </c>
      <c r="C4126" t="s">
        <v>438</v>
      </c>
      <c r="D4126" t="str">
        <f>HYPERLINK("http://service.sap.com/sap/support/notes/1847043","1847043")</f>
        <v>1847043</v>
      </c>
      <c r="E4126">
        <v>1</v>
      </c>
      <c r="F4126" t="s">
        <v>4291</v>
      </c>
    </row>
    <row r="4127" spans="1:6" x14ac:dyDescent="0.25">
      <c r="A4127" t="s">
        <v>3849</v>
      </c>
      <c r="B4127" t="s">
        <v>437</v>
      </c>
      <c r="C4127" t="s">
        <v>438</v>
      </c>
      <c r="D4127" t="str">
        <f>HYPERLINK("http://service.sap.com/sap/support/notes/1849627","1849627")</f>
        <v>1849627</v>
      </c>
      <c r="E4127">
        <v>1</v>
      </c>
      <c r="F4127" t="s">
        <v>4292</v>
      </c>
    </row>
    <row r="4128" spans="1:6" x14ac:dyDescent="0.25">
      <c r="A4128" t="s">
        <v>3849</v>
      </c>
      <c r="B4128" t="s">
        <v>437</v>
      </c>
      <c r="C4128" t="s">
        <v>438</v>
      </c>
      <c r="D4128" t="str">
        <f>HYPERLINK("http://service.sap.com/sap/support/notes/1852181","1852181")</f>
        <v>1852181</v>
      </c>
      <c r="E4128">
        <v>1</v>
      </c>
      <c r="F4128" t="s">
        <v>4293</v>
      </c>
    </row>
    <row r="4129" spans="1:6" x14ac:dyDescent="0.25">
      <c r="A4129" t="s">
        <v>3849</v>
      </c>
      <c r="B4129" t="s">
        <v>437</v>
      </c>
      <c r="C4129" t="s">
        <v>438</v>
      </c>
      <c r="D4129" t="str">
        <f>HYPERLINK("http://service.sap.com/sap/support/notes/1855530","1855530")</f>
        <v>1855530</v>
      </c>
      <c r="E4129">
        <v>1</v>
      </c>
      <c r="F4129" t="s">
        <v>4294</v>
      </c>
    </row>
    <row r="4130" spans="1:6" x14ac:dyDescent="0.25">
      <c r="A4130" t="s">
        <v>3849</v>
      </c>
      <c r="B4130" t="s">
        <v>437</v>
      </c>
      <c r="C4130" t="s">
        <v>438</v>
      </c>
      <c r="D4130" t="str">
        <f>HYPERLINK("http://service.sap.com/sap/support/notes/1856696","1856696")</f>
        <v>1856696</v>
      </c>
      <c r="E4130">
        <v>1</v>
      </c>
      <c r="F4130" t="s">
        <v>4295</v>
      </c>
    </row>
    <row r="4131" spans="1:6" x14ac:dyDescent="0.25">
      <c r="A4131" t="s">
        <v>3849</v>
      </c>
      <c r="B4131" t="s">
        <v>437</v>
      </c>
      <c r="C4131" t="s">
        <v>438</v>
      </c>
      <c r="D4131" t="str">
        <f>HYPERLINK("http://service.sap.com/sap/support/notes/1858302","1858302")</f>
        <v>1858302</v>
      </c>
      <c r="E4131">
        <v>1</v>
      </c>
      <c r="F4131" t="s">
        <v>4296</v>
      </c>
    </row>
    <row r="4132" spans="1:6" x14ac:dyDescent="0.25">
      <c r="A4132" t="s">
        <v>3849</v>
      </c>
      <c r="B4132" t="s">
        <v>437</v>
      </c>
      <c r="C4132" t="s">
        <v>438</v>
      </c>
      <c r="D4132" t="str">
        <f>HYPERLINK("http://service.sap.com/sap/support/notes/1859856","1859856")</f>
        <v>1859856</v>
      </c>
      <c r="E4132">
        <v>1</v>
      </c>
      <c r="F4132" t="s">
        <v>4297</v>
      </c>
    </row>
    <row r="4133" spans="1:6" x14ac:dyDescent="0.25">
      <c r="A4133" t="s">
        <v>3849</v>
      </c>
      <c r="B4133" t="s">
        <v>440</v>
      </c>
      <c r="C4133" t="s">
        <v>128</v>
      </c>
      <c r="D4133" t="str">
        <f>HYPERLINK("http://service.sap.com/sap/support/notes/1839357","1839357")</f>
        <v>1839357</v>
      </c>
      <c r="E4133">
        <v>2</v>
      </c>
      <c r="F4133" t="s">
        <v>4298</v>
      </c>
    </row>
    <row r="4134" spans="1:6" x14ac:dyDescent="0.25">
      <c r="A4134" t="s">
        <v>3849</v>
      </c>
      <c r="B4134" t="s">
        <v>443</v>
      </c>
      <c r="C4134" t="s">
        <v>444</v>
      </c>
      <c r="D4134" t="str">
        <f>HYPERLINK("http://service.sap.com/sap/support/notes/1777908","1777908")</f>
        <v>1777908</v>
      </c>
      <c r="E4134">
        <v>1</v>
      </c>
      <c r="F4134" t="s">
        <v>4299</v>
      </c>
    </row>
    <row r="4135" spans="1:6" x14ac:dyDescent="0.25">
      <c r="A4135" t="s">
        <v>3849</v>
      </c>
      <c r="B4135" t="s">
        <v>443</v>
      </c>
      <c r="C4135" t="s">
        <v>444</v>
      </c>
      <c r="D4135" t="str">
        <f>HYPERLINK("http://service.sap.com/sap/support/notes/1804630","1804630")</f>
        <v>1804630</v>
      </c>
      <c r="E4135">
        <v>1</v>
      </c>
      <c r="F4135" t="s">
        <v>2349</v>
      </c>
    </row>
    <row r="4136" spans="1:6" x14ac:dyDescent="0.25">
      <c r="A4136" t="s">
        <v>3849</v>
      </c>
      <c r="B4136" t="s">
        <v>443</v>
      </c>
      <c r="C4136" t="s">
        <v>444</v>
      </c>
      <c r="D4136" t="str">
        <f>HYPERLINK("http://service.sap.com/sap/support/notes/1814234","1814234")</f>
        <v>1814234</v>
      </c>
      <c r="E4136">
        <v>2</v>
      </c>
      <c r="F4136" t="s">
        <v>4300</v>
      </c>
    </row>
    <row r="4137" spans="1:6" x14ac:dyDescent="0.25">
      <c r="A4137" t="s">
        <v>3849</v>
      </c>
      <c r="B4137" t="s">
        <v>443</v>
      </c>
      <c r="C4137" t="s">
        <v>444</v>
      </c>
      <c r="D4137" t="str">
        <f>HYPERLINK("http://service.sap.com/sap/support/notes/1852719","1852719")</f>
        <v>1852719</v>
      </c>
      <c r="E4137">
        <v>1</v>
      </c>
      <c r="F4137" t="s">
        <v>4301</v>
      </c>
    </row>
    <row r="4138" spans="1:6" x14ac:dyDescent="0.25">
      <c r="A4138" t="s">
        <v>3849</v>
      </c>
      <c r="B4138" t="s">
        <v>443</v>
      </c>
      <c r="C4138" t="s">
        <v>444</v>
      </c>
      <c r="D4138" t="str">
        <f>HYPERLINK("http://service.sap.com/sap/support/notes/1859141","1859141")</f>
        <v>1859141</v>
      </c>
      <c r="E4138">
        <v>1</v>
      </c>
      <c r="F4138" t="s">
        <v>4302</v>
      </c>
    </row>
    <row r="4139" spans="1:6" x14ac:dyDescent="0.25">
      <c r="A4139" t="s">
        <v>3849</v>
      </c>
      <c r="B4139" t="s">
        <v>450</v>
      </c>
      <c r="C4139" t="s">
        <v>451</v>
      </c>
      <c r="D4139" t="str">
        <f>HYPERLINK("http://service.sap.com/sap/support/notes/1845806","1845806")</f>
        <v>1845806</v>
      </c>
      <c r="E4139">
        <v>1</v>
      </c>
      <c r="F4139" t="s">
        <v>4303</v>
      </c>
    </row>
    <row r="4140" spans="1:6" x14ac:dyDescent="0.25">
      <c r="A4140" t="s">
        <v>3849</v>
      </c>
      <c r="B4140" t="s">
        <v>450</v>
      </c>
      <c r="C4140" t="s">
        <v>451</v>
      </c>
      <c r="D4140" t="str">
        <f>HYPERLINK("http://service.sap.com/sap/support/notes/1848940","1848940")</f>
        <v>1848940</v>
      </c>
      <c r="E4140">
        <v>1</v>
      </c>
      <c r="F4140" t="s">
        <v>4304</v>
      </c>
    </row>
    <row r="4141" spans="1:6" x14ac:dyDescent="0.25">
      <c r="A4141" t="s">
        <v>3849</v>
      </c>
      <c r="B4141" t="s">
        <v>450</v>
      </c>
      <c r="C4141" t="s">
        <v>451</v>
      </c>
      <c r="D4141" t="str">
        <f>HYPERLINK("http://service.sap.com/sap/support/notes/1849481","1849481")</f>
        <v>1849481</v>
      </c>
      <c r="E4141">
        <v>1</v>
      </c>
      <c r="F4141" t="s">
        <v>4305</v>
      </c>
    </row>
    <row r="4142" spans="1:6" x14ac:dyDescent="0.25">
      <c r="A4142" t="s">
        <v>3849</v>
      </c>
      <c r="B4142" t="s">
        <v>450</v>
      </c>
      <c r="C4142" t="s">
        <v>451</v>
      </c>
      <c r="D4142" t="str">
        <f>HYPERLINK("http://service.sap.com/sap/support/notes/1849635","1849635")</f>
        <v>1849635</v>
      </c>
      <c r="E4142">
        <v>1</v>
      </c>
      <c r="F4142" t="s">
        <v>4306</v>
      </c>
    </row>
    <row r="4143" spans="1:6" x14ac:dyDescent="0.25">
      <c r="A4143" t="s">
        <v>3849</v>
      </c>
      <c r="B4143" t="s">
        <v>450</v>
      </c>
      <c r="C4143" t="s">
        <v>451</v>
      </c>
      <c r="D4143" t="str">
        <f>HYPERLINK("http://service.sap.com/sap/support/notes/1852268","1852268")</f>
        <v>1852268</v>
      </c>
      <c r="E4143">
        <v>1</v>
      </c>
      <c r="F4143" t="s">
        <v>4307</v>
      </c>
    </row>
    <row r="4144" spans="1:6" x14ac:dyDescent="0.25">
      <c r="A4144" t="s">
        <v>3849</v>
      </c>
      <c r="B4144" t="s">
        <v>450</v>
      </c>
      <c r="C4144" t="s">
        <v>451</v>
      </c>
      <c r="D4144" t="str">
        <f>HYPERLINK("http://service.sap.com/sap/support/notes/1852817","1852817")</f>
        <v>1852817</v>
      </c>
      <c r="E4144">
        <v>1</v>
      </c>
      <c r="F4144" t="s">
        <v>4308</v>
      </c>
    </row>
    <row r="4145" spans="1:6" x14ac:dyDescent="0.25">
      <c r="A4145" t="s">
        <v>3849</v>
      </c>
      <c r="B4145" t="s">
        <v>450</v>
      </c>
      <c r="C4145" t="s">
        <v>451</v>
      </c>
      <c r="D4145" t="str">
        <f>HYPERLINK("http://service.sap.com/sap/support/notes/1855416","1855416")</f>
        <v>1855416</v>
      </c>
      <c r="E4145">
        <v>2</v>
      </c>
      <c r="F4145" t="s">
        <v>1760</v>
      </c>
    </row>
    <row r="4146" spans="1:6" x14ac:dyDescent="0.25">
      <c r="A4146" t="s">
        <v>3849</v>
      </c>
      <c r="B4146" t="s">
        <v>450</v>
      </c>
      <c r="C4146" t="s">
        <v>451</v>
      </c>
      <c r="D4146" t="str">
        <f>HYPERLINK("http://service.sap.com/sap/support/notes/1856698","1856698")</f>
        <v>1856698</v>
      </c>
      <c r="E4146">
        <v>1</v>
      </c>
      <c r="F4146" t="s">
        <v>4309</v>
      </c>
    </row>
    <row r="4147" spans="1:6" x14ac:dyDescent="0.25">
      <c r="A4147" t="s">
        <v>3849</v>
      </c>
      <c r="B4147" t="s">
        <v>450</v>
      </c>
      <c r="C4147" t="s">
        <v>451</v>
      </c>
      <c r="D4147" t="str">
        <f>HYPERLINK("http://service.sap.com/sap/support/notes/1857335","1857335")</f>
        <v>1857335</v>
      </c>
      <c r="E4147">
        <v>1</v>
      </c>
      <c r="F4147" t="s">
        <v>4310</v>
      </c>
    </row>
    <row r="4148" spans="1:6" x14ac:dyDescent="0.25">
      <c r="A4148" t="s">
        <v>3849</v>
      </c>
      <c r="B4148" t="s">
        <v>450</v>
      </c>
      <c r="C4148" t="s">
        <v>451</v>
      </c>
      <c r="D4148" t="str">
        <f>HYPERLINK("http://service.sap.com/sap/support/notes/1857705","1857705")</f>
        <v>1857705</v>
      </c>
      <c r="E4148">
        <v>1</v>
      </c>
      <c r="F4148" t="s">
        <v>4311</v>
      </c>
    </row>
    <row r="4149" spans="1:6" x14ac:dyDescent="0.25">
      <c r="A4149" t="s">
        <v>3849</v>
      </c>
      <c r="B4149" t="s">
        <v>450</v>
      </c>
      <c r="C4149" t="s">
        <v>451</v>
      </c>
      <c r="D4149" t="str">
        <f>HYPERLINK("http://service.sap.com/sap/support/notes/1857783","1857783")</f>
        <v>1857783</v>
      </c>
      <c r="E4149">
        <v>1</v>
      </c>
      <c r="F4149" t="s">
        <v>4312</v>
      </c>
    </row>
    <row r="4150" spans="1:6" x14ac:dyDescent="0.25">
      <c r="A4150" t="s">
        <v>3849</v>
      </c>
      <c r="B4150" t="s">
        <v>453</v>
      </c>
      <c r="C4150" t="s">
        <v>74</v>
      </c>
      <c r="D4150" t="str">
        <f>HYPERLINK("http://service.sap.com/sap/support/notes/1693632","1693632")</f>
        <v>1693632</v>
      </c>
      <c r="E4150">
        <v>1</v>
      </c>
      <c r="F4150" t="s">
        <v>4313</v>
      </c>
    </row>
    <row r="4151" spans="1:6" x14ac:dyDescent="0.25">
      <c r="A4151" t="s">
        <v>3849</v>
      </c>
      <c r="B4151" t="s">
        <v>453</v>
      </c>
      <c r="C4151" t="s">
        <v>74</v>
      </c>
      <c r="D4151" t="str">
        <f>HYPERLINK("http://service.sap.com/sap/support/notes/1806434","1806434")</f>
        <v>1806434</v>
      </c>
      <c r="E4151">
        <v>1</v>
      </c>
      <c r="F4151" t="s">
        <v>3755</v>
      </c>
    </row>
    <row r="4152" spans="1:6" x14ac:dyDescent="0.25">
      <c r="A4152" t="s">
        <v>3849</v>
      </c>
      <c r="B4152" t="s">
        <v>453</v>
      </c>
      <c r="C4152" t="s">
        <v>74</v>
      </c>
      <c r="D4152" t="str">
        <f>HYPERLINK("http://service.sap.com/sap/support/notes/1842591","1842591")</f>
        <v>1842591</v>
      </c>
      <c r="E4152">
        <v>1</v>
      </c>
      <c r="F4152" t="s">
        <v>4314</v>
      </c>
    </row>
    <row r="4153" spans="1:6" x14ac:dyDescent="0.25">
      <c r="A4153" t="s">
        <v>3849</v>
      </c>
      <c r="B4153" t="s">
        <v>453</v>
      </c>
      <c r="C4153" t="s">
        <v>74</v>
      </c>
      <c r="D4153" t="str">
        <f>HYPERLINK("http://service.sap.com/sap/support/notes/1858935","1858935")</f>
        <v>1858935</v>
      </c>
      <c r="E4153">
        <v>2</v>
      </c>
      <c r="F4153" t="s">
        <v>3999</v>
      </c>
    </row>
    <row r="4154" spans="1:6" x14ac:dyDescent="0.25">
      <c r="A4154" t="s">
        <v>3849</v>
      </c>
      <c r="B4154" t="s">
        <v>599</v>
      </c>
      <c r="C4154" t="s">
        <v>600</v>
      </c>
      <c r="D4154" t="str">
        <f>HYPERLINK("http://service.sap.com/sap/support/notes/1839276","1839276")</f>
        <v>1839276</v>
      </c>
      <c r="E4154">
        <v>2</v>
      </c>
      <c r="F4154" t="s">
        <v>4315</v>
      </c>
    </row>
    <row r="4155" spans="1:6" x14ac:dyDescent="0.25">
      <c r="A4155" t="s">
        <v>3849</v>
      </c>
      <c r="B4155" t="s">
        <v>4316</v>
      </c>
      <c r="C4155" t="s">
        <v>4317</v>
      </c>
      <c r="D4155" t="str">
        <f>HYPERLINK("http://service.sap.com/sap/support/notes/1838192","1838192")</f>
        <v>1838192</v>
      </c>
      <c r="E4155">
        <v>1</v>
      </c>
      <c r="F4155" t="s">
        <v>4318</v>
      </c>
    </row>
    <row r="4156" spans="1:6" x14ac:dyDescent="0.25">
      <c r="A4156" t="s">
        <v>3849</v>
      </c>
      <c r="B4156" t="s">
        <v>653</v>
      </c>
      <c r="C4156" t="s">
        <v>128</v>
      </c>
      <c r="D4156" t="str">
        <f>HYPERLINK("http://service.sap.com/sap/support/notes/1630613","1630613")</f>
        <v>1630613</v>
      </c>
      <c r="E4156">
        <v>4</v>
      </c>
      <c r="F4156" t="s">
        <v>4319</v>
      </c>
    </row>
    <row r="4157" spans="1:6" x14ac:dyDescent="0.25">
      <c r="A4157" t="s">
        <v>3849</v>
      </c>
      <c r="B4157" t="s">
        <v>607</v>
      </c>
      <c r="C4157" t="s">
        <v>156</v>
      </c>
      <c r="D4157" t="str">
        <f>HYPERLINK("http://service.sap.com/sap/support/notes/1636399","1636399")</f>
        <v>1636399</v>
      </c>
      <c r="E4157">
        <v>3</v>
      </c>
      <c r="F4157" t="s">
        <v>4320</v>
      </c>
    </row>
    <row r="4158" spans="1:6" x14ac:dyDescent="0.25">
      <c r="A4158" t="s">
        <v>3849</v>
      </c>
      <c r="B4158" t="s">
        <v>607</v>
      </c>
      <c r="C4158" t="s">
        <v>156</v>
      </c>
      <c r="D4158" t="str">
        <f>HYPERLINK("http://service.sap.com/sap/support/notes/1703533","1703533")</f>
        <v>1703533</v>
      </c>
      <c r="E4158">
        <v>2</v>
      </c>
      <c r="F4158" t="s">
        <v>4321</v>
      </c>
    </row>
    <row r="4159" spans="1:6" x14ac:dyDescent="0.25">
      <c r="A4159" t="s">
        <v>3849</v>
      </c>
      <c r="B4159" t="s">
        <v>607</v>
      </c>
      <c r="C4159" t="s">
        <v>156</v>
      </c>
      <c r="D4159" t="str">
        <f>HYPERLINK("http://service.sap.com/sap/support/notes/1812879","1812879")</f>
        <v>1812879</v>
      </c>
      <c r="E4159">
        <v>2</v>
      </c>
      <c r="F4159" t="s">
        <v>4322</v>
      </c>
    </row>
    <row r="4160" spans="1:6" x14ac:dyDescent="0.25">
      <c r="A4160" t="s">
        <v>3849</v>
      </c>
      <c r="B4160" t="s">
        <v>607</v>
      </c>
      <c r="C4160" t="s">
        <v>156</v>
      </c>
      <c r="D4160" t="str">
        <f>HYPERLINK("http://service.sap.com/sap/support/notes/1843265","1843265")</f>
        <v>1843265</v>
      </c>
      <c r="E4160">
        <v>2</v>
      </c>
      <c r="F4160" t="s">
        <v>4323</v>
      </c>
    </row>
    <row r="4161" spans="1:6" x14ac:dyDescent="0.25">
      <c r="A4161" t="s">
        <v>3849</v>
      </c>
      <c r="B4161" t="s">
        <v>607</v>
      </c>
      <c r="C4161" t="s">
        <v>156</v>
      </c>
      <c r="D4161" t="str">
        <f>HYPERLINK("http://service.sap.com/sap/support/notes/1853838","1853838")</f>
        <v>1853838</v>
      </c>
      <c r="E4161">
        <v>3</v>
      </c>
      <c r="F4161" t="s">
        <v>4324</v>
      </c>
    </row>
    <row r="4162" spans="1:6" x14ac:dyDescent="0.25">
      <c r="A4162" t="s">
        <v>3849</v>
      </c>
      <c r="B4162" t="s">
        <v>607</v>
      </c>
      <c r="C4162" t="s">
        <v>156</v>
      </c>
      <c r="D4162" t="str">
        <f>HYPERLINK("http://service.sap.com/sap/support/notes/1860509","1860509")</f>
        <v>1860509</v>
      </c>
      <c r="E4162">
        <v>1</v>
      </c>
      <c r="F4162" t="s">
        <v>4325</v>
      </c>
    </row>
    <row r="4163" spans="1:6" x14ac:dyDescent="0.25">
      <c r="A4163" t="s">
        <v>3849</v>
      </c>
      <c r="B4163" t="s">
        <v>457</v>
      </c>
      <c r="C4163" t="s">
        <v>458</v>
      </c>
      <c r="D4163" t="str">
        <f>HYPERLINK("http://service.sap.com/sap/support/notes/1704008","1704008")</f>
        <v>1704008</v>
      </c>
      <c r="E4163">
        <v>5</v>
      </c>
      <c r="F4163" t="s">
        <v>4326</v>
      </c>
    </row>
    <row r="4164" spans="1:6" x14ac:dyDescent="0.25">
      <c r="A4164" t="s">
        <v>3849</v>
      </c>
      <c r="B4164" t="s">
        <v>457</v>
      </c>
      <c r="C4164" t="s">
        <v>458</v>
      </c>
      <c r="D4164" t="str">
        <f>HYPERLINK("http://service.sap.com/sap/support/notes/1846109","1846109")</f>
        <v>1846109</v>
      </c>
      <c r="E4164">
        <v>2</v>
      </c>
      <c r="F4164" t="s">
        <v>4327</v>
      </c>
    </row>
    <row r="4165" spans="1:6" x14ac:dyDescent="0.25">
      <c r="A4165" t="s">
        <v>3849</v>
      </c>
      <c r="B4165" t="s">
        <v>457</v>
      </c>
      <c r="C4165" t="s">
        <v>458</v>
      </c>
      <c r="D4165" t="str">
        <f>HYPERLINK("http://service.sap.com/sap/support/notes/1850006","1850006")</f>
        <v>1850006</v>
      </c>
      <c r="E4165">
        <v>3</v>
      </c>
      <c r="F4165" t="s">
        <v>4328</v>
      </c>
    </row>
    <row r="4166" spans="1:6" x14ac:dyDescent="0.25">
      <c r="A4166" t="s">
        <v>3849</v>
      </c>
      <c r="B4166" t="s">
        <v>457</v>
      </c>
      <c r="C4166" t="s">
        <v>458</v>
      </c>
      <c r="D4166" t="str">
        <f>HYPERLINK("http://service.sap.com/sap/support/notes/1850011","1850011")</f>
        <v>1850011</v>
      </c>
      <c r="E4166">
        <v>2</v>
      </c>
      <c r="F4166" t="s">
        <v>4329</v>
      </c>
    </row>
    <row r="4167" spans="1:6" x14ac:dyDescent="0.25">
      <c r="A4167" t="s">
        <v>3849</v>
      </c>
      <c r="B4167" t="s">
        <v>457</v>
      </c>
      <c r="C4167" t="s">
        <v>458</v>
      </c>
      <c r="D4167" t="str">
        <f>HYPERLINK("http://service.sap.com/sap/support/notes/1850587","1850587")</f>
        <v>1850587</v>
      </c>
      <c r="E4167">
        <v>2</v>
      </c>
      <c r="F4167" t="s">
        <v>4330</v>
      </c>
    </row>
    <row r="4168" spans="1:6" x14ac:dyDescent="0.25">
      <c r="A4168" t="s">
        <v>3849</v>
      </c>
      <c r="B4168" t="s">
        <v>457</v>
      </c>
      <c r="C4168" t="s">
        <v>458</v>
      </c>
      <c r="D4168" t="str">
        <f>HYPERLINK("http://service.sap.com/sap/support/notes/1851217","1851217")</f>
        <v>1851217</v>
      </c>
      <c r="E4168">
        <v>2</v>
      </c>
      <c r="F4168" t="s">
        <v>4331</v>
      </c>
    </row>
    <row r="4169" spans="1:6" x14ac:dyDescent="0.25">
      <c r="A4169" t="s">
        <v>3849</v>
      </c>
      <c r="B4169" t="s">
        <v>457</v>
      </c>
      <c r="C4169" t="s">
        <v>458</v>
      </c>
      <c r="D4169" t="str">
        <f>HYPERLINK("http://service.sap.com/sap/support/notes/1852624","1852624")</f>
        <v>1852624</v>
      </c>
      <c r="E4169">
        <v>2</v>
      </c>
      <c r="F4169" t="s">
        <v>4332</v>
      </c>
    </row>
    <row r="4170" spans="1:6" x14ac:dyDescent="0.25">
      <c r="A4170" t="s">
        <v>3849</v>
      </c>
      <c r="B4170" t="s">
        <v>457</v>
      </c>
      <c r="C4170" t="s">
        <v>458</v>
      </c>
      <c r="D4170" t="str">
        <f>HYPERLINK("http://service.sap.com/sap/support/notes/1854568","1854568")</f>
        <v>1854568</v>
      </c>
      <c r="E4170">
        <v>2</v>
      </c>
      <c r="F4170" t="s">
        <v>4333</v>
      </c>
    </row>
    <row r="4171" spans="1:6" x14ac:dyDescent="0.25">
      <c r="A4171" t="s">
        <v>3849</v>
      </c>
      <c r="B4171" t="s">
        <v>457</v>
      </c>
      <c r="C4171" t="s">
        <v>458</v>
      </c>
      <c r="D4171" t="str">
        <f>HYPERLINK("http://service.sap.com/sap/support/notes/1858071","1858071")</f>
        <v>1858071</v>
      </c>
      <c r="E4171">
        <v>1</v>
      </c>
      <c r="F4171" t="s">
        <v>4334</v>
      </c>
    </row>
    <row r="4172" spans="1:6" x14ac:dyDescent="0.25">
      <c r="A4172" t="s">
        <v>3849</v>
      </c>
      <c r="B4172" t="s">
        <v>608</v>
      </c>
      <c r="C4172" t="s">
        <v>609</v>
      </c>
      <c r="D4172" t="str">
        <f>HYPERLINK("http://service.sap.com/sap/support/notes/1860529","1860529")</f>
        <v>1860529</v>
      </c>
      <c r="E4172">
        <v>1</v>
      </c>
      <c r="F4172" t="s">
        <v>4335</v>
      </c>
    </row>
    <row r="4173" spans="1:6" x14ac:dyDescent="0.25">
      <c r="A4173" t="s">
        <v>3849</v>
      </c>
      <c r="B4173" t="s">
        <v>461</v>
      </c>
      <c r="C4173" t="s">
        <v>462</v>
      </c>
      <c r="D4173" t="str">
        <f>HYPERLINK("http://service.sap.com/sap/support/notes/1846151","1846151")</f>
        <v>1846151</v>
      </c>
      <c r="E4173">
        <v>4</v>
      </c>
      <c r="F4173" t="s">
        <v>4336</v>
      </c>
    </row>
    <row r="4174" spans="1:6" x14ac:dyDescent="0.25">
      <c r="A4174" t="s">
        <v>3849</v>
      </c>
      <c r="B4174" t="s">
        <v>461</v>
      </c>
      <c r="C4174" t="s">
        <v>462</v>
      </c>
      <c r="D4174" t="str">
        <f>HYPERLINK("http://service.sap.com/sap/support/notes/1850595","1850595")</f>
        <v>1850595</v>
      </c>
      <c r="E4174">
        <v>2</v>
      </c>
      <c r="F4174" t="s">
        <v>4337</v>
      </c>
    </row>
    <row r="4175" spans="1:6" x14ac:dyDescent="0.25">
      <c r="A4175" t="s">
        <v>3849</v>
      </c>
      <c r="B4175" t="s">
        <v>461</v>
      </c>
      <c r="C4175" t="s">
        <v>462</v>
      </c>
      <c r="D4175" t="str">
        <f>HYPERLINK("http://service.sap.com/sap/support/notes/1857570","1857570")</f>
        <v>1857570</v>
      </c>
      <c r="E4175">
        <v>1</v>
      </c>
      <c r="F4175" t="s">
        <v>4338</v>
      </c>
    </row>
    <row r="4176" spans="1:6" x14ac:dyDescent="0.25">
      <c r="A4176" t="s">
        <v>3849</v>
      </c>
      <c r="B4176" t="s">
        <v>461</v>
      </c>
      <c r="C4176" t="s">
        <v>462</v>
      </c>
      <c r="D4176" t="str">
        <f>HYPERLINK("http://service.sap.com/sap/support/notes/1858936","1858936")</f>
        <v>1858936</v>
      </c>
      <c r="E4176">
        <v>1</v>
      </c>
      <c r="F4176" t="s">
        <v>4339</v>
      </c>
    </row>
    <row r="4177" spans="1:6" x14ac:dyDescent="0.25">
      <c r="A4177" t="s">
        <v>3849</v>
      </c>
      <c r="B4177" t="s">
        <v>461</v>
      </c>
      <c r="C4177" t="s">
        <v>462</v>
      </c>
      <c r="D4177" t="str">
        <f>HYPERLINK("http://service.sap.com/sap/support/notes/1861892","1861892")</f>
        <v>1861892</v>
      </c>
      <c r="E4177">
        <v>2</v>
      </c>
      <c r="F4177" t="s">
        <v>4340</v>
      </c>
    </row>
    <row r="4178" spans="1:6" x14ac:dyDescent="0.25">
      <c r="A4178" t="s">
        <v>3849</v>
      </c>
      <c r="B4178" t="s">
        <v>610</v>
      </c>
      <c r="C4178" t="s">
        <v>532</v>
      </c>
      <c r="D4178" t="str">
        <f>HYPERLINK("http://service.sap.com/sap/support/notes/1826928","1826928")</f>
        <v>1826928</v>
      </c>
      <c r="E4178">
        <v>2</v>
      </c>
      <c r="F4178" t="s">
        <v>3781</v>
      </c>
    </row>
    <row r="4179" spans="1:6" x14ac:dyDescent="0.25">
      <c r="A4179" t="s">
        <v>3849</v>
      </c>
      <c r="B4179" t="s">
        <v>610</v>
      </c>
      <c r="C4179" t="s">
        <v>532</v>
      </c>
      <c r="D4179" t="str">
        <f>HYPERLINK("http://service.sap.com/sap/support/notes/1852212","1852212")</f>
        <v>1852212</v>
      </c>
      <c r="E4179">
        <v>1</v>
      </c>
      <c r="F4179" t="s">
        <v>3784</v>
      </c>
    </row>
    <row r="4180" spans="1:6" x14ac:dyDescent="0.25">
      <c r="A4180" t="s">
        <v>3849</v>
      </c>
      <c r="B4180" t="s">
        <v>626</v>
      </c>
      <c r="C4180" t="s">
        <v>627</v>
      </c>
      <c r="D4180" t="str">
        <f>HYPERLINK("http://service.sap.com/sap/support/notes/1826229","1826229")</f>
        <v>1826229</v>
      </c>
      <c r="E4180">
        <v>2</v>
      </c>
      <c r="F4180" t="s">
        <v>3221</v>
      </c>
    </row>
    <row r="4181" spans="1:6" x14ac:dyDescent="0.25">
      <c r="A4181" t="s">
        <v>3849</v>
      </c>
      <c r="B4181" t="s">
        <v>628</v>
      </c>
      <c r="C4181" t="s">
        <v>629</v>
      </c>
      <c r="D4181" t="str">
        <f>HYPERLINK("http://service.sap.com/sap/support/notes/1791095","1791095")</f>
        <v>1791095</v>
      </c>
      <c r="E4181">
        <v>3</v>
      </c>
      <c r="F4181" t="s">
        <v>3838</v>
      </c>
    </row>
    <row r="4182" spans="1:6" x14ac:dyDescent="0.25">
      <c r="A4182" t="s">
        <v>3849</v>
      </c>
      <c r="B4182" t="s">
        <v>464</v>
      </c>
      <c r="C4182" t="s">
        <v>465</v>
      </c>
      <c r="D4182" t="str">
        <f>HYPERLINK("http://service.sap.com/sap/support/notes/1803758","1803758")</f>
        <v>1803758</v>
      </c>
      <c r="E4182">
        <v>5</v>
      </c>
      <c r="F4182" t="s">
        <v>4341</v>
      </c>
    </row>
    <row r="4183" spans="1:6" x14ac:dyDescent="0.25">
      <c r="A4183" t="s">
        <v>3849</v>
      </c>
      <c r="B4183" t="s">
        <v>464</v>
      </c>
      <c r="C4183" t="s">
        <v>465</v>
      </c>
      <c r="D4183" t="str">
        <f>HYPERLINK("http://service.sap.com/sap/support/notes/1849507","1849507")</f>
        <v>1849507</v>
      </c>
      <c r="E4183">
        <v>4</v>
      </c>
      <c r="F4183" t="s">
        <v>4342</v>
      </c>
    </row>
    <row r="4184" spans="1:6" x14ac:dyDescent="0.25">
      <c r="A4184" t="s">
        <v>3849</v>
      </c>
      <c r="B4184" t="s">
        <v>464</v>
      </c>
      <c r="C4184" t="s">
        <v>465</v>
      </c>
      <c r="D4184" t="str">
        <f>HYPERLINK("http://service.sap.com/sap/support/notes/1858251","1858251")</f>
        <v>1858251</v>
      </c>
      <c r="E4184">
        <v>2</v>
      </c>
      <c r="F4184" t="s">
        <v>4343</v>
      </c>
    </row>
    <row r="4185" spans="1:6" x14ac:dyDescent="0.25">
      <c r="A4185" t="s">
        <v>3849</v>
      </c>
      <c r="B4185" t="s">
        <v>670</v>
      </c>
      <c r="C4185" t="s">
        <v>671</v>
      </c>
    </row>
    <row r="4186" spans="1:6" x14ac:dyDescent="0.25">
      <c r="A4186" t="s">
        <v>3849</v>
      </c>
      <c r="B4186" t="s">
        <v>692</v>
      </c>
      <c r="C4186" t="s">
        <v>693</v>
      </c>
    </row>
    <row r="4187" spans="1:6" x14ac:dyDescent="0.25">
      <c r="A4187" t="s">
        <v>3849</v>
      </c>
      <c r="B4187" t="s">
        <v>4344</v>
      </c>
      <c r="C4187" t="s">
        <v>4345</v>
      </c>
      <c r="D4187" t="str">
        <f>HYPERLINK("http://service.sap.com/sap/support/notes/1853695","1853695")</f>
        <v>1853695</v>
      </c>
      <c r="E4187">
        <v>3</v>
      </c>
      <c r="F4187" t="s">
        <v>4346</v>
      </c>
    </row>
    <row r="4188" spans="1:6" x14ac:dyDescent="0.25">
      <c r="A4188" t="s">
        <v>4347</v>
      </c>
      <c r="B4188" t="s">
        <v>1560</v>
      </c>
      <c r="C4188" t="s">
        <v>1561</v>
      </c>
    </row>
    <row r="4189" spans="1:6" x14ac:dyDescent="0.25">
      <c r="A4189" t="s">
        <v>4347</v>
      </c>
      <c r="B4189" t="s">
        <v>1562</v>
      </c>
      <c r="C4189" t="s">
        <v>1563</v>
      </c>
      <c r="D4189" t="str">
        <f>HYPERLINK("http://service.sap.com/sap/support/notes/1795744","1795744")</f>
        <v>1795744</v>
      </c>
      <c r="E4189">
        <v>1</v>
      </c>
      <c r="F4189" t="s">
        <v>4348</v>
      </c>
    </row>
    <row r="4190" spans="1:6" x14ac:dyDescent="0.25">
      <c r="A4190" t="s">
        <v>4347</v>
      </c>
      <c r="B4190" t="s">
        <v>4349</v>
      </c>
      <c r="C4190" t="s">
        <v>4350</v>
      </c>
      <c r="D4190" t="str">
        <f>HYPERLINK("http://service.sap.com/sap/support/notes/1875008","1875008")</f>
        <v>1875008</v>
      </c>
      <c r="E4190">
        <v>1</v>
      </c>
      <c r="F4190" t="s">
        <v>4351</v>
      </c>
    </row>
    <row r="4191" spans="1:6" x14ac:dyDescent="0.25">
      <c r="A4191" t="s">
        <v>4347</v>
      </c>
      <c r="B4191" t="s">
        <v>15</v>
      </c>
      <c r="C4191" t="s">
        <v>16</v>
      </c>
    </row>
    <row r="4192" spans="1:6" x14ac:dyDescent="0.25">
      <c r="A4192" t="s">
        <v>4347</v>
      </c>
      <c r="B4192" t="s">
        <v>17</v>
      </c>
      <c r="C4192" t="s">
        <v>18</v>
      </c>
    </row>
    <row r="4193" spans="1:6" x14ac:dyDescent="0.25">
      <c r="A4193" t="s">
        <v>4347</v>
      </c>
      <c r="B4193" t="s">
        <v>19</v>
      </c>
      <c r="C4193" t="s">
        <v>20</v>
      </c>
    </row>
    <row r="4194" spans="1:6" x14ac:dyDescent="0.25">
      <c r="A4194" t="s">
        <v>4347</v>
      </c>
      <c r="B4194" t="s">
        <v>21</v>
      </c>
      <c r="C4194" t="s">
        <v>22</v>
      </c>
      <c r="D4194" t="str">
        <f>HYPERLINK("http://service.sap.com/sap/support/notes/1865569","1865569")</f>
        <v>1865569</v>
      </c>
      <c r="E4194">
        <v>1</v>
      </c>
      <c r="F4194" t="s">
        <v>4352</v>
      </c>
    </row>
    <row r="4195" spans="1:6" x14ac:dyDescent="0.25">
      <c r="A4195" t="s">
        <v>4347</v>
      </c>
      <c r="B4195" t="s">
        <v>24</v>
      </c>
      <c r="C4195" t="s">
        <v>10</v>
      </c>
    </row>
    <row r="4196" spans="1:6" x14ac:dyDescent="0.25">
      <c r="A4196" t="s">
        <v>4347</v>
      </c>
      <c r="B4196" t="s">
        <v>25</v>
      </c>
      <c r="C4196" t="s">
        <v>26</v>
      </c>
    </row>
    <row r="4197" spans="1:6" x14ac:dyDescent="0.25">
      <c r="A4197" t="s">
        <v>4347</v>
      </c>
      <c r="B4197" t="s">
        <v>518</v>
      </c>
      <c r="C4197" t="s">
        <v>98</v>
      </c>
      <c r="D4197" t="str">
        <f>HYPERLINK("http://service.sap.com/sap/support/notes/1856805","1856805")</f>
        <v>1856805</v>
      </c>
      <c r="E4197">
        <v>4</v>
      </c>
      <c r="F4197" t="s">
        <v>4353</v>
      </c>
    </row>
    <row r="4198" spans="1:6" x14ac:dyDescent="0.25">
      <c r="A4198" t="s">
        <v>4347</v>
      </c>
      <c r="B4198" t="s">
        <v>518</v>
      </c>
      <c r="C4198" t="s">
        <v>98</v>
      </c>
      <c r="D4198" t="str">
        <f>HYPERLINK("http://service.sap.com/sap/support/notes/1867479","1867479")</f>
        <v>1867479</v>
      </c>
      <c r="E4198">
        <v>6</v>
      </c>
      <c r="F4198" t="s">
        <v>4354</v>
      </c>
    </row>
    <row r="4199" spans="1:6" x14ac:dyDescent="0.25">
      <c r="A4199" t="s">
        <v>4347</v>
      </c>
      <c r="B4199" t="s">
        <v>519</v>
      </c>
      <c r="C4199" t="s">
        <v>132</v>
      </c>
      <c r="D4199" t="str">
        <f>HYPERLINK("http://service.sap.com/sap/support/notes/1848620","1848620")</f>
        <v>1848620</v>
      </c>
      <c r="E4199">
        <v>1</v>
      </c>
      <c r="F4199" t="s">
        <v>3866</v>
      </c>
    </row>
    <row r="4200" spans="1:6" x14ac:dyDescent="0.25">
      <c r="A4200" t="s">
        <v>4347</v>
      </c>
      <c r="B4200" t="s">
        <v>519</v>
      </c>
      <c r="C4200" t="s">
        <v>132</v>
      </c>
      <c r="D4200" t="str">
        <f>HYPERLINK("http://service.sap.com/sap/support/notes/1866616","1866616")</f>
        <v>1866616</v>
      </c>
      <c r="E4200">
        <v>2</v>
      </c>
      <c r="F4200" t="s">
        <v>4355</v>
      </c>
    </row>
    <row r="4201" spans="1:6" x14ac:dyDescent="0.25">
      <c r="A4201" t="s">
        <v>4347</v>
      </c>
      <c r="B4201" t="s">
        <v>519</v>
      </c>
      <c r="C4201" t="s">
        <v>132</v>
      </c>
      <c r="D4201" t="str">
        <f>HYPERLINK("http://service.sap.com/sap/support/notes/1875123","1875123")</f>
        <v>1875123</v>
      </c>
      <c r="E4201">
        <v>1</v>
      </c>
      <c r="F4201" t="s">
        <v>4356</v>
      </c>
    </row>
    <row r="4202" spans="1:6" x14ac:dyDescent="0.25">
      <c r="A4202" t="s">
        <v>4347</v>
      </c>
      <c r="B4202" t="s">
        <v>33</v>
      </c>
      <c r="C4202" t="s">
        <v>34</v>
      </c>
      <c r="D4202" t="str">
        <f>HYPERLINK("http://service.sap.com/sap/support/notes/1864330","1864330")</f>
        <v>1864330</v>
      </c>
      <c r="E4202">
        <v>1</v>
      </c>
      <c r="F4202" t="s">
        <v>4357</v>
      </c>
    </row>
    <row r="4203" spans="1:6" x14ac:dyDescent="0.25">
      <c r="A4203" t="s">
        <v>4347</v>
      </c>
      <c r="B4203" t="s">
        <v>33</v>
      </c>
      <c r="C4203" t="s">
        <v>34</v>
      </c>
      <c r="D4203" t="str">
        <f>HYPERLINK("http://service.sap.com/sap/support/notes/1869789","1869789")</f>
        <v>1869789</v>
      </c>
      <c r="E4203">
        <v>2</v>
      </c>
      <c r="F4203" t="s">
        <v>4358</v>
      </c>
    </row>
    <row r="4204" spans="1:6" x14ac:dyDescent="0.25">
      <c r="A4204" t="s">
        <v>4347</v>
      </c>
      <c r="B4204" t="s">
        <v>33</v>
      </c>
      <c r="C4204" t="s">
        <v>34</v>
      </c>
      <c r="D4204" t="str">
        <f>HYPERLINK("http://service.sap.com/sap/support/notes/1871538","1871538")</f>
        <v>1871538</v>
      </c>
      <c r="E4204">
        <v>1</v>
      </c>
      <c r="F4204" t="s">
        <v>4359</v>
      </c>
    </row>
    <row r="4205" spans="1:6" x14ac:dyDescent="0.25">
      <c r="A4205" t="s">
        <v>4347</v>
      </c>
      <c r="B4205" t="s">
        <v>36</v>
      </c>
      <c r="C4205" t="s">
        <v>37</v>
      </c>
      <c r="D4205" t="str">
        <f>HYPERLINK("http://service.sap.com/sap/support/notes/1856190","1856190")</f>
        <v>1856190</v>
      </c>
      <c r="E4205">
        <v>1</v>
      </c>
      <c r="F4205" t="s">
        <v>4360</v>
      </c>
    </row>
    <row r="4206" spans="1:6" x14ac:dyDescent="0.25">
      <c r="A4206" t="s">
        <v>4347</v>
      </c>
      <c r="B4206" t="s">
        <v>40</v>
      </c>
      <c r="C4206" t="s">
        <v>41</v>
      </c>
    </row>
    <row r="4207" spans="1:6" x14ac:dyDescent="0.25">
      <c r="A4207" t="s">
        <v>4347</v>
      </c>
      <c r="B4207" t="s">
        <v>43</v>
      </c>
      <c r="C4207" t="s">
        <v>44</v>
      </c>
      <c r="D4207" t="str">
        <f>HYPERLINK("http://service.sap.com/sap/support/notes/1846662","1846662")</f>
        <v>1846662</v>
      </c>
      <c r="E4207">
        <v>3</v>
      </c>
      <c r="F4207" t="s">
        <v>4361</v>
      </c>
    </row>
    <row r="4208" spans="1:6" x14ac:dyDescent="0.25">
      <c r="A4208" t="s">
        <v>4347</v>
      </c>
      <c r="B4208" t="s">
        <v>43</v>
      </c>
      <c r="C4208" t="s">
        <v>44</v>
      </c>
      <c r="D4208" t="str">
        <f>HYPERLINK("http://service.sap.com/sap/support/notes/1859819","1859819")</f>
        <v>1859819</v>
      </c>
      <c r="E4208">
        <v>3</v>
      </c>
      <c r="F4208" t="s">
        <v>4362</v>
      </c>
    </row>
    <row r="4209" spans="1:6" x14ac:dyDescent="0.25">
      <c r="A4209" t="s">
        <v>4347</v>
      </c>
      <c r="B4209" t="s">
        <v>43</v>
      </c>
      <c r="C4209" t="s">
        <v>44</v>
      </c>
      <c r="D4209" t="str">
        <f>HYPERLINK("http://service.sap.com/sap/support/notes/1860047","1860047")</f>
        <v>1860047</v>
      </c>
      <c r="E4209">
        <v>3</v>
      </c>
      <c r="F4209" t="s">
        <v>4363</v>
      </c>
    </row>
    <row r="4210" spans="1:6" x14ac:dyDescent="0.25">
      <c r="A4210" t="s">
        <v>4347</v>
      </c>
      <c r="B4210" t="s">
        <v>43</v>
      </c>
      <c r="C4210" t="s">
        <v>44</v>
      </c>
      <c r="D4210" t="str">
        <f>HYPERLINK("http://service.sap.com/sap/support/notes/1860974","1860974")</f>
        <v>1860974</v>
      </c>
      <c r="E4210">
        <v>4</v>
      </c>
      <c r="F4210" t="s">
        <v>4364</v>
      </c>
    </row>
    <row r="4211" spans="1:6" x14ac:dyDescent="0.25">
      <c r="A4211" t="s">
        <v>4347</v>
      </c>
      <c r="B4211" t="s">
        <v>43</v>
      </c>
      <c r="C4211" t="s">
        <v>44</v>
      </c>
      <c r="D4211" t="str">
        <f>HYPERLINK("http://service.sap.com/sap/support/notes/1865066","1865066")</f>
        <v>1865066</v>
      </c>
      <c r="E4211">
        <v>3</v>
      </c>
      <c r="F4211" t="s">
        <v>4365</v>
      </c>
    </row>
    <row r="4212" spans="1:6" x14ac:dyDescent="0.25">
      <c r="A4212" t="s">
        <v>4347</v>
      </c>
      <c r="B4212" t="s">
        <v>43</v>
      </c>
      <c r="C4212" t="s">
        <v>44</v>
      </c>
      <c r="D4212" t="str">
        <f>HYPERLINK("http://service.sap.com/sap/support/notes/1873981","1873981")</f>
        <v>1873981</v>
      </c>
      <c r="E4212">
        <v>2</v>
      </c>
      <c r="F4212" t="s">
        <v>4366</v>
      </c>
    </row>
    <row r="4213" spans="1:6" x14ac:dyDescent="0.25">
      <c r="A4213" t="s">
        <v>4347</v>
      </c>
      <c r="B4213" t="s">
        <v>43</v>
      </c>
      <c r="C4213" t="s">
        <v>44</v>
      </c>
      <c r="D4213" t="str">
        <f>HYPERLINK("http://service.sap.com/sap/support/notes/1875332","1875332")</f>
        <v>1875332</v>
      </c>
      <c r="E4213">
        <v>2</v>
      </c>
      <c r="F4213" t="s">
        <v>4367</v>
      </c>
    </row>
    <row r="4214" spans="1:6" x14ac:dyDescent="0.25">
      <c r="A4214" t="s">
        <v>4347</v>
      </c>
      <c r="B4214" t="s">
        <v>522</v>
      </c>
      <c r="C4214" t="s">
        <v>523</v>
      </c>
      <c r="D4214" t="str">
        <f>HYPERLINK("http://service.sap.com/sap/support/notes/1873071","1873071")</f>
        <v>1873071</v>
      </c>
      <c r="E4214">
        <v>1</v>
      </c>
      <c r="F4214" t="s">
        <v>4368</v>
      </c>
    </row>
    <row r="4215" spans="1:6" x14ac:dyDescent="0.25">
      <c r="A4215" t="s">
        <v>4347</v>
      </c>
      <c r="B4215" t="s">
        <v>1580</v>
      </c>
      <c r="C4215" t="s">
        <v>307</v>
      </c>
      <c r="D4215" t="str">
        <f>HYPERLINK("http://service.sap.com/sap/support/notes/1868909","1868909")</f>
        <v>1868909</v>
      </c>
      <c r="E4215">
        <v>1</v>
      </c>
      <c r="F4215" t="s">
        <v>4369</v>
      </c>
    </row>
    <row r="4216" spans="1:6" x14ac:dyDescent="0.25">
      <c r="A4216" t="s">
        <v>4347</v>
      </c>
      <c r="B4216" t="s">
        <v>1582</v>
      </c>
      <c r="C4216" t="s">
        <v>314</v>
      </c>
      <c r="D4216" t="str">
        <f>HYPERLINK("http://service.sap.com/sap/support/notes/1873962","1873962")</f>
        <v>1873962</v>
      </c>
      <c r="E4216">
        <v>2</v>
      </c>
      <c r="F4216" t="s">
        <v>4370</v>
      </c>
    </row>
    <row r="4217" spans="1:6" x14ac:dyDescent="0.25">
      <c r="A4217" t="s">
        <v>4347</v>
      </c>
      <c r="B4217" t="s">
        <v>47</v>
      </c>
      <c r="C4217" t="s">
        <v>48</v>
      </c>
      <c r="D4217" t="str">
        <f>HYPERLINK("http://service.sap.com/sap/support/notes/1862130","1862130")</f>
        <v>1862130</v>
      </c>
      <c r="E4217">
        <v>1</v>
      </c>
      <c r="F4217" t="s">
        <v>4371</v>
      </c>
    </row>
    <row r="4218" spans="1:6" x14ac:dyDescent="0.25">
      <c r="A4218" t="s">
        <v>4347</v>
      </c>
      <c r="B4218" t="s">
        <v>47</v>
      </c>
      <c r="C4218" t="s">
        <v>48</v>
      </c>
      <c r="D4218" t="str">
        <f>HYPERLINK("http://service.sap.com/sap/support/notes/1865054","1865054")</f>
        <v>1865054</v>
      </c>
      <c r="E4218">
        <v>1</v>
      </c>
      <c r="F4218" t="s">
        <v>4372</v>
      </c>
    </row>
    <row r="4219" spans="1:6" x14ac:dyDescent="0.25">
      <c r="A4219" t="s">
        <v>4347</v>
      </c>
      <c r="B4219" t="s">
        <v>2835</v>
      </c>
      <c r="C4219" t="s">
        <v>2836</v>
      </c>
      <c r="D4219" t="str">
        <f>HYPERLINK("http://service.sap.com/sap/support/notes/1825042","1825042")</f>
        <v>1825042</v>
      </c>
      <c r="E4219">
        <v>3</v>
      </c>
      <c r="F4219" t="s">
        <v>2837</v>
      </c>
    </row>
    <row r="4220" spans="1:6" x14ac:dyDescent="0.25">
      <c r="A4220" t="s">
        <v>4347</v>
      </c>
      <c r="B4220" t="s">
        <v>54</v>
      </c>
      <c r="C4220" t="s">
        <v>55</v>
      </c>
      <c r="D4220" t="str">
        <f>HYPERLINK("http://service.sap.com/sap/support/notes/1864771","1864771")</f>
        <v>1864771</v>
      </c>
      <c r="E4220">
        <v>1</v>
      </c>
      <c r="F4220" t="s">
        <v>4373</v>
      </c>
    </row>
    <row r="4221" spans="1:6" x14ac:dyDescent="0.25">
      <c r="A4221" t="s">
        <v>4347</v>
      </c>
      <c r="B4221" t="s">
        <v>54</v>
      </c>
      <c r="C4221" t="s">
        <v>55</v>
      </c>
      <c r="D4221" t="str">
        <f>HYPERLINK("http://service.sap.com/sap/support/notes/1871180","1871180")</f>
        <v>1871180</v>
      </c>
      <c r="E4221">
        <v>2</v>
      </c>
      <c r="F4221" t="s">
        <v>4374</v>
      </c>
    </row>
    <row r="4222" spans="1:6" x14ac:dyDescent="0.25">
      <c r="A4222" t="s">
        <v>4347</v>
      </c>
      <c r="B4222" t="s">
        <v>63</v>
      </c>
      <c r="C4222" t="s">
        <v>64</v>
      </c>
      <c r="D4222" t="str">
        <f>HYPERLINK("http://service.sap.com/sap/support/notes/1116407","1116407")</f>
        <v>1116407</v>
      </c>
      <c r="E4222">
        <v>151</v>
      </c>
      <c r="F4222" t="s">
        <v>660</v>
      </c>
    </row>
    <row r="4223" spans="1:6" x14ac:dyDescent="0.25">
      <c r="A4223" t="s">
        <v>4347</v>
      </c>
      <c r="B4223" t="s">
        <v>63</v>
      </c>
      <c r="C4223" t="s">
        <v>64</v>
      </c>
      <c r="D4223" t="str">
        <f>HYPERLINK("http://service.sap.com/sap/support/notes/1868006","1868006")</f>
        <v>1868006</v>
      </c>
      <c r="E4223">
        <v>2</v>
      </c>
      <c r="F4223" t="s">
        <v>4375</v>
      </c>
    </row>
    <row r="4224" spans="1:6" x14ac:dyDescent="0.25">
      <c r="A4224" t="s">
        <v>4347</v>
      </c>
      <c r="B4224" t="s">
        <v>63</v>
      </c>
      <c r="C4224" t="s">
        <v>64</v>
      </c>
      <c r="D4224" t="str">
        <f>HYPERLINK("http://service.sap.com/sap/support/notes/1872892","1872892")</f>
        <v>1872892</v>
      </c>
      <c r="E4224">
        <v>2</v>
      </c>
      <c r="F4224" t="s">
        <v>4376</v>
      </c>
    </row>
    <row r="4225" spans="1:6" x14ac:dyDescent="0.25">
      <c r="A4225" t="s">
        <v>4347</v>
      </c>
      <c r="B4225" t="s">
        <v>661</v>
      </c>
      <c r="C4225" t="s">
        <v>438</v>
      </c>
      <c r="D4225" t="str">
        <f>HYPERLINK("http://service.sap.com/sap/support/notes/1871743","1871743")</f>
        <v>1871743</v>
      </c>
      <c r="E4225">
        <v>1</v>
      </c>
      <c r="F4225" t="s">
        <v>4377</v>
      </c>
    </row>
    <row r="4226" spans="1:6" x14ac:dyDescent="0.25">
      <c r="A4226" t="s">
        <v>4347</v>
      </c>
      <c r="B4226" t="s">
        <v>684</v>
      </c>
      <c r="C4226" t="s">
        <v>451</v>
      </c>
      <c r="D4226" t="str">
        <f>HYPERLINK("http://service.sap.com/sap/support/notes/1871610","1871610")</f>
        <v>1871610</v>
      </c>
      <c r="E4226">
        <v>1</v>
      </c>
      <c r="F4226" t="s">
        <v>4378</v>
      </c>
    </row>
    <row r="4227" spans="1:6" x14ac:dyDescent="0.25">
      <c r="A4227" t="s">
        <v>4347</v>
      </c>
      <c r="B4227" t="s">
        <v>531</v>
      </c>
      <c r="C4227" t="s">
        <v>532</v>
      </c>
      <c r="D4227" t="str">
        <f>HYPERLINK("http://service.sap.com/sap/support/notes/1866133","1866133")</f>
        <v>1866133</v>
      </c>
      <c r="E4227">
        <v>3</v>
      </c>
      <c r="F4227" t="s">
        <v>4379</v>
      </c>
    </row>
    <row r="4228" spans="1:6" x14ac:dyDescent="0.25">
      <c r="A4228" t="s">
        <v>4347</v>
      </c>
      <c r="B4228" t="s">
        <v>79</v>
      </c>
      <c r="C4228" t="s">
        <v>80</v>
      </c>
    </row>
    <row r="4229" spans="1:6" x14ac:dyDescent="0.25">
      <c r="A4229" t="s">
        <v>4347</v>
      </c>
      <c r="B4229" t="s">
        <v>81</v>
      </c>
      <c r="C4229" t="s">
        <v>82</v>
      </c>
      <c r="D4229" t="str">
        <f>HYPERLINK("http://service.sap.com/sap/support/notes/1835951","1835951")</f>
        <v>1835951</v>
      </c>
      <c r="E4229">
        <v>5</v>
      </c>
      <c r="F4229" t="s">
        <v>4380</v>
      </c>
    </row>
    <row r="4230" spans="1:6" x14ac:dyDescent="0.25">
      <c r="A4230" t="s">
        <v>4347</v>
      </c>
      <c r="B4230" t="s">
        <v>85</v>
      </c>
      <c r="C4230" t="s">
        <v>86</v>
      </c>
    </row>
    <row r="4231" spans="1:6" x14ac:dyDescent="0.25">
      <c r="A4231" t="s">
        <v>4347</v>
      </c>
      <c r="B4231" t="s">
        <v>644</v>
      </c>
      <c r="C4231" t="s">
        <v>645</v>
      </c>
      <c r="D4231" t="str">
        <f>HYPERLINK("http://service.sap.com/sap/support/notes/1866159","1866159")</f>
        <v>1866159</v>
      </c>
      <c r="E4231">
        <v>1</v>
      </c>
      <c r="F4231" t="s">
        <v>4381</v>
      </c>
    </row>
    <row r="4232" spans="1:6" x14ac:dyDescent="0.25">
      <c r="A4232" t="s">
        <v>4347</v>
      </c>
      <c r="B4232" t="s">
        <v>682</v>
      </c>
      <c r="C4232" t="s">
        <v>683</v>
      </c>
      <c r="D4232" t="str">
        <f>HYPERLINK("http://service.sap.com/sap/support/notes/1870280","1870280")</f>
        <v>1870280</v>
      </c>
      <c r="E4232">
        <v>1</v>
      </c>
      <c r="F4232" t="s">
        <v>3907</v>
      </c>
    </row>
    <row r="4233" spans="1:6" x14ac:dyDescent="0.25">
      <c r="A4233" t="s">
        <v>4347</v>
      </c>
      <c r="B4233" t="s">
        <v>696</v>
      </c>
      <c r="C4233" t="s">
        <v>697</v>
      </c>
    </row>
    <row r="4234" spans="1:6" x14ac:dyDescent="0.25">
      <c r="A4234" t="s">
        <v>4347</v>
      </c>
      <c r="B4234" t="s">
        <v>698</v>
      </c>
      <c r="C4234" t="s">
        <v>699</v>
      </c>
      <c r="D4234" t="str">
        <f>HYPERLINK("http://service.sap.com/sap/support/notes/1534968","1534968")</f>
        <v>1534968</v>
      </c>
      <c r="E4234">
        <v>1</v>
      </c>
      <c r="F4234" t="s">
        <v>4382</v>
      </c>
    </row>
    <row r="4235" spans="1:6" x14ac:dyDescent="0.25">
      <c r="A4235" t="s">
        <v>4347</v>
      </c>
      <c r="B4235" t="s">
        <v>698</v>
      </c>
      <c r="C4235" t="s">
        <v>699</v>
      </c>
      <c r="D4235" t="str">
        <f>HYPERLINK("http://service.sap.com/sap/support/notes/1871156","1871156")</f>
        <v>1871156</v>
      </c>
      <c r="E4235">
        <v>1</v>
      </c>
      <c r="F4235" t="s">
        <v>4383</v>
      </c>
    </row>
    <row r="4236" spans="1:6" x14ac:dyDescent="0.25">
      <c r="A4236" t="s">
        <v>4347</v>
      </c>
      <c r="B4236" t="s">
        <v>90</v>
      </c>
      <c r="C4236" t="s">
        <v>13</v>
      </c>
    </row>
    <row r="4237" spans="1:6" x14ac:dyDescent="0.25">
      <c r="A4237" t="s">
        <v>4347</v>
      </c>
      <c r="B4237" t="s">
        <v>91</v>
      </c>
      <c r="C4237" t="s">
        <v>92</v>
      </c>
      <c r="D4237" t="str">
        <f>HYPERLINK("http://service.sap.com/sap/support/notes/1866024","1866024")</f>
        <v>1866024</v>
      </c>
      <c r="E4237">
        <v>2</v>
      </c>
      <c r="F4237" t="s">
        <v>4384</v>
      </c>
    </row>
    <row r="4238" spans="1:6" x14ac:dyDescent="0.25">
      <c r="A4238" t="s">
        <v>4347</v>
      </c>
      <c r="B4238" t="s">
        <v>95</v>
      </c>
      <c r="C4238" t="s">
        <v>96</v>
      </c>
    </row>
    <row r="4239" spans="1:6" x14ac:dyDescent="0.25">
      <c r="A4239" t="s">
        <v>4347</v>
      </c>
      <c r="B4239" t="s">
        <v>569</v>
      </c>
      <c r="C4239" t="s">
        <v>28</v>
      </c>
      <c r="D4239" t="str">
        <f>HYPERLINK("http://service.sap.com/sap/support/notes/1860535","1860535")</f>
        <v>1860535</v>
      </c>
      <c r="E4239">
        <v>3</v>
      </c>
      <c r="F4239" t="s">
        <v>4385</v>
      </c>
    </row>
    <row r="4240" spans="1:6" x14ac:dyDescent="0.25">
      <c r="A4240" t="s">
        <v>4347</v>
      </c>
      <c r="B4240" t="s">
        <v>569</v>
      </c>
      <c r="C4240" t="s">
        <v>28</v>
      </c>
      <c r="D4240" t="str">
        <f>HYPERLINK("http://service.sap.com/sap/support/notes/1861906","1861906")</f>
        <v>1861906</v>
      </c>
      <c r="E4240">
        <v>3</v>
      </c>
      <c r="F4240" t="s">
        <v>4386</v>
      </c>
    </row>
    <row r="4241" spans="1:6" x14ac:dyDescent="0.25">
      <c r="A4241" t="s">
        <v>4347</v>
      </c>
      <c r="B4241" t="s">
        <v>569</v>
      </c>
      <c r="C4241" t="s">
        <v>28</v>
      </c>
      <c r="D4241" t="str">
        <f>HYPERLINK("http://service.sap.com/sap/support/notes/1867663","1867663")</f>
        <v>1867663</v>
      </c>
      <c r="E4241">
        <v>1</v>
      </c>
      <c r="F4241" t="s">
        <v>4387</v>
      </c>
    </row>
    <row r="4242" spans="1:6" x14ac:dyDescent="0.25">
      <c r="A4242" t="s">
        <v>4347</v>
      </c>
      <c r="B4242" t="s">
        <v>97</v>
      </c>
      <c r="C4242" t="s">
        <v>98</v>
      </c>
      <c r="D4242" t="str">
        <f>HYPERLINK("http://service.sap.com/sap/support/notes/1700761","1700761")</f>
        <v>1700761</v>
      </c>
      <c r="E4242">
        <v>3</v>
      </c>
      <c r="F4242" t="s">
        <v>3926</v>
      </c>
    </row>
    <row r="4243" spans="1:6" x14ac:dyDescent="0.25">
      <c r="A4243" t="s">
        <v>4347</v>
      </c>
      <c r="B4243" t="s">
        <v>97</v>
      </c>
      <c r="C4243" t="s">
        <v>98</v>
      </c>
      <c r="D4243" t="str">
        <f>HYPERLINK("http://service.sap.com/sap/support/notes/1818140","1818140")</f>
        <v>1818140</v>
      </c>
      <c r="E4243">
        <v>1</v>
      </c>
      <c r="F4243" t="s">
        <v>4388</v>
      </c>
    </row>
    <row r="4244" spans="1:6" x14ac:dyDescent="0.25">
      <c r="A4244" t="s">
        <v>4347</v>
      </c>
      <c r="B4244" t="s">
        <v>97</v>
      </c>
      <c r="C4244" t="s">
        <v>98</v>
      </c>
      <c r="D4244" t="str">
        <f>HYPERLINK("http://service.sap.com/sap/support/notes/1839402","1839402")</f>
        <v>1839402</v>
      </c>
      <c r="E4244">
        <v>1</v>
      </c>
      <c r="F4244" t="s">
        <v>4389</v>
      </c>
    </row>
    <row r="4245" spans="1:6" x14ac:dyDescent="0.25">
      <c r="A4245" t="s">
        <v>4347</v>
      </c>
      <c r="B4245" t="s">
        <v>97</v>
      </c>
      <c r="C4245" t="s">
        <v>98</v>
      </c>
      <c r="D4245" t="str">
        <f>HYPERLINK("http://service.sap.com/sap/support/notes/1842396","1842396")</f>
        <v>1842396</v>
      </c>
      <c r="E4245">
        <v>2</v>
      </c>
      <c r="F4245" t="s">
        <v>4390</v>
      </c>
    </row>
    <row r="4246" spans="1:6" x14ac:dyDescent="0.25">
      <c r="A4246" t="s">
        <v>4347</v>
      </c>
      <c r="B4246" t="s">
        <v>97</v>
      </c>
      <c r="C4246" t="s">
        <v>98</v>
      </c>
      <c r="D4246" t="str">
        <f>HYPERLINK("http://service.sap.com/sap/support/notes/1842518","1842518")</f>
        <v>1842518</v>
      </c>
      <c r="E4246">
        <v>1</v>
      </c>
      <c r="F4246" t="s">
        <v>4391</v>
      </c>
    </row>
    <row r="4247" spans="1:6" x14ac:dyDescent="0.25">
      <c r="A4247" t="s">
        <v>4347</v>
      </c>
      <c r="B4247" t="s">
        <v>97</v>
      </c>
      <c r="C4247" t="s">
        <v>98</v>
      </c>
      <c r="D4247" t="str">
        <f>HYPERLINK("http://service.sap.com/sap/support/notes/1859557","1859557")</f>
        <v>1859557</v>
      </c>
      <c r="E4247">
        <v>3</v>
      </c>
      <c r="F4247" t="s">
        <v>4392</v>
      </c>
    </row>
    <row r="4248" spans="1:6" x14ac:dyDescent="0.25">
      <c r="A4248" t="s">
        <v>4347</v>
      </c>
      <c r="B4248" t="s">
        <v>97</v>
      </c>
      <c r="C4248" t="s">
        <v>98</v>
      </c>
      <c r="D4248" t="str">
        <f>HYPERLINK("http://service.sap.com/sap/support/notes/1861643","1861643")</f>
        <v>1861643</v>
      </c>
      <c r="E4248">
        <v>1</v>
      </c>
      <c r="F4248" t="s">
        <v>4393</v>
      </c>
    </row>
    <row r="4249" spans="1:6" x14ac:dyDescent="0.25">
      <c r="A4249" t="s">
        <v>4347</v>
      </c>
      <c r="B4249" t="s">
        <v>97</v>
      </c>
      <c r="C4249" t="s">
        <v>98</v>
      </c>
      <c r="D4249" t="str">
        <f>HYPERLINK("http://service.sap.com/sap/support/notes/1864061","1864061")</f>
        <v>1864061</v>
      </c>
      <c r="E4249">
        <v>3</v>
      </c>
      <c r="F4249" t="s">
        <v>4394</v>
      </c>
    </row>
    <row r="4250" spans="1:6" x14ac:dyDescent="0.25">
      <c r="A4250" t="s">
        <v>4347</v>
      </c>
      <c r="B4250" t="s">
        <v>97</v>
      </c>
      <c r="C4250" t="s">
        <v>98</v>
      </c>
      <c r="D4250" t="str">
        <f>HYPERLINK("http://service.sap.com/sap/support/notes/1866372","1866372")</f>
        <v>1866372</v>
      </c>
      <c r="E4250">
        <v>1</v>
      </c>
      <c r="F4250" t="s">
        <v>4395</v>
      </c>
    </row>
    <row r="4251" spans="1:6" x14ac:dyDescent="0.25">
      <c r="A4251" t="s">
        <v>4347</v>
      </c>
      <c r="B4251" t="s">
        <v>97</v>
      </c>
      <c r="C4251" t="s">
        <v>98</v>
      </c>
      <c r="D4251" t="str">
        <f>HYPERLINK("http://service.sap.com/sap/support/notes/1868017","1868017")</f>
        <v>1868017</v>
      </c>
      <c r="E4251">
        <v>3</v>
      </c>
      <c r="F4251" t="s">
        <v>4396</v>
      </c>
    </row>
    <row r="4252" spans="1:6" x14ac:dyDescent="0.25">
      <c r="A4252" t="s">
        <v>4347</v>
      </c>
      <c r="B4252" t="s">
        <v>97</v>
      </c>
      <c r="C4252" t="s">
        <v>98</v>
      </c>
      <c r="D4252" t="str">
        <f>HYPERLINK("http://service.sap.com/sap/support/notes/1868171","1868171")</f>
        <v>1868171</v>
      </c>
      <c r="E4252">
        <v>4</v>
      </c>
      <c r="F4252" t="s">
        <v>4397</v>
      </c>
    </row>
    <row r="4253" spans="1:6" x14ac:dyDescent="0.25">
      <c r="A4253" t="s">
        <v>4347</v>
      </c>
      <c r="B4253" t="s">
        <v>97</v>
      </c>
      <c r="C4253" t="s">
        <v>98</v>
      </c>
      <c r="D4253" t="str">
        <f>HYPERLINK("http://service.sap.com/sap/support/notes/1869980","1869980")</f>
        <v>1869980</v>
      </c>
      <c r="E4253">
        <v>2</v>
      </c>
      <c r="F4253" t="s">
        <v>4398</v>
      </c>
    </row>
    <row r="4254" spans="1:6" x14ac:dyDescent="0.25">
      <c r="A4254" t="s">
        <v>4347</v>
      </c>
      <c r="B4254" t="s">
        <v>97</v>
      </c>
      <c r="C4254" t="s">
        <v>98</v>
      </c>
      <c r="D4254" t="str">
        <f>HYPERLINK("http://service.sap.com/sap/support/notes/1870965","1870965")</f>
        <v>1870965</v>
      </c>
      <c r="E4254">
        <v>1</v>
      </c>
      <c r="F4254" t="s">
        <v>4399</v>
      </c>
    </row>
    <row r="4255" spans="1:6" x14ac:dyDescent="0.25">
      <c r="A4255" t="s">
        <v>4347</v>
      </c>
      <c r="B4255" t="s">
        <v>97</v>
      </c>
      <c r="C4255" t="s">
        <v>98</v>
      </c>
      <c r="D4255" t="str">
        <f>HYPERLINK("http://service.sap.com/sap/support/notes/1871100","1871100")</f>
        <v>1871100</v>
      </c>
      <c r="E4255">
        <v>1</v>
      </c>
      <c r="F4255" t="s">
        <v>4400</v>
      </c>
    </row>
    <row r="4256" spans="1:6" x14ac:dyDescent="0.25">
      <c r="A4256" t="s">
        <v>4347</v>
      </c>
      <c r="B4256" t="s">
        <v>97</v>
      </c>
      <c r="C4256" t="s">
        <v>98</v>
      </c>
      <c r="D4256" t="str">
        <f>HYPERLINK("http://service.sap.com/sap/support/notes/1871951","1871951")</f>
        <v>1871951</v>
      </c>
      <c r="E4256">
        <v>3</v>
      </c>
      <c r="F4256" t="s">
        <v>4401</v>
      </c>
    </row>
    <row r="4257" spans="1:6" x14ac:dyDescent="0.25">
      <c r="A4257" t="s">
        <v>4347</v>
      </c>
      <c r="B4257" t="s">
        <v>97</v>
      </c>
      <c r="C4257" t="s">
        <v>98</v>
      </c>
      <c r="D4257" t="str">
        <f>HYPERLINK("http://service.sap.com/sap/support/notes/1875319","1875319")</f>
        <v>1875319</v>
      </c>
      <c r="E4257">
        <v>1</v>
      </c>
      <c r="F4257" t="s">
        <v>4402</v>
      </c>
    </row>
    <row r="4258" spans="1:6" x14ac:dyDescent="0.25">
      <c r="A4258" t="s">
        <v>4347</v>
      </c>
      <c r="B4258" t="s">
        <v>97</v>
      </c>
      <c r="C4258" t="s">
        <v>98</v>
      </c>
      <c r="D4258" t="str">
        <f>HYPERLINK("http://service.sap.com/sap/support/notes/1875484","1875484")</f>
        <v>1875484</v>
      </c>
      <c r="E4258">
        <v>1</v>
      </c>
      <c r="F4258" t="s">
        <v>4403</v>
      </c>
    </row>
    <row r="4259" spans="1:6" x14ac:dyDescent="0.25">
      <c r="A4259" t="s">
        <v>4347</v>
      </c>
      <c r="B4259" t="s">
        <v>570</v>
      </c>
      <c r="C4259" t="s">
        <v>128</v>
      </c>
      <c r="D4259" t="str">
        <f>HYPERLINK("http://service.sap.com/sap/support/notes/1790550","1790550")</f>
        <v>1790550</v>
      </c>
      <c r="E4259">
        <v>6</v>
      </c>
      <c r="F4259" t="s">
        <v>4404</v>
      </c>
    </row>
    <row r="4260" spans="1:6" x14ac:dyDescent="0.25">
      <c r="A4260" t="s">
        <v>4347</v>
      </c>
      <c r="B4260" t="s">
        <v>570</v>
      </c>
      <c r="C4260" t="s">
        <v>128</v>
      </c>
      <c r="D4260" t="str">
        <f>HYPERLINK("http://service.sap.com/sap/support/notes/1834428","1834428")</f>
        <v>1834428</v>
      </c>
      <c r="E4260">
        <v>3</v>
      </c>
      <c r="F4260" t="s">
        <v>4405</v>
      </c>
    </row>
    <row r="4261" spans="1:6" x14ac:dyDescent="0.25">
      <c r="A4261" t="s">
        <v>4347</v>
      </c>
      <c r="B4261" t="s">
        <v>114</v>
      </c>
      <c r="C4261" t="s">
        <v>115</v>
      </c>
      <c r="D4261" t="str">
        <f>HYPERLINK("http://service.sap.com/sap/support/notes/1807136","1807136")</f>
        <v>1807136</v>
      </c>
      <c r="E4261">
        <v>2</v>
      </c>
      <c r="F4261" t="s">
        <v>1648</v>
      </c>
    </row>
    <row r="4262" spans="1:6" x14ac:dyDescent="0.25">
      <c r="A4262" t="s">
        <v>4347</v>
      </c>
      <c r="B4262" t="s">
        <v>114</v>
      </c>
      <c r="C4262" t="s">
        <v>115</v>
      </c>
      <c r="D4262" t="str">
        <f>HYPERLINK("http://service.sap.com/sap/support/notes/1852639","1852639")</f>
        <v>1852639</v>
      </c>
      <c r="E4262">
        <v>3</v>
      </c>
      <c r="F4262" t="s">
        <v>3944</v>
      </c>
    </row>
    <row r="4263" spans="1:6" x14ac:dyDescent="0.25">
      <c r="A4263" t="s">
        <v>4347</v>
      </c>
      <c r="B4263" t="s">
        <v>114</v>
      </c>
      <c r="C4263" t="s">
        <v>115</v>
      </c>
      <c r="D4263" t="str">
        <f>HYPERLINK("http://service.sap.com/sap/support/notes/1856814","1856814")</f>
        <v>1856814</v>
      </c>
      <c r="E4263">
        <v>1</v>
      </c>
      <c r="F4263" t="s">
        <v>4406</v>
      </c>
    </row>
    <row r="4264" spans="1:6" x14ac:dyDescent="0.25">
      <c r="A4264" t="s">
        <v>4347</v>
      </c>
      <c r="B4264" t="s">
        <v>114</v>
      </c>
      <c r="C4264" t="s">
        <v>115</v>
      </c>
      <c r="D4264" t="str">
        <f>HYPERLINK("http://service.sap.com/sap/support/notes/1857406","1857406")</f>
        <v>1857406</v>
      </c>
      <c r="E4264">
        <v>4</v>
      </c>
      <c r="F4264" t="s">
        <v>4407</v>
      </c>
    </row>
    <row r="4265" spans="1:6" x14ac:dyDescent="0.25">
      <c r="A4265" t="s">
        <v>4347</v>
      </c>
      <c r="B4265" t="s">
        <v>114</v>
      </c>
      <c r="C4265" t="s">
        <v>115</v>
      </c>
      <c r="D4265" t="str">
        <f>HYPERLINK("http://service.sap.com/sap/support/notes/1863304","1863304")</f>
        <v>1863304</v>
      </c>
      <c r="E4265">
        <v>1</v>
      </c>
      <c r="F4265" t="s">
        <v>4408</v>
      </c>
    </row>
    <row r="4266" spans="1:6" x14ac:dyDescent="0.25">
      <c r="A4266" t="s">
        <v>4347</v>
      </c>
      <c r="B4266" t="s">
        <v>114</v>
      </c>
      <c r="C4266" t="s">
        <v>115</v>
      </c>
      <c r="D4266" t="str">
        <f>HYPERLINK("http://service.sap.com/sap/support/notes/1867925","1867925")</f>
        <v>1867925</v>
      </c>
      <c r="E4266">
        <v>4</v>
      </c>
      <c r="F4266" t="s">
        <v>4409</v>
      </c>
    </row>
    <row r="4267" spans="1:6" x14ac:dyDescent="0.25">
      <c r="A4267" t="s">
        <v>4347</v>
      </c>
      <c r="B4267" t="s">
        <v>114</v>
      </c>
      <c r="C4267" t="s">
        <v>115</v>
      </c>
      <c r="D4267" t="str">
        <f>HYPERLINK("http://service.sap.com/sap/support/notes/1868976","1868976")</f>
        <v>1868976</v>
      </c>
      <c r="E4267">
        <v>1</v>
      </c>
      <c r="F4267" t="s">
        <v>4410</v>
      </c>
    </row>
    <row r="4268" spans="1:6" x14ac:dyDescent="0.25">
      <c r="A4268" t="s">
        <v>4347</v>
      </c>
      <c r="B4268" t="s">
        <v>114</v>
      </c>
      <c r="C4268" t="s">
        <v>115</v>
      </c>
      <c r="D4268" t="str">
        <f>HYPERLINK("http://service.sap.com/sap/support/notes/1870334","1870334")</f>
        <v>1870334</v>
      </c>
      <c r="E4268">
        <v>1</v>
      </c>
      <c r="F4268" t="s">
        <v>4411</v>
      </c>
    </row>
    <row r="4269" spans="1:6" x14ac:dyDescent="0.25">
      <c r="A4269" t="s">
        <v>4347</v>
      </c>
      <c r="B4269" t="s">
        <v>114</v>
      </c>
      <c r="C4269" t="s">
        <v>115</v>
      </c>
      <c r="D4269" t="str">
        <f>HYPERLINK("http://service.sap.com/sap/support/notes/1873546","1873546")</f>
        <v>1873546</v>
      </c>
      <c r="E4269">
        <v>1</v>
      </c>
      <c r="F4269" t="s">
        <v>4412</v>
      </c>
    </row>
    <row r="4270" spans="1:6" x14ac:dyDescent="0.25">
      <c r="A4270" t="s">
        <v>4347</v>
      </c>
      <c r="B4270" t="s">
        <v>114</v>
      </c>
      <c r="C4270" t="s">
        <v>115</v>
      </c>
      <c r="D4270" t="str">
        <f>HYPERLINK("http://service.sap.com/sap/support/notes/1873577","1873577")</f>
        <v>1873577</v>
      </c>
      <c r="E4270">
        <v>1</v>
      </c>
      <c r="F4270" t="s">
        <v>4413</v>
      </c>
    </row>
    <row r="4271" spans="1:6" x14ac:dyDescent="0.25">
      <c r="A4271" t="s">
        <v>4347</v>
      </c>
      <c r="B4271" t="s">
        <v>114</v>
      </c>
      <c r="C4271" t="s">
        <v>115</v>
      </c>
      <c r="D4271" t="str">
        <f>HYPERLINK("http://service.sap.com/sap/support/notes/1875859","1875859")</f>
        <v>1875859</v>
      </c>
      <c r="E4271">
        <v>2</v>
      </c>
      <c r="F4271" t="s">
        <v>4414</v>
      </c>
    </row>
    <row r="4272" spans="1:6" x14ac:dyDescent="0.25">
      <c r="A4272" t="s">
        <v>4347</v>
      </c>
      <c r="B4272" t="s">
        <v>114</v>
      </c>
      <c r="C4272" t="s">
        <v>115</v>
      </c>
      <c r="D4272" t="str">
        <f>HYPERLINK("http://service.sap.com/sap/support/notes/1876033","1876033")</f>
        <v>1876033</v>
      </c>
      <c r="E4272">
        <v>2</v>
      </c>
      <c r="F4272" t="s">
        <v>4415</v>
      </c>
    </row>
    <row r="4273" spans="1:6" x14ac:dyDescent="0.25">
      <c r="A4273" t="s">
        <v>4347</v>
      </c>
      <c r="B4273" t="s">
        <v>114</v>
      </c>
      <c r="C4273" t="s">
        <v>115</v>
      </c>
      <c r="D4273" t="str">
        <f>HYPERLINK("http://service.sap.com/sap/support/notes/1876058","1876058")</f>
        <v>1876058</v>
      </c>
      <c r="E4273">
        <v>1</v>
      </c>
      <c r="F4273" t="s">
        <v>4416</v>
      </c>
    </row>
    <row r="4274" spans="1:6" x14ac:dyDescent="0.25">
      <c r="A4274" t="s">
        <v>4347</v>
      </c>
      <c r="B4274" t="s">
        <v>114</v>
      </c>
      <c r="C4274" t="s">
        <v>115</v>
      </c>
      <c r="D4274" t="str">
        <f>HYPERLINK("http://service.sap.com/sap/support/notes/1876195","1876195")</f>
        <v>1876195</v>
      </c>
      <c r="E4274">
        <v>1</v>
      </c>
      <c r="F4274" t="s">
        <v>4417</v>
      </c>
    </row>
    <row r="4275" spans="1:6" x14ac:dyDescent="0.25">
      <c r="A4275" t="s">
        <v>4347</v>
      </c>
      <c r="B4275" t="s">
        <v>114</v>
      </c>
      <c r="C4275" t="s">
        <v>115</v>
      </c>
      <c r="D4275" t="str">
        <f>HYPERLINK("http://service.sap.com/sap/support/notes/1876345","1876345")</f>
        <v>1876345</v>
      </c>
      <c r="E4275">
        <v>3</v>
      </c>
      <c r="F4275" t="s">
        <v>4418</v>
      </c>
    </row>
    <row r="4276" spans="1:6" x14ac:dyDescent="0.25">
      <c r="A4276" t="s">
        <v>4347</v>
      </c>
      <c r="B4276" t="s">
        <v>114</v>
      </c>
      <c r="C4276" t="s">
        <v>115</v>
      </c>
      <c r="D4276" t="str">
        <f>HYPERLINK("http://service.sap.com/sap/support/notes/1877315","1877315")</f>
        <v>1877315</v>
      </c>
      <c r="E4276">
        <v>1</v>
      </c>
      <c r="F4276" t="s">
        <v>4419</v>
      </c>
    </row>
    <row r="4277" spans="1:6" x14ac:dyDescent="0.25">
      <c r="A4277" t="s">
        <v>4347</v>
      </c>
      <c r="B4277" t="s">
        <v>685</v>
      </c>
      <c r="C4277" t="s">
        <v>686</v>
      </c>
      <c r="D4277" t="str">
        <f>HYPERLINK("http://service.sap.com/sap/support/notes/1865188","1865188")</f>
        <v>1865188</v>
      </c>
      <c r="E4277">
        <v>1</v>
      </c>
      <c r="F4277" t="s">
        <v>4420</v>
      </c>
    </row>
    <row r="4278" spans="1:6" x14ac:dyDescent="0.25">
      <c r="A4278" t="s">
        <v>4347</v>
      </c>
      <c r="B4278" t="s">
        <v>127</v>
      </c>
      <c r="C4278" t="s">
        <v>128</v>
      </c>
      <c r="D4278" t="str">
        <f>HYPERLINK("http://service.sap.com/sap/support/notes/1851506","1851506")</f>
        <v>1851506</v>
      </c>
      <c r="E4278">
        <v>2</v>
      </c>
      <c r="F4278" t="s">
        <v>4421</v>
      </c>
    </row>
    <row r="4279" spans="1:6" x14ac:dyDescent="0.25">
      <c r="A4279" t="s">
        <v>4347</v>
      </c>
      <c r="B4279" t="s">
        <v>127</v>
      </c>
      <c r="C4279" t="s">
        <v>128</v>
      </c>
      <c r="D4279" t="str">
        <f>HYPERLINK("http://service.sap.com/sap/support/notes/1863166","1863166")</f>
        <v>1863166</v>
      </c>
      <c r="E4279">
        <v>2</v>
      </c>
      <c r="F4279" t="s">
        <v>4422</v>
      </c>
    </row>
    <row r="4280" spans="1:6" x14ac:dyDescent="0.25">
      <c r="A4280" t="s">
        <v>4347</v>
      </c>
      <c r="B4280" t="s">
        <v>127</v>
      </c>
      <c r="C4280" t="s">
        <v>128</v>
      </c>
      <c r="D4280" t="str">
        <f>HYPERLINK("http://service.sap.com/sap/support/notes/1865192","1865192")</f>
        <v>1865192</v>
      </c>
      <c r="E4280">
        <v>1</v>
      </c>
      <c r="F4280" t="s">
        <v>4423</v>
      </c>
    </row>
    <row r="4281" spans="1:6" x14ac:dyDescent="0.25">
      <c r="A4281" t="s">
        <v>4347</v>
      </c>
      <c r="B4281" t="s">
        <v>127</v>
      </c>
      <c r="C4281" t="s">
        <v>128</v>
      </c>
      <c r="D4281" t="str">
        <f>HYPERLINK("http://service.sap.com/sap/support/notes/1867781","1867781")</f>
        <v>1867781</v>
      </c>
      <c r="E4281">
        <v>1</v>
      </c>
      <c r="F4281" t="s">
        <v>4424</v>
      </c>
    </row>
    <row r="4282" spans="1:6" x14ac:dyDescent="0.25">
      <c r="A4282" t="s">
        <v>4347</v>
      </c>
      <c r="B4282" t="s">
        <v>127</v>
      </c>
      <c r="C4282" t="s">
        <v>128</v>
      </c>
      <c r="D4282" t="str">
        <f>HYPERLINK("http://service.sap.com/sap/support/notes/1867961","1867961")</f>
        <v>1867961</v>
      </c>
      <c r="E4282">
        <v>1</v>
      </c>
      <c r="F4282" t="s">
        <v>4425</v>
      </c>
    </row>
    <row r="4283" spans="1:6" x14ac:dyDescent="0.25">
      <c r="A4283" t="s">
        <v>4347</v>
      </c>
      <c r="B4283" t="s">
        <v>4426</v>
      </c>
      <c r="C4283" t="s">
        <v>4427</v>
      </c>
      <c r="D4283" t="str">
        <f>HYPERLINK("http://service.sap.com/sap/support/notes/1868984","1868984")</f>
        <v>1868984</v>
      </c>
      <c r="E4283">
        <v>5</v>
      </c>
      <c r="F4283" t="s">
        <v>4428</v>
      </c>
    </row>
    <row r="4284" spans="1:6" x14ac:dyDescent="0.25">
      <c r="A4284" t="s">
        <v>4347</v>
      </c>
      <c r="B4284" t="s">
        <v>3967</v>
      </c>
      <c r="C4284" t="s">
        <v>4429</v>
      </c>
      <c r="D4284" t="str">
        <f>HYPERLINK("http://service.sap.com/sap/support/notes/1850504","1850504")</f>
        <v>1850504</v>
      </c>
      <c r="E4284">
        <v>1</v>
      </c>
      <c r="F4284" t="s">
        <v>3969</v>
      </c>
    </row>
    <row r="4285" spans="1:6" x14ac:dyDescent="0.25">
      <c r="A4285" t="s">
        <v>4347</v>
      </c>
      <c r="B4285" t="s">
        <v>3967</v>
      </c>
      <c r="C4285" t="s">
        <v>4429</v>
      </c>
      <c r="D4285" t="str">
        <f>HYPERLINK("http://service.sap.com/sap/support/notes/1865344","1865344")</f>
        <v>1865344</v>
      </c>
      <c r="E4285">
        <v>1</v>
      </c>
      <c r="F4285" t="s">
        <v>4430</v>
      </c>
    </row>
    <row r="4286" spans="1:6" x14ac:dyDescent="0.25">
      <c r="A4286" t="s">
        <v>4347</v>
      </c>
      <c r="B4286" t="s">
        <v>131</v>
      </c>
      <c r="C4286" t="s">
        <v>132</v>
      </c>
      <c r="D4286" t="str">
        <f>HYPERLINK("http://service.sap.com/sap/support/notes/1842341","1842341")</f>
        <v>1842341</v>
      </c>
      <c r="E4286">
        <v>3</v>
      </c>
      <c r="F4286" t="s">
        <v>4431</v>
      </c>
    </row>
    <row r="4287" spans="1:6" x14ac:dyDescent="0.25">
      <c r="A4287" t="s">
        <v>4347</v>
      </c>
      <c r="B4287" t="s">
        <v>131</v>
      </c>
      <c r="C4287" t="s">
        <v>132</v>
      </c>
      <c r="D4287" t="str">
        <f>HYPERLINK("http://service.sap.com/sap/support/notes/1846054","1846054")</f>
        <v>1846054</v>
      </c>
      <c r="E4287">
        <v>1</v>
      </c>
      <c r="F4287" t="s">
        <v>4432</v>
      </c>
    </row>
    <row r="4288" spans="1:6" x14ac:dyDescent="0.25">
      <c r="A4288" t="s">
        <v>4347</v>
      </c>
      <c r="B4288" t="s">
        <v>131</v>
      </c>
      <c r="C4288" t="s">
        <v>132</v>
      </c>
      <c r="D4288" t="str">
        <f>HYPERLINK("http://service.sap.com/sap/support/notes/1855114","1855114")</f>
        <v>1855114</v>
      </c>
      <c r="E4288">
        <v>4</v>
      </c>
      <c r="F4288" t="s">
        <v>4433</v>
      </c>
    </row>
    <row r="4289" spans="1:6" x14ac:dyDescent="0.25">
      <c r="A4289" t="s">
        <v>4347</v>
      </c>
      <c r="B4289" t="s">
        <v>131</v>
      </c>
      <c r="C4289" t="s">
        <v>132</v>
      </c>
      <c r="D4289" t="str">
        <f>HYPERLINK("http://service.sap.com/sap/support/notes/1859699","1859699")</f>
        <v>1859699</v>
      </c>
      <c r="E4289">
        <v>4</v>
      </c>
      <c r="F4289" t="s">
        <v>4434</v>
      </c>
    </row>
    <row r="4290" spans="1:6" x14ac:dyDescent="0.25">
      <c r="A4290" t="s">
        <v>4347</v>
      </c>
      <c r="B4290" t="s">
        <v>131</v>
      </c>
      <c r="C4290" t="s">
        <v>132</v>
      </c>
      <c r="D4290" t="str">
        <f>HYPERLINK("http://service.sap.com/sap/support/notes/1864790","1864790")</f>
        <v>1864790</v>
      </c>
      <c r="E4290">
        <v>3</v>
      </c>
      <c r="F4290" t="s">
        <v>4435</v>
      </c>
    </row>
    <row r="4291" spans="1:6" x14ac:dyDescent="0.25">
      <c r="A4291" t="s">
        <v>4347</v>
      </c>
      <c r="B4291" t="s">
        <v>131</v>
      </c>
      <c r="C4291" t="s">
        <v>132</v>
      </c>
      <c r="D4291" t="str">
        <f>HYPERLINK("http://service.sap.com/sap/support/notes/1865091","1865091")</f>
        <v>1865091</v>
      </c>
      <c r="E4291">
        <v>2</v>
      </c>
      <c r="F4291" t="s">
        <v>4436</v>
      </c>
    </row>
    <row r="4292" spans="1:6" x14ac:dyDescent="0.25">
      <c r="A4292" t="s">
        <v>4347</v>
      </c>
      <c r="B4292" t="s">
        <v>131</v>
      </c>
      <c r="C4292" t="s">
        <v>132</v>
      </c>
      <c r="D4292" t="str">
        <f>HYPERLINK("http://service.sap.com/sap/support/notes/1865114","1865114")</f>
        <v>1865114</v>
      </c>
      <c r="E4292">
        <v>3</v>
      </c>
      <c r="F4292" t="s">
        <v>4437</v>
      </c>
    </row>
    <row r="4293" spans="1:6" x14ac:dyDescent="0.25">
      <c r="A4293" t="s">
        <v>4347</v>
      </c>
      <c r="B4293" t="s">
        <v>131</v>
      </c>
      <c r="C4293" t="s">
        <v>132</v>
      </c>
      <c r="D4293" t="str">
        <f>HYPERLINK("http://service.sap.com/sap/support/notes/1865117","1865117")</f>
        <v>1865117</v>
      </c>
      <c r="E4293">
        <v>2</v>
      </c>
      <c r="F4293" t="s">
        <v>4438</v>
      </c>
    </row>
    <row r="4294" spans="1:6" x14ac:dyDescent="0.25">
      <c r="A4294" t="s">
        <v>4347</v>
      </c>
      <c r="B4294" t="s">
        <v>131</v>
      </c>
      <c r="C4294" t="s">
        <v>132</v>
      </c>
      <c r="D4294" t="str">
        <f>HYPERLINK("http://service.sap.com/sap/support/notes/1865923","1865923")</f>
        <v>1865923</v>
      </c>
      <c r="E4294">
        <v>1</v>
      </c>
      <c r="F4294" t="s">
        <v>4439</v>
      </c>
    </row>
    <row r="4295" spans="1:6" x14ac:dyDescent="0.25">
      <c r="A4295" t="s">
        <v>4347</v>
      </c>
      <c r="B4295" t="s">
        <v>131</v>
      </c>
      <c r="C4295" t="s">
        <v>132</v>
      </c>
      <c r="D4295" t="str">
        <f>HYPERLINK("http://service.sap.com/sap/support/notes/1866267","1866267")</f>
        <v>1866267</v>
      </c>
      <c r="E4295">
        <v>1</v>
      </c>
      <c r="F4295" t="s">
        <v>4440</v>
      </c>
    </row>
    <row r="4296" spans="1:6" x14ac:dyDescent="0.25">
      <c r="A4296" t="s">
        <v>4347</v>
      </c>
      <c r="B4296" t="s">
        <v>131</v>
      </c>
      <c r="C4296" t="s">
        <v>132</v>
      </c>
      <c r="D4296" t="str">
        <f>HYPERLINK("http://service.sap.com/sap/support/notes/1867841","1867841")</f>
        <v>1867841</v>
      </c>
      <c r="E4296">
        <v>3</v>
      </c>
      <c r="F4296" t="s">
        <v>4441</v>
      </c>
    </row>
    <row r="4297" spans="1:6" x14ac:dyDescent="0.25">
      <c r="A4297" t="s">
        <v>4347</v>
      </c>
      <c r="B4297" t="s">
        <v>131</v>
      </c>
      <c r="C4297" t="s">
        <v>132</v>
      </c>
      <c r="D4297" t="str">
        <f>HYPERLINK("http://service.sap.com/sap/support/notes/1868178","1868178")</f>
        <v>1868178</v>
      </c>
      <c r="E4297">
        <v>1</v>
      </c>
      <c r="F4297" t="s">
        <v>4442</v>
      </c>
    </row>
    <row r="4298" spans="1:6" x14ac:dyDescent="0.25">
      <c r="A4298" t="s">
        <v>4347</v>
      </c>
      <c r="B4298" t="s">
        <v>131</v>
      </c>
      <c r="C4298" t="s">
        <v>132</v>
      </c>
      <c r="D4298" t="str">
        <f>HYPERLINK("http://service.sap.com/sap/support/notes/1868808","1868808")</f>
        <v>1868808</v>
      </c>
      <c r="E4298">
        <v>1</v>
      </c>
      <c r="F4298" t="s">
        <v>4443</v>
      </c>
    </row>
    <row r="4299" spans="1:6" x14ac:dyDescent="0.25">
      <c r="A4299" t="s">
        <v>4347</v>
      </c>
      <c r="B4299" t="s">
        <v>131</v>
      </c>
      <c r="C4299" t="s">
        <v>132</v>
      </c>
      <c r="D4299" t="str">
        <f>HYPERLINK("http://service.sap.com/sap/support/notes/1871248","1871248")</f>
        <v>1871248</v>
      </c>
      <c r="E4299">
        <v>1</v>
      </c>
      <c r="F4299" t="s">
        <v>4444</v>
      </c>
    </row>
    <row r="4300" spans="1:6" x14ac:dyDescent="0.25">
      <c r="A4300" t="s">
        <v>4347</v>
      </c>
      <c r="B4300" t="s">
        <v>131</v>
      </c>
      <c r="C4300" t="s">
        <v>132</v>
      </c>
      <c r="D4300" t="str">
        <f>HYPERLINK("http://service.sap.com/sap/support/notes/1873646","1873646")</f>
        <v>1873646</v>
      </c>
      <c r="E4300">
        <v>2</v>
      </c>
      <c r="F4300" t="s">
        <v>4445</v>
      </c>
    </row>
    <row r="4301" spans="1:6" x14ac:dyDescent="0.25">
      <c r="A4301" t="s">
        <v>4347</v>
      </c>
      <c r="B4301" t="s">
        <v>131</v>
      </c>
      <c r="C4301" t="s">
        <v>132</v>
      </c>
      <c r="D4301" t="str">
        <f>HYPERLINK("http://service.sap.com/sap/support/notes/1876632","1876632")</f>
        <v>1876632</v>
      </c>
      <c r="E4301">
        <v>2</v>
      </c>
      <c r="F4301" t="s">
        <v>4446</v>
      </c>
    </row>
    <row r="4302" spans="1:6" x14ac:dyDescent="0.25">
      <c r="A4302" t="s">
        <v>4347</v>
      </c>
      <c r="B4302" t="s">
        <v>703</v>
      </c>
      <c r="C4302" t="s">
        <v>128</v>
      </c>
      <c r="D4302" t="str">
        <f>HYPERLINK("http://service.sap.com/sap/support/notes/1867133","1867133")</f>
        <v>1867133</v>
      </c>
      <c r="E4302">
        <v>3</v>
      </c>
      <c r="F4302" t="s">
        <v>4447</v>
      </c>
    </row>
    <row r="4303" spans="1:6" x14ac:dyDescent="0.25">
      <c r="A4303" t="s">
        <v>4347</v>
      </c>
      <c r="B4303" t="s">
        <v>144</v>
      </c>
      <c r="C4303" t="s">
        <v>145</v>
      </c>
      <c r="D4303" t="str">
        <f>HYPERLINK("http://service.sap.com/sap/support/notes/1700857","1700857")</f>
        <v>1700857</v>
      </c>
      <c r="E4303">
        <v>2</v>
      </c>
      <c r="F4303" t="s">
        <v>4448</v>
      </c>
    </row>
    <row r="4304" spans="1:6" x14ac:dyDescent="0.25">
      <c r="A4304" t="s">
        <v>4347</v>
      </c>
      <c r="B4304" t="s">
        <v>144</v>
      </c>
      <c r="C4304" t="s">
        <v>145</v>
      </c>
      <c r="D4304" t="str">
        <f>HYPERLINK("http://service.sap.com/sap/support/notes/1727441","1727441")</f>
        <v>1727441</v>
      </c>
      <c r="E4304">
        <v>2</v>
      </c>
      <c r="F4304" t="s">
        <v>4449</v>
      </c>
    </row>
    <row r="4305" spans="1:6" x14ac:dyDescent="0.25">
      <c r="A4305" t="s">
        <v>4347</v>
      </c>
      <c r="B4305" t="s">
        <v>144</v>
      </c>
      <c r="C4305" t="s">
        <v>145</v>
      </c>
      <c r="D4305" t="str">
        <f>HYPERLINK("http://service.sap.com/sap/support/notes/1835092","1835092")</f>
        <v>1835092</v>
      </c>
      <c r="E4305">
        <v>5</v>
      </c>
      <c r="F4305" t="s">
        <v>4450</v>
      </c>
    </row>
    <row r="4306" spans="1:6" x14ac:dyDescent="0.25">
      <c r="A4306" t="s">
        <v>4347</v>
      </c>
      <c r="B4306" t="s">
        <v>144</v>
      </c>
      <c r="C4306" t="s">
        <v>145</v>
      </c>
      <c r="D4306" t="str">
        <f>HYPERLINK("http://service.sap.com/sap/support/notes/1842124","1842124")</f>
        <v>1842124</v>
      </c>
      <c r="E4306">
        <v>2</v>
      </c>
      <c r="F4306" t="s">
        <v>4451</v>
      </c>
    </row>
    <row r="4307" spans="1:6" x14ac:dyDescent="0.25">
      <c r="A4307" t="s">
        <v>4347</v>
      </c>
      <c r="B4307" t="s">
        <v>144</v>
      </c>
      <c r="C4307" t="s">
        <v>145</v>
      </c>
      <c r="D4307" t="str">
        <f>HYPERLINK("http://service.sap.com/sap/support/notes/1845192","1845192")</f>
        <v>1845192</v>
      </c>
      <c r="E4307">
        <v>3</v>
      </c>
      <c r="F4307" t="s">
        <v>4452</v>
      </c>
    </row>
    <row r="4308" spans="1:6" x14ac:dyDescent="0.25">
      <c r="A4308" t="s">
        <v>4347</v>
      </c>
      <c r="B4308" t="s">
        <v>144</v>
      </c>
      <c r="C4308" t="s">
        <v>145</v>
      </c>
      <c r="D4308" t="str">
        <f>HYPERLINK("http://service.sap.com/sap/support/notes/1858137","1858137")</f>
        <v>1858137</v>
      </c>
      <c r="E4308">
        <v>4</v>
      </c>
      <c r="F4308" t="s">
        <v>4453</v>
      </c>
    </row>
    <row r="4309" spans="1:6" x14ac:dyDescent="0.25">
      <c r="A4309" t="s">
        <v>4347</v>
      </c>
      <c r="B4309" t="s">
        <v>150</v>
      </c>
      <c r="C4309" t="s">
        <v>151</v>
      </c>
      <c r="D4309" t="str">
        <f>HYPERLINK("http://service.sap.com/sap/support/notes/1837085","1837085")</f>
        <v>1837085</v>
      </c>
      <c r="E4309">
        <v>1</v>
      </c>
      <c r="F4309" t="s">
        <v>4454</v>
      </c>
    </row>
    <row r="4310" spans="1:6" x14ac:dyDescent="0.25">
      <c r="A4310" t="s">
        <v>4347</v>
      </c>
      <c r="B4310" t="s">
        <v>159</v>
      </c>
      <c r="C4310" t="s">
        <v>160</v>
      </c>
      <c r="D4310" t="str">
        <f>HYPERLINK("http://service.sap.com/sap/support/notes/1829559","1829559")</f>
        <v>1829559</v>
      </c>
      <c r="E4310">
        <v>1</v>
      </c>
      <c r="F4310" t="s">
        <v>3489</v>
      </c>
    </row>
    <row r="4311" spans="1:6" x14ac:dyDescent="0.25">
      <c r="A4311" t="s">
        <v>4347</v>
      </c>
      <c r="B4311" t="s">
        <v>159</v>
      </c>
      <c r="C4311" t="s">
        <v>160</v>
      </c>
      <c r="D4311" t="str">
        <f>HYPERLINK("http://service.sap.com/sap/support/notes/1845798","1845798")</f>
        <v>1845798</v>
      </c>
      <c r="E4311">
        <v>7</v>
      </c>
      <c r="F4311" t="s">
        <v>4455</v>
      </c>
    </row>
    <row r="4312" spans="1:6" x14ac:dyDescent="0.25">
      <c r="A4312" t="s">
        <v>4347</v>
      </c>
      <c r="B4312" t="s">
        <v>159</v>
      </c>
      <c r="C4312" t="s">
        <v>160</v>
      </c>
      <c r="D4312" t="str">
        <f>HYPERLINK("http://service.sap.com/sap/support/notes/1849119","1849119")</f>
        <v>1849119</v>
      </c>
      <c r="E4312">
        <v>1</v>
      </c>
      <c r="F4312" t="s">
        <v>4007</v>
      </c>
    </row>
    <row r="4313" spans="1:6" x14ac:dyDescent="0.25">
      <c r="A4313" t="s">
        <v>4347</v>
      </c>
      <c r="B4313" t="s">
        <v>159</v>
      </c>
      <c r="C4313" t="s">
        <v>160</v>
      </c>
      <c r="D4313" t="str">
        <f>HYPERLINK("http://service.sap.com/sap/support/notes/1868012","1868012")</f>
        <v>1868012</v>
      </c>
      <c r="E4313">
        <v>3</v>
      </c>
      <c r="F4313" t="s">
        <v>4456</v>
      </c>
    </row>
    <row r="4314" spans="1:6" x14ac:dyDescent="0.25">
      <c r="A4314" t="s">
        <v>4347</v>
      </c>
      <c r="B4314" t="s">
        <v>165</v>
      </c>
      <c r="C4314" t="s">
        <v>31</v>
      </c>
      <c r="D4314" t="str">
        <f>HYPERLINK("http://service.sap.com/sap/support/notes/1826582","1826582")</f>
        <v>1826582</v>
      </c>
      <c r="E4314">
        <v>2</v>
      </c>
      <c r="F4314" t="s">
        <v>4457</v>
      </c>
    </row>
    <row r="4315" spans="1:6" x14ac:dyDescent="0.25">
      <c r="A4315" t="s">
        <v>4347</v>
      </c>
      <c r="B4315" t="s">
        <v>165</v>
      </c>
      <c r="C4315" t="s">
        <v>31</v>
      </c>
      <c r="D4315" t="str">
        <f>HYPERLINK("http://service.sap.com/sap/support/notes/1846687","1846687")</f>
        <v>1846687</v>
      </c>
      <c r="E4315">
        <v>2</v>
      </c>
      <c r="F4315" t="s">
        <v>4458</v>
      </c>
    </row>
    <row r="4316" spans="1:6" x14ac:dyDescent="0.25">
      <c r="A4316" t="s">
        <v>4347</v>
      </c>
      <c r="B4316" t="s">
        <v>165</v>
      </c>
      <c r="C4316" t="s">
        <v>31</v>
      </c>
      <c r="D4316" t="str">
        <f>HYPERLINK("http://service.sap.com/sap/support/notes/1865437","1865437")</f>
        <v>1865437</v>
      </c>
      <c r="E4316">
        <v>2</v>
      </c>
      <c r="F4316" t="s">
        <v>4459</v>
      </c>
    </row>
    <row r="4317" spans="1:6" x14ac:dyDescent="0.25">
      <c r="A4317" t="s">
        <v>4347</v>
      </c>
      <c r="B4317" t="s">
        <v>165</v>
      </c>
      <c r="C4317" t="s">
        <v>31</v>
      </c>
      <c r="D4317" t="str">
        <f>HYPERLINK("http://service.sap.com/sap/support/notes/1870637","1870637")</f>
        <v>1870637</v>
      </c>
      <c r="E4317">
        <v>1</v>
      </c>
      <c r="F4317" t="s">
        <v>4460</v>
      </c>
    </row>
    <row r="4318" spans="1:6" x14ac:dyDescent="0.25">
      <c r="A4318" t="s">
        <v>4347</v>
      </c>
      <c r="B4318" t="s">
        <v>165</v>
      </c>
      <c r="C4318" t="s">
        <v>31</v>
      </c>
      <c r="D4318" t="str">
        <f>HYPERLINK("http://service.sap.com/sap/support/notes/1873853","1873853")</f>
        <v>1873853</v>
      </c>
      <c r="E4318">
        <v>1</v>
      </c>
      <c r="F4318" t="s">
        <v>4461</v>
      </c>
    </row>
    <row r="4319" spans="1:6" x14ac:dyDescent="0.25">
      <c r="A4319" t="s">
        <v>4347</v>
      </c>
      <c r="B4319" t="s">
        <v>169</v>
      </c>
      <c r="C4319" t="s">
        <v>34</v>
      </c>
      <c r="D4319" t="str">
        <f>HYPERLINK("http://service.sap.com/sap/support/notes/1853280","1853280")</f>
        <v>1853280</v>
      </c>
      <c r="E4319">
        <v>2</v>
      </c>
      <c r="F4319" t="s">
        <v>4019</v>
      </c>
    </row>
    <row r="4320" spans="1:6" x14ac:dyDescent="0.25">
      <c r="A4320" t="s">
        <v>4347</v>
      </c>
      <c r="B4320" t="s">
        <v>169</v>
      </c>
      <c r="C4320" t="s">
        <v>34</v>
      </c>
      <c r="D4320" t="str">
        <f>HYPERLINK("http://service.sap.com/sap/support/notes/1860541","1860541")</f>
        <v>1860541</v>
      </c>
      <c r="E4320">
        <v>1</v>
      </c>
      <c r="F4320" t="s">
        <v>4462</v>
      </c>
    </row>
    <row r="4321" spans="1:6" x14ac:dyDescent="0.25">
      <c r="A4321" t="s">
        <v>4347</v>
      </c>
      <c r="B4321" t="s">
        <v>169</v>
      </c>
      <c r="C4321" t="s">
        <v>34</v>
      </c>
      <c r="D4321" t="str">
        <f>HYPERLINK("http://service.sap.com/sap/support/notes/1862572","1862572")</f>
        <v>1862572</v>
      </c>
      <c r="E4321">
        <v>1</v>
      </c>
      <c r="F4321" t="s">
        <v>4463</v>
      </c>
    </row>
    <row r="4322" spans="1:6" x14ac:dyDescent="0.25">
      <c r="A4322" t="s">
        <v>4347</v>
      </c>
      <c r="B4322" t="s">
        <v>169</v>
      </c>
      <c r="C4322" t="s">
        <v>34</v>
      </c>
      <c r="D4322" t="str">
        <f>HYPERLINK("http://service.sap.com/sap/support/notes/1865687","1865687")</f>
        <v>1865687</v>
      </c>
      <c r="E4322">
        <v>1</v>
      </c>
      <c r="F4322" t="s">
        <v>4464</v>
      </c>
    </row>
    <row r="4323" spans="1:6" x14ac:dyDescent="0.25">
      <c r="A4323" t="s">
        <v>4347</v>
      </c>
      <c r="B4323" t="s">
        <v>169</v>
      </c>
      <c r="C4323" t="s">
        <v>34</v>
      </c>
      <c r="D4323" t="str">
        <f>HYPERLINK("http://service.sap.com/sap/support/notes/1868312","1868312")</f>
        <v>1868312</v>
      </c>
      <c r="E4323">
        <v>1</v>
      </c>
      <c r="F4323" t="s">
        <v>4465</v>
      </c>
    </row>
    <row r="4324" spans="1:6" x14ac:dyDescent="0.25">
      <c r="A4324" t="s">
        <v>4347</v>
      </c>
      <c r="B4324" t="s">
        <v>169</v>
      </c>
      <c r="C4324" t="s">
        <v>34</v>
      </c>
      <c r="D4324" t="str">
        <f>HYPERLINK("http://service.sap.com/sap/support/notes/1871541","1871541")</f>
        <v>1871541</v>
      </c>
      <c r="E4324">
        <v>1</v>
      </c>
      <c r="F4324" t="s">
        <v>4466</v>
      </c>
    </row>
    <row r="4325" spans="1:6" x14ac:dyDescent="0.25">
      <c r="A4325" t="s">
        <v>4347</v>
      </c>
      <c r="B4325" t="s">
        <v>169</v>
      </c>
      <c r="C4325" t="s">
        <v>34</v>
      </c>
      <c r="D4325" t="str">
        <f>HYPERLINK("http://service.sap.com/sap/support/notes/1873596","1873596")</f>
        <v>1873596</v>
      </c>
      <c r="E4325">
        <v>1</v>
      </c>
      <c r="F4325" t="s">
        <v>4467</v>
      </c>
    </row>
    <row r="4326" spans="1:6" x14ac:dyDescent="0.25">
      <c r="A4326" t="s">
        <v>4347</v>
      </c>
      <c r="B4326" t="s">
        <v>175</v>
      </c>
      <c r="C4326" t="s">
        <v>176</v>
      </c>
    </row>
    <row r="4327" spans="1:6" x14ac:dyDescent="0.25">
      <c r="A4327" t="s">
        <v>4347</v>
      </c>
      <c r="B4327" t="s">
        <v>177</v>
      </c>
      <c r="C4327" t="s">
        <v>178</v>
      </c>
      <c r="D4327" t="str">
        <f>HYPERLINK("http://service.sap.com/sap/support/notes/1870240","1870240")</f>
        <v>1870240</v>
      </c>
      <c r="E4327">
        <v>3</v>
      </c>
      <c r="F4327" t="s">
        <v>4468</v>
      </c>
    </row>
    <row r="4328" spans="1:6" x14ac:dyDescent="0.25">
      <c r="A4328" t="s">
        <v>4347</v>
      </c>
      <c r="B4328" t="s">
        <v>180</v>
      </c>
      <c r="C4328" t="s">
        <v>181</v>
      </c>
      <c r="D4328" t="str">
        <f>HYPERLINK("http://service.sap.com/sap/support/notes/1862887","1862887")</f>
        <v>1862887</v>
      </c>
      <c r="E4328">
        <v>1</v>
      </c>
      <c r="F4328" t="s">
        <v>4469</v>
      </c>
    </row>
    <row r="4329" spans="1:6" x14ac:dyDescent="0.25">
      <c r="A4329" t="s">
        <v>4347</v>
      </c>
      <c r="B4329" t="s">
        <v>180</v>
      </c>
      <c r="C4329" t="s">
        <v>181</v>
      </c>
      <c r="D4329" t="str">
        <f>HYPERLINK("http://service.sap.com/sap/support/notes/1866439","1866439")</f>
        <v>1866439</v>
      </c>
      <c r="E4329">
        <v>2</v>
      </c>
      <c r="F4329" t="s">
        <v>4470</v>
      </c>
    </row>
    <row r="4330" spans="1:6" x14ac:dyDescent="0.25">
      <c r="A4330" t="s">
        <v>4347</v>
      </c>
      <c r="B4330" t="s">
        <v>180</v>
      </c>
      <c r="C4330" t="s">
        <v>181</v>
      </c>
      <c r="D4330" t="str">
        <f>HYPERLINK("http://service.sap.com/sap/support/notes/1868053","1868053")</f>
        <v>1868053</v>
      </c>
      <c r="E4330">
        <v>1</v>
      </c>
      <c r="F4330" t="s">
        <v>4471</v>
      </c>
    </row>
    <row r="4331" spans="1:6" x14ac:dyDescent="0.25">
      <c r="A4331" t="s">
        <v>4347</v>
      </c>
      <c r="B4331" t="s">
        <v>180</v>
      </c>
      <c r="C4331" t="s">
        <v>181</v>
      </c>
      <c r="D4331" t="str">
        <f>HYPERLINK("http://service.sap.com/sap/support/notes/1870089","1870089")</f>
        <v>1870089</v>
      </c>
      <c r="E4331">
        <v>1</v>
      </c>
      <c r="F4331" t="s">
        <v>4472</v>
      </c>
    </row>
    <row r="4332" spans="1:6" x14ac:dyDescent="0.25">
      <c r="A4332" t="s">
        <v>4347</v>
      </c>
      <c r="B4332" t="s">
        <v>180</v>
      </c>
      <c r="C4332" t="s">
        <v>181</v>
      </c>
      <c r="D4332" t="str">
        <f>HYPERLINK("http://service.sap.com/sap/support/notes/1871522","1871522")</f>
        <v>1871522</v>
      </c>
      <c r="E4332">
        <v>1</v>
      </c>
      <c r="F4332" t="s">
        <v>4473</v>
      </c>
    </row>
    <row r="4333" spans="1:6" x14ac:dyDescent="0.25">
      <c r="A4333" t="s">
        <v>4347</v>
      </c>
      <c r="B4333" t="s">
        <v>180</v>
      </c>
      <c r="C4333" t="s">
        <v>181</v>
      </c>
      <c r="D4333" t="str">
        <f>HYPERLINK("http://service.sap.com/sap/support/notes/1873232","1873232")</f>
        <v>1873232</v>
      </c>
      <c r="E4333">
        <v>1</v>
      </c>
      <c r="F4333" t="s">
        <v>4474</v>
      </c>
    </row>
    <row r="4334" spans="1:6" x14ac:dyDescent="0.25">
      <c r="A4334" t="s">
        <v>4347</v>
      </c>
      <c r="B4334" t="s">
        <v>183</v>
      </c>
      <c r="C4334" t="s">
        <v>184</v>
      </c>
    </row>
    <row r="4335" spans="1:6" x14ac:dyDescent="0.25">
      <c r="A4335" t="s">
        <v>4347</v>
      </c>
      <c r="B4335" t="s">
        <v>576</v>
      </c>
      <c r="C4335" t="s">
        <v>577</v>
      </c>
      <c r="D4335" t="str">
        <f>HYPERLINK("http://service.sap.com/sap/support/notes/1849758","1849758")</f>
        <v>1849758</v>
      </c>
      <c r="E4335">
        <v>6</v>
      </c>
      <c r="F4335" t="s">
        <v>4475</v>
      </c>
    </row>
    <row r="4336" spans="1:6" x14ac:dyDescent="0.25">
      <c r="A4336" t="s">
        <v>4347</v>
      </c>
      <c r="B4336" t="s">
        <v>576</v>
      </c>
      <c r="C4336" t="s">
        <v>577</v>
      </c>
      <c r="D4336" t="str">
        <f>HYPERLINK("http://service.sap.com/sap/support/notes/1860139","1860139")</f>
        <v>1860139</v>
      </c>
      <c r="E4336">
        <v>1</v>
      </c>
      <c r="F4336" t="s">
        <v>4476</v>
      </c>
    </row>
    <row r="4337" spans="1:6" x14ac:dyDescent="0.25">
      <c r="A4337" t="s">
        <v>4347</v>
      </c>
      <c r="B4337" t="s">
        <v>576</v>
      </c>
      <c r="C4337" t="s">
        <v>577</v>
      </c>
      <c r="D4337" t="str">
        <f>HYPERLINK("http://service.sap.com/sap/support/notes/1874209","1874209")</f>
        <v>1874209</v>
      </c>
      <c r="E4337">
        <v>1</v>
      </c>
      <c r="F4337" t="s">
        <v>4477</v>
      </c>
    </row>
    <row r="4338" spans="1:6" x14ac:dyDescent="0.25">
      <c r="A4338" t="s">
        <v>4347</v>
      </c>
      <c r="B4338" t="s">
        <v>1522</v>
      </c>
      <c r="C4338" t="s">
        <v>1523</v>
      </c>
      <c r="D4338" t="str">
        <f>HYPERLINK("http://service.sap.com/sap/support/notes/1863771","1863771")</f>
        <v>1863771</v>
      </c>
      <c r="E4338">
        <v>1</v>
      </c>
      <c r="F4338" t="s">
        <v>4478</v>
      </c>
    </row>
    <row r="4339" spans="1:6" x14ac:dyDescent="0.25">
      <c r="A4339" t="s">
        <v>4347</v>
      </c>
      <c r="B4339" t="s">
        <v>1522</v>
      </c>
      <c r="C4339" t="s">
        <v>1523</v>
      </c>
      <c r="D4339" t="str">
        <f>HYPERLINK("http://service.sap.com/sap/support/notes/1864441","1864441")</f>
        <v>1864441</v>
      </c>
      <c r="E4339">
        <v>2</v>
      </c>
      <c r="F4339" t="s">
        <v>4479</v>
      </c>
    </row>
    <row r="4340" spans="1:6" x14ac:dyDescent="0.25">
      <c r="A4340" t="s">
        <v>4347</v>
      </c>
      <c r="B4340" t="s">
        <v>1522</v>
      </c>
      <c r="C4340" t="s">
        <v>1523</v>
      </c>
      <c r="D4340" t="str">
        <f>HYPERLINK("http://service.sap.com/sap/support/notes/1869102","1869102")</f>
        <v>1869102</v>
      </c>
      <c r="E4340">
        <v>1</v>
      </c>
      <c r="F4340" t="s">
        <v>4480</v>
      </c>
    </row>
    <row r="4341" spans="1:6" x14ac:dyDescent="0.25">
      <c r="A4341" t="s">
        <v>4347</v>
      </c>
      <c r="B4341" t="s">
        <v>185</v>
      </c>
      <c r="C4341" t="s">
        <v>186</v>
      </c>
      <c r="D4341" t="str">
        <f>HYPERLINK("http://service.sap.com/sap/support/notes/1867978","1867978")</f>
        <v>1867978</v>
      </c>
      <c r="E4341">
        <v>1</v>
      </c>
      <c r="F4341" t="s">
        <v>4481</v>
      </c>
    </row>
    <row r="4342" spans="1:6" x14ac:dyDescent="0.25">
      <c r="A4342" t="s">
        <v>4347</v>
      </c>
      <c r="B4342" t="s">
        <v>185</v>
      </c>
      <c r="C4342" t="s">
        <v>186</v>
      </c>
      <c r="D4342" t="str">
        <f>HYPERLINK("http://service.sap.com/sap/support/notes/1868475","1868475")</f>
        <v>1868475</v>
      </c>
      <c r="E4342">
        <v>2</v>
      </c>
      <c r="F4342" t="s">
        <v>4482</v>
      </c>
    </row>
    <row r="4343" spans="1:6" x14ac:dyDescent="0.25">
      <c r="A4343" t="s">
        <v>4347</v>
      </c>
      <c r="B4343" t="s">
        <v>185</v>
      </c>
      <c r="C4343" t="s">
        <v>186</v>
      </c>
      <c r="D4343" t="str">
        <f>HYPERLINK("http://service.sap.com/sap/support/notes/1871041","1871041")</f>
        <v>1871041</v>
      </c>
      <c r="E4343">
        <v>1</v>
      </c>
      <c r="F4343" t="s">
        <v>4483</v>
      </c>
    </row>
    <row r="4344" spans="1:6" x14ac:dyDescent="0.25">
      <c r="A4344" t="s">
        <v>4347</v>
      </c>
      <c r="B4344" t="s">
        <v>185</v>
      </c>
      <c r="C4344" t="s">
        <v>186</v>
      </c>
      <c r="D4344" t="str">
        <f>HYPERLINK("http://service.sap.com/sap/support/notes/1872355","1872355")</f>
        <v>1872355</v>
      </c>
      <c r="E4344">
        <v>1</v>
      </c>
      <c r="F4344" t="s">
        <v>4484</v>
      </c>
    </row>
    <row r="4345" spans="1:6" x14ac:dyDescent="0.25">
      <c r="A4345" t="s">
        <v>4347</v>
      </c>
      <c r="B4345" t="s">
        <v>578</v>
      </c>
      <c r="C4345" t="s">
        <v>4485</v>
      </c>
      <c r="D4345" t="str">
        <f>HYPERLINK("http://service.sap.com/sap/support/notes/1866245","1866245")</f>
        <v>1866245</v>
      </c>
      <c r="E4345">
        <v>6</v>
      </c>
      <c r="F4345" t="s">
        <v>4486</v>
      </c>
    </row>
    <row r="4346" spans="1:6" x14ac:dyDescent="0.25">
      <c r="A4346" t="s">
        <v>4347</v>
      </c>
      <c r="B4346" t="s">
        <v>191</v>
      </c>
      <c r="C4346" t="s">
        <v>192</v>
      </c>
    </row>
    <row r="4347" spans="1:6" x14ac:dyDescent="0.25">
      <c r="A4347" t="s">
        <v>4347</v>
      </c>
      <c r="B4347" t="s">
        <v>4040</v>
      </c>
      <c r="C4347" t="s">
        <v>4487</v>
      </c>
      <c r="D4347" t="str">
        <f>HYPERLINK("http://service.sap.com/sap/support/notes/1858439","1858439")</f>
        <v>1858439</v>
      </c>
      <c r="E4347">
        <v>2</v>
      </c>
      <c r="F4347" t="s">
        <v>4488</v>
      </c>
    </row>
    <row r="4348" spans="1:6" x14ac:dyDescent="0.25">
      <c r="A4348" t="s">
        <v>4347</v>
      </c>
      <c r="B4348" t="s">
        <v>4040</v>
      </c>
      <c r="C4348" t="s">
        <v>4487</v>
      </c>
      <c r="D4348" t="str">
        <f>HYPERLINK("http://service.sap.com/sap/support/notes/1868536","1868536")</f>
        <v>1868536</v>
      </c>
      <c r="E4348">
        <v>1</v>
      </c>
      <c r="F4348" t="s">
        <v>4489</v>
      </c>
    </row>
    <row r="4349" spans="1:6" x14ac:dyDescent="0.25">
      <c r="A4349" t="s">
        <v>4347</v>
      </c>
      <c r="B4349" t="s">
        <v>4040</v>
      </c>
      <c r="C4349" t="s">
        <v>4487</v>
      </c>
      <c r="D4349" t="str">
        <f>HYPERLINK("http://service.sap.com/sap/support/notes/1874246","1874246")</f>
        <v>1874246</v>
      </c>
      <c r="E4349">
        <v>1</v>
      </c>
      <c r="F4349" t="s">
        <v>4490</v>
      </c>
    </row>
    <row r="4350" spans="1:6" x14ac:dyDescent="0.25">
      <c r="A4350" t="s">
        <v>4347</v>
      </c>
      <c r="B4350" t="s">
        <v>4040</v>
      </c>
      <c r="C4350" t="s">
        <v>4487</v>
      </c>
      <c r="D4350" t="str">
        <f>HYPERLINK("http://service.sap.com/sap/support/notes/1874746","1874746")</f>
        <v>1874746</v>
      </c>
      <c r="E4350">
        <v>1</v>
      </c>
      <c r="F4350" t="s">
        <v>4491</v>
      </c>
    </row>
    <row r="4351" spans="1:6" x14ac:dyDescent="0.25">
      <c r="A4351" t="s">
        <v>4347</v>
      </c>
      <c r="B4351" t="s">
        <v>195</v>
      </c>
      <c r="C4351" t="s">
        <v>196</v>
      </c>
    </row>
    <row r="4352" spans="1:6" x14ac:dyDescent="0.25">
      <c r="A4352" t="s">
        <v>4347</v>
      </c>
      <c r="B4352" t="s">
        <v>197</v>
      </c>
      <c r="C4352" t="s">
        <v>198</v>
      </c>
      <c r="D4352" t="str">
        <f>HYPERLINK("http://service.sap.com/sap/support/notes/1805773","1805773")</f>
        <v>1805773</v>
      </c>
      <c r="E4352">
        <v>3</v>
      </c>
      <c r="F4352" t="s">
        <v>4492</v>
      </c>
    </row>
    <row r="4353" spans="1:6" x14ac:dyDescent="0.25">
      <c r="A4353" t="s">
        <v>4347</v>
      </c>
      <c r="B4353" t="s">
        <v>201</v>
      </c>
      <c r="C4353" t="s">
        <v>202</v>
      </c>
      <c r="D4353" t="str">
        <f>HYPERLINK("http://service.sap.com/sap/support/notes/1733230","1733230")</f>
        <v>1733230</v>
      </c>
      <c r="E4353">
        <v>2</v>
      </c>
      <c r="F4353" t="s">
        <v>4493</v>
      </c>
    </row>
    <row r="4354" spans="1:6" x14ac:dyDescent="0.25">
      <c r="A4354" t="s">
        <v>4347</v>
      </c>
      <c r="B4354" t="s">
        <v>201</v>
      </c>
      <c r="C4354" t="s">
        <v>202</v>
      </c>
      <c r="D4354" t="str">
        <f>HYPERLINK("http://service.sap.com/sap/support/notes/1871039","1871039")</f>
        <v>1871039</v>
      </c>
      <c r="E4354">
        <v>2</v>
      </c>
      <c r="F4354" t="s">
        <v>4494</v>
      </c>
    </row>
    <row r="4355" spans="1:6" x14ac:dyDescent="0.25">
      <c r="A4355" t="s">
        <v>4347</v>
      </c>
      <c r="B4355" t="s">
        <v>201</v>
      </c>
      <c r="C4355" t="s">
        <v>202</v>
      </c>
      <c r="D4355" t="str">
        <f>HYPERLINK("http://service.sap.com/sap/support/notes/1873183","1873183")</f>
        <v>1873183</v>
      </c>
      <c r="E4355">
        <v>3</v>
      </c>
      <c r="F4355" t="s">
        <v>4495</v>
      </c>
    </row>
    <row r="4356" spans="1:6" x14ac:dyDescent="0.25">
      <c r="A4356" t="s">
        <v>4347</v>
      </c>
      <c r="B4356" t="s">
        <v>211</v>
      </c>
      <c r="C4356" t="s">
        <v>128</v>
      </c>
      <c r="D4356" t="str">
        <f>HYPERLINK("http://service.sap.com/sap/support/notes/1856089","1856089")</f>
        <v>1856089</v>
      </c>
      <c r="E4356">
        <v>2</v>
      </c>
      <c r="F4356" t="s">
        <v>4496</v>
      </c>
    </row>
    <row r="4357" spans="1:6" x14ac:dyDescent="0.25">
      <c r="A4357" t="s">
        <v>4347</v>
      </c>
      <c r="B4357" t="s">
        <v>211</v>
      </c>
      <c r="C4357" t="s">
        <v>128</v>
      </c>
      <c r="D4357" t="str">
        <f>HYPERLINK("http://service.sap.com/sap/support/notes/1865169","1865169")</f>
        <v>1865169</v>
      </c>
      <c r="E4357">
        <v>2</v>
      </c>
      <c r="F4357" t="s">
        <v>4497</v>
      </c>
    </row>
    <row r="4358" spans="1:6" x14ac:dyDescent="0.25">
      <c r="A4358" t="s">
        <v>4347</v>
      </c>
      <c r="B4358" t="s">
        <v>211</v>
      </c>
      <c r="C4358" t="s">
        <v>128</v>
      </c>
      <c r="D4358" t="str">
        <f>HYPERLINK("http://service.sap.com/sap/support/notes/1870094","1870094")</f>
        <v>1870094</v>
      </c>
      <c r="E4358">
        <v>1</v>
      </c>
      <c r="F4358" t="s">
        <v>4498</v>
      </c>
    </row>
    <row r="4359" spans="1:6" x14ac:dyDescent="0.25">
      <c r="A4359" t="s">
        <v>4347</v>
      </c>
      <c r="B4359" t="s">
        <v>211</v>
      </c>
      <c r="C4359" t="s">
        <v>128</v>
      </c>
      <c r="D4359" t="str">
        <f>HYPERLINK("http://service.sap.com/sap/support/notes/1873505","1873505")</f>
        <v>1873505</v>
      </c>
      <c r="E4359">
        <v>1</v>
      </c>
      <c r="F4359" t="s">
        <v>4499</v>
      </c>
    </row>
    <row r="4360" spans="1:6" x14ac:dyDescent="0.25">
      <c r="A4360" t="s">
        <v>4347</v>
      </c>
      <c r="B4360" t="s">
        <v>211</v>
      </c>
      <c r="C4360" t="s">
        <v>128</v>
      </c>
      <c r="D4360" t="str">
        <f>HYPERLINK("http://service.sap.com/sap/support/notes/1874113","1874113")</f>
        <v>1874113</v>
      </c>
      <c r="E4360">
        <v>2</v>
      </c>
      <c r="F4360" t="s">
        <v>4500</v>
      </c>
    </row>
    <row r="4361" spans="1:6" x14ac:dyDescent="0.25">
      <c r="A4361" t="s">
        <v>4347</v>
      </c>
      <c r="B4361" t="s">
        <v>211</v>
      </c>
      <c r="C4361" t="s">
        <v>128</v>
      </c>
      <c r="D4361" t="str">
        <f>HYPERLINK("http://service.sap.com/sap/support/notes/1874700","1874700")</f>
        <v>1874700</v>
      </c>
      <c r="E4361">
        <v>1</v>
      </c>
      <c r="F4361" t="s">
        <v>4501</v>
      </c>
    </row>
    <row r="4362" spans="1:6" x14ac:dyDescent="0.25">
      <c r="A4362" t="s">
        <v>4347</v>
      </c>
      <c r="B4362" t="s">
        <v>218</v>
      </c>
      <c r="C4362" t="s">
        <v>219</v>
      </c>
      <c r="D4362" t="str">
        <f>HYPERLINK("http://service.sap.com/sap/support/notes/1857746","1857746")</f>
        <v>1857746</v>
      </c>
      <c r="E4362">
        <v>2</v>
      </c>
      <c r="F4362" t="s">
        <v>4502</v>
      </c>
    </row>
    <row r="4363" spans="1:6" x14ac:dyDescent="0.25">
      <c r="A4363" t="s">
        <v>4347</v>
      </c>
      <c r="B4363" t="s">
        <v>221</v>
      </c>
      <c r="C4363" t="s">
        <v>222</v>
      </c>
      <c r="D4363" t="str">
        <f>HYPERLINK("http://service.sap.com/sap/support/notes/1868160","1868160")</f>
        <v>1868160</v>
      </c>
      <c r="E4363">
        <v>1</v>
      </c>
      <c r="F4363" t="s">
        <v>4503</v>
      </c>
    </row>
    <row r="4364" spans="1:6" x14ac:dyDescent="0.25">
      <c r="A4364" t="s">
        <v>4347</v>
      </c>
      <c r="B4364" t="s">
        <v>221</v>
      </c>
      <c r="C4364" t="s">
        <v>222</v>
      </c>
      <c r="D4364" t="str">
        <f>HYPERLINK("http://service.sap.com/sap/support/notes/1868999","1868999")</f>
        <v>1868999</v>
      </c>
      <c r="E4364">
        <v>2</v>
      </c>
      <c r="F4364" t="s">
        <v>4504</v>
      </c>
    </row>
    <row r="4365" spans="1:6" x14ac:dyDescent="0.25">
      <c r="A4365" t="s">
        <v>4347</v>
      </c>
      <c r="B4365" t="s">
        <v>221</v>
      </c>
      <c r="C4365" t="s">
        <v>222</v>
      </c>
      <c r="D4365" t="str">
        <f>HYPERLINK("http://service.sap.com/sap/support/notes/1869057","1869057")</f>
        <v>1869057</v>
      </c>
      <c r="F4365" t="s">
        <v>4505</v>
      </c>
    </row>
    <row r="4366" spans="1:6" x14ac:dyDescent="0.25">
      <c r="A4366" t="s">
        <v>4347</v>
      </c>
      <c r="B4366" t="s">
        <v>221</v>
      </c>
      <c r="C4366" t="s">
        <v>222</v>
      </c>
      <c r="D4366" t="str">
        <f>HYPERLINK("http://service.sap.com/sap/support/notes/1871011","1871011")</f>
        <v>1871011</v>
      </c>
      <c r="E4366">
        <v>3</v>
      </c>
      <c r="F4366" t="s">
        <v>4506</v>
      </c>
    </row>
    <row r="4367" spans="1:6" x14ac:dyDescent="0.25">
      <c r="A4367" t="s">
        <v>4347</v>
      </c>
      <c r="B4367" t="s">
        <v>221</v>
      </c>
      <c r="C4367" t="s">
        <v>222</v>
      </c>
      <c r="D4367" t="str">
        <f>HYPERLINK("http://service.sap.com/sap/support/notes/1871271","1871271")</f>
        <v>1871271</v>
      </c>
      <c r="E4367">
        <v>2</v>
      </c>
      <c r="F4367" t="s">
        <v>4507</v>
      </c>
    </row>
    <row r="4368" spans="1:6" x14ac:dyDescent="0.25">
      <c r="A4368" t="s">
        <v>4347</v>
      </c>
      <c r="B4368" t="s">
        <v>221</v>
      </c>
      <c r="C4368" t="s">
        <v>222</v>
      </c>
      <c r="D4368" t="str">
        <f>HYPERLINK("http://service.sap.com/sap/support/notes/1873083","1873083")</f>
        <v>1873083</v>
      </c>
      <c r="E4368">
        <v>3</v>
      </c>
      <c r="F4368" t="s">
        <v>4508</v>
      </c>
    </row>
    <row r="4369" spans="1:6" x14ac:dyDescent="0.25">
      <c r="A4369" t="s">
        <v>4347</v>
      </c>
      <c r="B4369" t="s">
        <v>224</v>
      </c>
      <c r="C4369" t="s">
        <v>156</v>
      </c>
    </row>
    <row r="4370" spans="1:6" x14ac:dyDescent="0.25">
      <c r="A4370" t="s">
        <v>4347</v>
      </c>
      <c r="B4370" t="s">
        <v>225</v>
      </c>
      <c r="C4370" t="s">
        <v>226</v>
      </c>
      <c r="D4370" t="str">
        <f>HYPERLINK("http://service.sap.com/sap/support/notes/1866452","1866452")</f>
        <v>1866452</v>
      </c>
      <c r="E4370">
        <v>4</v>
      </c>
      <c r="F4370" t="s">
        <v>4509</v>
      </c>
    </row>
    <row r="4371" spans="1:6" x14ac:dyDescent="0.25">
      <c r="A4371" t="s">
        <v>4347</v>
      </c>
      <c r="B4371" t="s">
        <v>589</v>
      </c>
      <c r="C4371" t="s">
        <v>590</v>
      </c>
      <c r="D4371" t="str">
        <f>HYPERLINK("http://service.sap.com/sap/support/notes/1858806","1858806")</f>
        <v>1858806</v>
      </c>
      <c r="E4371">
        <v>3</v>
      </c>
      <c r="F4371" t="s">
        <v>4510</v>
      </c>
    </row>
    <row r="4372" spans="1:6" x14ac:dyDescent="0.25">
      <c r="A4372" t="s">
        <v>4347</v>
      </c>
      <c r="B4372" t="s">
        <v>589</v>
      </c>
      <c r="C4372" t="s">
        <v>590</v>
      </c>
      <c r="D4372" t="str">
        <f>HYPERLINK("http://service.sap.com/sap/support/notes/1867310","1867310")</f>
        <v>1867310</v>
      </c>
      <c r="E4372">
        <v>1</v>
      </c>
      <c r="F4372" t="s">
        <v>4070</v>
      </c>
    </row>
    <row r="4373" spans="1:6" x14ac:dyDescent="0.25">
      <c r="A4373" t="s">
        <v>4347</v>
      </c>
      <c r="B4373" t="s">
        <v>229</v>
      </c>
      <c r="C4373" t="s">
        <v>230</v>
      </c>
      <c r="D4373" t="str">
        <f>HYPERLINK("http://service.sap.com/sap/support/notes/1712166","1712166")</f>
        <v>1712166</v>
      </c>
      <c r="E4373">
        <v>2</v>
      </c>
      <c r="F4373" t="s">
        <v>4511</v>
      </c>
    </row>
    <row r="4374" spans="1:6" x14ac:dyDescent="0.25">
      <c r="A4374" t="s">
        <v>4347</v>
      </c>
      <c r="B4374" t="s">
        <v>229</v>
      </c>
      <c r="C4374" t="s">
        <v>230</v>
      </c>
      <c r="D4374" t="str">
        <f>HYPERLINK("http://service.sap.com/sap/support/notes/1791495","1791495")</f>
        <v>1791495</v>
      </c>
      <c r="E4374">
        <v>6</v>
      </c>
      <c r="F4374" t="s">
        <v>4512</v>
      </c>
    </row>
    <row r="4375" spans="1:6" x14ac:dyDescent="0.25">
      <c r="A4375" t="s">
        <v>4347</v>
      </c>
      <c r="B4375" t="s">
        <v>229</v>
      </c>
      <c r="C4375" t="s">
        <v>230</v>
      </c>
      <c r="D4375" t="str">
        <f>HYPERLINK("http://service.sap.com/sap/support/notes/1830506","1830506")</f>
        <v>1830506</v>
      </c>
      <c r="E4375">
        <v>3</v>
      </c>
      <c r="F4375" t="s">
        <v>4513</v>
      </c>
    </row>
    <row r="4376" spans="1:6" x14ac:dyDescent="0.25">
      <c r="A4376" t="s">
        <v>4347</v>
      </c>
      <c r="B4376" t="s">
        <v>229</v>
      </c>
      <c r="C4376" t="s">
        <v>230</v>
      </c>
      <c r="D4376" t="str">
        <f>HYPERLINK("http://service.sap.com/sap/support/notes/1851260","1851260")</f>
        <v>1851260</v>
      </c>
      <c r="E4376">
        <v>5</v>
      </c>
      <c r="F4376" t="s">
        <v>4514</v>
      </c>
    </row>
    <row r="4377" spans="1:6" x14ac:dyDescent="0.25">
      <c r="A4377" t="s">
        <v>4347</v>
      </c>
      <c r="B4377" t="s">
        <v>229</v>
      </c>
      <c r="C4377" t="s">
        <v>230</v>
      </c>
      <c r="D4377" t="str">
        <f>HYPERLINK("http://service.sap.com/sap/support/notes/1851964","1851964")</f>
        <v>1851964</v>
      </c>
      <c r="E4377">
        <v>8</v>
      </c>
      <c r="F4377" t="s">
        <v>4515</v>
      </c>
    </row>
    <row r="4378" spans="1:6" x14ac:dyDescent="0.25">
      <c r="A4378" t="s">
        <v>4347</v>
      </c>
      <c r="B4378" t="s">
        <v>229</v>
      </c>
      <c r="C4378" t="s">
        <v>230</v>
      </c>
      <c r="D4378" t="str">
        <f>HYPERLINK("http://service.sap.com/sap/support/notes/1853897","1853897")</f>
        <v>1853897</v>
      </c>
      <c r="E4378">
        <v>2</v>
      </c>
      <c r="F4378" t="s">
        <v>4516</v>
      </c>
    </row>
    <row r="4379" spans="1:6" x14ac:dyDescent="0.25">
      <c r="A4379" t="s">
        <v>4347</v>
      </c>
      <c r="B4379" t="s">
        <v>229</v>
      </c>
      <c r="C4379" t="s">
        <v>230</v>
      </c>
      <c r="D4379" t="str">
        <f>HYPERLINK("http://service.sap.com/sap/support/notes/1856459","1856459")</f>
        <v>1856459</v>
      </c>
      <c r="E4379">
        <v>2</v>
      </c>
      <c r="F4379" t="s">
        <v>4517</v>
      </c>
    </row>
    <row r="4380" spans="1:6" x14ac:dyDescent="0.25">
      <c r="A4380" t="s">
        <v>4347</v>
      </c>
      <c r="B4380" t="s">
        <v>229</v>
      </c>
      <c r="C4380" t="s">
        <v>230</v>
      </c>
      <c r="D4380" t="str">
        <f>HYPERLINK("http://service.sap.com/sap/support/notes/1862310","1862310")</f>
        <v>1862310</v>
      </c>
      <c r="E4380">
        <v>6</v>
      </c>
      <c r="F4380" t="s">
        <v>4518</v>
      </c>
    </row>
    <row r="4381" spans="1:6" x14ac:dyDescent="0.25">
      <c r="A4381" t="s">
        <v>4347</v>
      </c>
      <c r="B4381" t="s">
        <v>229</v>
      </c>
      <c r="C4381" t="s">
        <v>230</v>
      </c>
      <c r="D4381" t="str">
        <f>HYPERLINK("http://service.sap.com/sap/support/notes/1862931","1862931")</f>
        <v>1862931</v>
      </c>
      <c r="E4381">
        <v>5</v>
      </c>
      <c r="F4381" t="s">
        <v>4519</v>
      </c>
    </row>
    <row r="4382" spans="1:6" x14ac:dyDescent="0.25">
      <c r="A4382" t="s">
        <v>4347</v>
      </c>
      <c r="B4382" t="s">
        <v>229</v>
      </c>
      <c r="C4382" t="s">
        <v>230</v>
      </c>
      <c r="D4382" t="str">
        <f>HYPERLINK("http://service.sap.com/sap/support/notes/1863048","1863048")</f>
        <v>1863048</v>
      </c>
      <c r="E4382">
        <v>4</v>
      </c>
      <c r="F4382" t="s">
        <v>4520</v>
      </c>
    </row>
    <row r="4383" spans="1:6" x14ac:dyDescent="0.25">
      <c r="A4383" t="s">
        <v>4347</v>
      </c>
      <c r="B4383" t="s">
        <v>229</v>
      </c>
      <c r="C4383" t="s">
        <v>230</v>
      </c>
      <c r="D4383" t="str">
        <f>HYPERLINK("http://service.sap.com/sap/support/notes/1864309","1864309")</f>
        <v>1864309</v>
      </c>
      <c r="E4383">
        <v>2</v>
      </c>
      <c r="F4383" t="s">
        <v>4521</v>
      </c>
    </row>
    <row r="4384" spans="1:6" x14ac:dyDescent="0.25">
      <c r="A4384" t="s">
        <v>4347</v>
      </c>
      <c r="B4384" t="s">
        <v>229</v>
      </c>
      <c r="C4384" t="s">
        <v>230</v>
      </c>
      <c r="D4384" t="str">
        <f>HYPERLINK("http://service.sap.com/sap/support/notes/1864797","1864797")</f>
        <v>1864797</v>
      </c>
      <c r="E4384">
        <v>2</v>
      </c>
      <c r="F4384" t="s">
        <v>4522</v>
      </c>
    </row>
    <row r="4385" spans="1:6" x14ac:dyDescent="0.25">
      <c r="A4385" t="s">
        <v>4347</v>
      </c>
      <c r="B4385" t="s">
        <v>229</v>
      </c>
      <c r="C4385" t="s">
        <v>230</v>
      </c>
      <c r="D4385" t="str">
        <f>HYPERLINK("http://service.sap.com/sap/support/notes/1864888","1864888")</f>
        <v>1864888</v>
      </c>
      <c r="E4385">
        <v>3</v>
      </c>
      <c r="F4385" t="s">
        <v>4523</v>
      </c>
    </row>
    <row r="4386" spans="1:6" x14ac:dyDescent="0.25">
      <c r="A4386" t="s">
        <v>4347</v>
      </c>
      <c r="B4386" t="s">
        <v>229</v>
      </c>
      <c r="C4386" t="s">
        <v>230</v>
      </c>
      <c r="D4386" t="str">
        <f>HYPERLINK("http://service.sap.com/sap/support/notes/1865506","1865506")</f>
        <v>1865506</v>
      </c>
      <c r="E4386">
        <v>4</v>
      </c>
      <c r="F4386" t="s">
        <v>4524</v>
      </c>
    </row>
    <row r="4387" spans="1:6" x14ac:dyDescent="0.25">
      <c r="A4387" t="s">
        <v>4347</v>
      </c>
      <c r="B4387" t="s">
        <v>229</v>
      </c>
      <c r="C4387" t="s">
        <v>230</v>
      </c>
      <c r="D4387" t="str">
        <f>HYPERLINK("http://service.sap.com/sap/support/notes/1865590","1865590")</f>
        <v>1865590</v>
      </c>
      <c r="E4387">
        <v>1</v>
      </c>
      <c r="F4387" t="s">
        <v>4525</v>
      </c>
    </row>
    <row r="4388" spans="1:6" x14ac:dyDescent="0.25">
      <c r="A4388" t="s">
        <v>4347</v>
      </c>
      <c r="B4388" t="s">
        <v>229</v>
      </c>
      <c r="C4388" t="s">
        <v>230</v>
      </c>
      <c r="D4388" t="str">
        <f>HYPERLINK("http://service.sap.com/sap/support/notes/1866172","1866172")</f>
        <v>1866172</v>
      </c>
      <c r="E4388">
        <v>2</v>
      </c>
      <c r="F4388" t="s">
        <v>4526</v>
      </c>
    </row>
    <row r="4389" spans="1:6" x14ac:dyDescent="0.25">
      <c r="A4389" t="s">
        <v>4347</v>
      </c>
      <c r="B4389" t="s">
        <v>229</v>
      </c>
      <c r="C4389" t="s">
        <v>230</v>
      </c>
      <c r="D4389" t="str">
        <f>HYPERLINK("http://service.sap.com/sap/support/notes/1867531","1867531")</f>
        <v>1867531</v>
      </c>
      <c r="E4389">
        <v>3</v>
      </c>
      <c r="F4389" t="s">
        <v>4527</v>
      </c>
    </row>
    <row r="4390" spans="1:6" x14ac:dyDescent="0.25">
      <c r="A4390" t="s">
        <v>4347</v>
      </c>
      <c r="B4390" t="s">
        <v>229</v>
      </c>
      <c r="C4390" t="s">
        <v>230</v>
      </c>
      <c r="D4390" t="str">
        <f>HYPERLINK("http://service.sap.com/sap/support/notes/1868914","1868914")</f>
        <v>1868914</v>
      </c>
      <c r="E4390">
        <v>3</v>
      </c>
      <c r="F4390" t="s">
        <v>4528</v>
      </c>
    </row>
    <row r="4391" spans="1:6" x14ac:dyDescent="0.25">
      <c r="A4391" t="s">
        <v>4347</v>
      </c>
      <c r="B4391" t="s">
        <v>229</v>
      </c>
      <c r="C4391" t="s">
        <v>230</v>
      </c>
      <c r="D4391" t="str">
        <f>HYPERLINK("http://service.sap.com/sap/support/notes/1868924","1868924")</f>
        <v>1868924</v>
      </c>
      <c r="E4391">
        <v>2</v>
      </c>
      <c r="F4391" t="s">
        <v>4529</v>
      </c>
    </row>
    <row r="4392" spans="1:6" x14ac:dyDescent="0.25">
      <c r="A4392" t="s">
        <v>4347</v>
      </c>
      <c r="B4392" t="s">
        <v>229</v>
      </c>
      <c r="C4392" t="s">
        <v>230</v>
      </c>
      <c r="D4392" t="str">
        <f>HYPERLINK("http://service.sap.com/sap/support/notes/1869546","1869546")</f>
        <v>1869546</v>
      </c>
      <c r="E4392">
        <v>2</v>
      </c>
      <c r="F4392" t="s">
        <v>4530</v>
      </c>
    </row>
    <row r="4393" spans="1:6" x14ac:dyDescent="0.25">
      <c r="A4393" t="s">
        <v>4347</v>
      </c>
      <c r="B4393" t="s">
        <v>229</v>
      </c>
      <c r="C4393" t="s">
        <v>230</v>
      </c>
      <c r="D4393" t="str">
        <f>HYPERLINK("http://service.sap.com/sap/support/notes/1870092","1870092")</f>
        <v>1870092</v>
      </c>
      <c r="E4393">
        <v>2</v>
      </c>
      <c r="F4393" t="s">
        <v>4531</v>
      </c>
    </row>
    <row r="4394" spans="1:6" x14ac:dyDescent="0.25">
      <c r="A4394" t="s">
        <v>4347</v>
      </c>
      <c r="B4394" t="s">
        <v>229</v>
      </c>
      <c r="C4394" t="s">
        <v>230</v>
      </c>
      <c r="D4394" t="str">
        <f>HYPERLINK("http://service.sap.com/sap/support/notes/1870177","1870177")</f>
        <v>1870177</v>
      </c>
      <c r="E4394">
        <v>3</v>
      </c>
      <c r="F4394" t="s">
        <v>4532</v>
      </c>
    </row>
    <row r="4395" spans="1:6" x14ac:dyDescent="0.25">
      <c r="A4395" t="s">
        <v>4347</v>
      </c>
      <c r="B4395" t="s">
        <v>229</v>
      </c>
      <c r="C4395" t="s">
        <v>230</v>
      </c>
      <c r="D4395" t="str">
        <f>HYPERLINK("http://service.sap.com/sap/support/notes/1870695","1870695")</f>
        <v>1870695</v>
      </c>
      <c r="E4395">
        <v>2</v>
      </c>
      <c r="F4395" t="s">
        <v>4533</v>
      </c>
    </row>
    <row r="4396" spans="1:6" x14ac:dyDescent="0.25">
      <c r="A4396" t="s">
        <v>4347</v>
      </c>
      <c r="B4396" t="s">
        <v>229</v>
      </c>
      <c r="C4396" t="s">
        <v>230</v>
      </c>
      <c r="D4396" t="str">
        <f>HYPERLINK("http://service.sap.com/sap/support/notes/1871455","1871455")</f>
        <v>1871455</v>
      </c>
      <c r="E4396">
        <v>4</v>
      </c>
      <c r="F4396" t="s">
        <v>4534</v>
      </c>
    </row>
    <row r="4397" spans="1:6" x14ac:dyDescent="0.25">
      <c r="A4397" t="s">
        <v>4347</v>
      </c>
      <c r="B4397" t="s">
        <v>229</v>
      </c>
      <c r="C4397" t="s">
        <v>230</v>
      </c>
      <c r="D4397" t="str">
        <f>HYPERLINK("http://service.sap.com/sap/support/notes/1871910","1871910")</f>
        <v>1871910</v>
      </c>
      <c r="E4397">
        <v>2</v>
      </c>
      <c r="F4397" t="s">
        <v>4535</v>
      </c>
    </row>
    <row r="4398" spans="1:6" x14ac:dyDescent="0.25">
      <c r="A4398" t="s">
        <v>4347</v>
      </c>
      <c r="B4398" t="s">
        <v>229</v>
      </c>
      <c r="C4398" t="s">
        <v>230</v>
      </c>
      <c r="D4398" t="str">
        <f>HYPERLINK("http://service.sap.com/sap/support/notes/1872670","1872670")</f>
        <v>1872670</v>
      </c>
      <c r="E4398">
        <v>2</v>
      </c>
      <c r="F4398" t="s">
        <v>4536</v>
      </c>
    </row>
    <row r="4399" spans="1:6" x14ac:dyDescent="0.25">
      <c r="A4399" t="s">
        <v>4347</v>
      </c>
      <c r="B4399" t="s">
        <v>229</v>
      </c>
      <c r="C4399" t="s">
        <v>230</v>
      </c>
      <c r="D4399" t="str">
        <f>HYPERLINK("http://service.sap.com/sap/support/notes/1873242","1873242")</f>
        <v>1873242</v>
      </c>
      <c r="E4399">
        <v>2</v>
      </c>
      <c r="F4399" t="s">
        <v>4537</v>
      </c>
    </row>
    <row r="4400" spans="1:6" x14ac:dyDescent="0.25">
      <c r="A4400" t="s">
        <v>4347</v>
      </c>
      <c r="B4400" t="s">
        <v>229</v>
      </c>
      <c r="C4400" t="s">
        <v>230</v>
      </c>
      <c r="D4400" t="str">
        <f>HYPERLINK("http://service.sap.com/sap/support/notes/1874464","1874464")</f>
        <v>1874464</v>
      </c>
      <c r="E4400">
        <v>1</v>
      </c>
      <c r="F4400" t="s">
        <v>4538</v>
      </c>
    </row>
    <row r="4401" spans="1:6" x14ac:dyDescent="0.25">
      <c r="A4401" t="s">
        <v>4347</v>
      </c>
      <c r="B4401" t="s">
        <v>229</v>
      </c>
      <c r="C4401" t="s">
        <v>230</v>
      </c>
      <c r="D4401" t="str">
        <f>HYPERLINK("http://service.sap.com/sap/support/notes/1875851","1875851")</f>
        <v>1875851</v>
      </c>
      <c r="E4401">
        <v>2</v>
      </c>
      <c r="F4401" t="s">
        <v>4539</v>
      </c>
    </row>
    <row r="4402" spans="1:6" x14ac:dyDescent="0.25">
      <c r="A4402" t="s">
        <v>4347</v>
      </c>
      <c r="B4402" t="s">
        <v>229</v>
      </c>
      <c r="C4402" t="s">
        <v>230</v>
      </c>
      <c r="D4402" t="str">
        <f>HYPERLINK("http://service.sap.com/sap/support/notes/1875906","1875906")</f>
        <v>1875906</v>
      </c>
      <c r="E4402">
        <v>2</v>
      </c>
      <c r="F4402" t="s">
        <v>4540</v>
      </c>
    </row>
    <row r="4403" spans="1:6" x14ac:dyDescent="0.25">
      <c r="A4403" t="s">
        <v>4347</v>
      </c>
      <c r="B4403" t="s">
        <v>229</v>
      </c>
      <c r="C4403" t="s">
        <v>230</v>
      </c>
      <c r="D4403" t="str">
        <f>HYPERLINK("http://service.sap.com/sap/support/notes/1877218","1877218")</f>
        <v>1877218</v>
      </c>
      <c r="E4403">
        <v>1</v>
      </c>
      <c r="F4403" t="s">
        <v>4541</v>
      </c>
    </row>
    <row r="4404" spans="1:6" x14ac:dyDescent="0.25">
      <c r="A4404" t="s">
        <v>4347</v>
      </c>
      <c r="B4404" t="s">
        <v>263</v>
      </c>
      <c r="C4404" t="s">
        <v>41</v>
      </c>
      <c r="D4404" t="str">
        <f>HYPERLINK("http://service.sap.com/sap/support/notes/1824158","1824158")</f>
        <v>1824158</v>
      </c>
      <c r="E4404">
        <v>2</v>
      </c>
      <c r="F4404" t="s">
        <v>4542</v>
      </c>
    </row>
    <row r="4405" spans="1:6" x14ac:dyDescent="0.25">
      <c r="A4405" t="s">
        <v>4347</v>
      </c>
      <c r="B4405" t="s">
        <v>263</v>
      </c>
      <c r="C4405" t="s">
        <v>41</v>
      </c>
      <c r="D4405" t="str">
        <f>HYPERLINK("http://service.sap.com/sap/support/notes/1852555","1852555")</f>
        <v>1852555</v>
      </c>
      <c r="E4405">
        <v>2</v>
      </c>
      <c r="F4405" t="s">
        <v>4543</v>
      </c>
    </row>
    <row r="4406" spans="1:6" x14ac:dyDescent="0.25">
      <c r="A4406" t="s">
        <v>4347</v>
      </c>
      <c r="B4406" t="s">
        <v>263</v>
      </c>
      <c r="C4406" t="s">
        <v>41</v>
      </c>
      <c r="D4406" t="str">
        <f>HYPERLINK("http://service.sap.com/sap/support/notes/1861873","1861873")</f>
        <v>1861873</v>
      </c>
      <c r="E4406">
        <v>3</v>
      </c>
      <c r="F4406" t="s">
        <v>4544</v>
      </c>
    </row>
    <row r="4407" spans="1:6" x14ac:dyDescent="0.25">
      <c r="A4407" t="s">
        <v>4347</v>
      </c>
      <c r="B4407" t="s">
        <v>263</v>
      </c>
      <c r="C4407" t="s">
        <v>41</v>
      </c>
      <c r="D4407" t="str">
        <f>HYPERLINK("http://service.sap.com/sap/support/notes/1863404","1863404")</f>
        <v>1863404</v>
      </c>
      <c r="E4407">
        <v>2</v>
      </c>
      <c r="F4407" t="s">
        <v>4545</v>
      </c>
    </row>
    <row r="4408" spans="1:6" x14ac:dyDescent="0.25">
      <c r="A4408" t="s">
        <v>4347</v>
      </c>
      <c r="B4408" t="s">
        <v>263</v>
      </c>
      <c r="C4408" t="s">
        <v>41</v>
      </c>
      <c r="D4408" t="str">
        <f>HYPERLINK("http://service.sap.com/sap/support/notes/1865770","1865770")</f>
        <v>1865770</v>
      </c>
      <c r="E4408">
        <v>4</v>
      </c>
      <c r="F4408" t="s">
        <v>4546</v>
      </c>
    </row>
    <row r="4409" spans="1:6" x14ac:dyDescent="0.25">
      <c r="A4409" t="s">
        <v>4347</v>
      </c>
      <c r="B4409" t="s">
        <v>263</v>
      </c>
      <c r="C4409" t="s">
        <v>41</v>
      </c>
      <c r="D4409" t="str">
        <f>HYPERLINK("http://service.sap.com/sap/support/notes/1866351","1866351")</f>
        <v>1866351</v>
      </c>
      <c r="E4409">
        <v>1</v>
      </c>
      <c r="F4409" t="s">
        <v>4547</v>
      </c>
    </row>
    <row r="4410" spans="1:6" x14ac:dyDescent="0.25">
      <c r="A4410" t="s">
        <v>4347</v>
      </c>
      <c r="B4410" t="s">
        <v>263</v>
      </c>
      <c r="C4410" t="s">
        <v>41</v>
      </c>
      <c r="D4410" t="str">
        <f>HYPERLINK("http://service.sap.com/sap/support/notes/1867869","1867869")</f>
        <v>1867869</v>
      </c>
      <c r="E4410">
        <v>1</v>
      </c>
      <c r="F4410" t="s">
        <v>4548</v>
      </c>
    </row>
    <row r="4411" spans="1:6" x14ac:dyDescent="0.25">
      <c r="A4411" t="s">
        <v>4347</v>
      </c>
      <c r="B4411" t="s">
        <v>263</v>
      </c>
      <c r="C4411" t="s">
        <v>41</v>
      </c>
      <c r="D4411" t="str">
        <f>HYPERLINK("http://service.sap.com/sap/support/notes/1868684","1868684")</f>
        <v>1868684</v>
      </c>
      <c r="E4411">
        <v>2</v>
      </c>
      <c r="F4411" t="s">
        <v>4549</v>
      </c>
    </row>
    <row r="4412" spans="1:6" x14ac:dyDescent="0.25">
      <c r="A4412" t="s">
        <v>4347</v>
      </c>
      <c r="B4412" t="s">
        <v>263</v>
      </c>
      <c r="C4412" t="s">
        <v>41</v>
      </c>
      <c r="D4412" t="str">
        <f>HYPERLINK("http://service.sap.com/sap/support/notes/1869304","1869304")</f>
        <v>1869304</v>
      </c>
      <c r="E4412">
        <v>4</v>
      </c>
      <c r="F4412" t="s">
        <v>4550</v>
      </c>
    </row>
    <row r="4413" spans="1:6" x14ac:dyDescent="0.25">
      <c r="A4413" t="s">
        <v>4347</v>
      </c>
      <c r="B4413" t="s">
        <v>263</v>
      </c>
      <c r="C4413" t="s">
        <v>41</v>
      </c>
      <c r="D4413" t="str">
        <f>HYPERLINK("http://service.sap.com/sap/support/notes/1869328","1869328")</f>
        <v>1869328</v>
      </c>
      <c r="E4413">
        <v>2</v>
      </c>
      <c r="F4413" t="s">
        <v>4551</v>
      </c>
    </row>
    <row r="4414" spans="1:6" x14ac:dyDescent="0.25">
      <c r="A4414" t="s">
        <v>4347</v>
      </c>
      <c r="B4414" t="s">
        <v>263</v>
      </c>
      <c r="C4414" t="s">
        <v>41</v>
      </c>
      <c r="D4414" t="str">
        <f>HYPERLINK("http://service.sap.com/sap/support/notes/1870373","1870373")</f>
        <v>1870373</v>
      </c>
      <c r="E4414">
        <v>2</v>
      </c>
      <c r="F4414" t="s">
        <v>4552</v>
      </c>
    </row>
    <row r="4415" spans="1:6" x14ac:dyDescent="0.25">
      <c r="A4415" t="s">
        <v>4347</v>
      </c>
      <c r="B4415" t="s">
        <v>263</v>
      </c>
      <c r="C4415" t="s">
        <v>41</v>
      </c>
      <c r="D4415" t="str">
        <f>HYPERLINK("http://service.sap.com/sap/support/notes/1871211","1871211")</f>
        <v>1871211</v>
      </c>
      <c r="E4415">
        <v>1</v>
      </c>
      <c r="F4415" t="s">
        <v>4553</v>
      </c>
    </row>
    <row r="4416" spans="1:6" x14ac:dyDescent="0.25">
      <c r="A4416" t="s">
        <v>4347</v>
      </c>
      <c r="B4416" t="s">
        <v>263</v>
      </c>
      <c r="C4416" t="s">
        <v>41</v>
      </c>
      <c r="D4416" t="str">
        <f>HYPERLINK("http://service.sap.com/sap/support/notes/1871822","1871822")</f>
        <v>1871822</v>
      </c>
      <c r="E4416">
        <v>3</v>
      </c>
      <c r="F4416" t="s">
        <v>4554</v>
      </c>
    </row>
    <row r="4417" spans="1:6" x14ac:dyDescent="0.25">
      <c r="A4417" t="s">
        <v>4347</v>
      </c>
      <c r="B4417" t="s">
        <v>263</v>
      </c>
      <c r="C4417" t="s">
        <v>41</v>
      </c>
      <c r="D4417" t="str">
        <f>HYPERLINK("http://service.sap.com/sap/support/notes/1874810","1874810")</f>
        <v>1874810</v>
      </c>
      <c r="E4417">
        <v>1</v>
      </c>
      <c r="F4417" t="s">
        <v>4555</v>
      </c>
    </row>
    <row r="4418" spans="1:6" x14ac:dyDescent="0.25">
      <c r="A4418" t="s">
        <v>4347</v>
      </c>
      <c r="B4418" t="s">
        <v>263</v>
      </c>
      <c r="C4418" t="s">
        <v>41</v>
      </c>
      <c r="D4418" t="str">
        <f>HYPERLINK("http://service.sap.com/sap/support/notes/1874969","1874969")</f>
        <v>1874969</v>
      </c>
      <c r="E4418">
        <v>2</v>
      </c>
      <c r="F4418" t="s">
        <v>4556</v>
      </c>
    </row>
    <row r="4419" spans="1:6" x14ac:dyDescent="0.25">
      <c r="A4419" t="s">
        <v>4347</v>
      </c>
      <c r="B4419" t="s">
        <v>286</v>
      </c>
      <c r="C4419" t="s">
        <v>287</v>
      </c>
      <c r="D4419" t="str">
        <f>HYPERLINK("http://service.sap.com/sap/support/notes/1828508","1828508")</f>
        <v>1828508</v>
      </c>
      <c r="E4419">
        <v>2</v>
      </c>
      <c r="F4419" t="s">
        <v>4557</v>
      </c>
    </row>
    <row r="4420" spans="1:6" x14ac:dyDescent="0.25">
      <c r="A4420" t="s">
        <v>4347</v>
      </c>
      <c r="B4420" t="s">
        <v>286</v>
      </c>
      <c r="C4420" t="s">
        <v>287</v>
      </c>
      <c r="D4420" t="str">
        <f>HYPERLINK("http://service.sap.com/sap/support/notes/1837714","1837714")</f>
        <v>1837714</v>
      </c>
      <c r="E4420">
        <v>4</v>
      </c>
      <c r="F4420" t="s">
        <v>4123</v>
      </c>
    </row>
    <row r="4421" spans="1:6" x14ac:dyDescent="0.25">
      <c r="A4421" t="s">
        <v>4347</v>
      </c>
      <c r="B4421" t="s">
        <v>286</v>
      </c>
      <c r="C4421" t="s">
        <v>287</v>
      </c>
      <c r="D4421" t="str">
        <f>HYPERLINK("http://service.sap.com/sap/support/notes/1844052","1844052")</f>
        <v>1844052</v>
      </c>
      <c r="E4421">
        <v>3</v>
      </c>
      <c r="F4421" t="s">
        <v>4558</v>
      </c>
    </row>
    <row r="4422" spans="1:6" x14ac:dyDescent="0.25">
      <c r="A4422" t="s">
        <v>4347</v>
      </c>
      <c r="B4422" t="s">
        <v>286</v>
      </c>
      <c r="C4422" t="s">
        <v>287</v>
      </c>
      <c r="D4422" t="str">
        <f>HYPERLINK("http://service.sap.com/sap/support/notes/1847352","1847352")</f>
        <v>1847352</v>
      </c>
      <c r="E4422">
        <v>1</v>
      </c>
      <c r="F4422" t="s">
        <v>4559</v>
      </c>
    </row>
    <row r="4423" spans="1:6" x14ac:dyDescent="0.25">
      <c r="A4423" t="s">
        <v>4347</v>
      </c>
      <c r="B4423" t="s">
        <v>286</v>
      </c>
      <c r="C4423" t="s">
        <v>287</v>
      </c>
      <c r="D4423" t="str">
        <f>HYPERLINK("http://service.sap.com/sap/support/notes/1849833","1849833")</f>
        <v>1849833</v>
      </c>
      <c r="E4423">
        <v>2</v>
      </c>
      <c r="F4423" t="s">
        <v>4560</v>
      </c>
    </row>
    <row r="4424" spans="1:6" x14ac:dyDescent="0.25">
      <c r="A4424" t="s">
        <v>4347</v>
      </c>
      <c r="B4424" t="s">
        <v>286</v>
      </c>
      <c r="C4424" t="s">
        <v>287</v>
      </c>
      <c r="D4424" t="str">
        <f>HYPERLINK("http://service.sap.com/sap/support/notes/1852463","1852463")</f>
        <v>1852463</v>
      </c>
      <c r="E4424">
        <v>2</v>
      </c>
      <c r="F4424" t="s">
        <v>4561</v>
      </c>
    </row>
    <row r="4425" spans="1:6" x14ac:dyDescent="0.25">
      <c r="A4425" t="s">
        <v>4347</v>
      </c>
      <c r="B4425" t="s">
        <v>286</v>
      </c>
      <c r="C4425" t="s">
        <v>287</v>
      </c>
      <c r="D4425" t="str">
        <f>HYPERLINK("http://service.sap.com/sap/support/notes/1853992","1853992")</f>
        <v>1853992</v>
      </c>
      <c r="E4425">
        <v>1</v>
      </c>
      <c r="F4425" t="s">
        <v>4562</v>
      </c>
    </row>
    <row r="4426" spans="1:6" x14ac:dyDescent="0.25">
      <c r="A4426" t="s">
        <v>4347</v>
      </c>
      <c r="B4426" t="s">
        <v>286</v>
      </c>
      <c r="C4426" t="s">
        <v>287</v>
      </c>
      <c r="D4426" t="str">
        <f>HYPERLINK("http://service.sap.com/sap/support/notes/1854458","1854458")</f>
        <v>1854458</v>
      </c>
      <c r="E4426">
        <v>5</v>
      </c>
      <c r="F4426" t="s">
        <v>4563</v>
      </c>
    </row>
    <row r="4427" spans="1:6" x14ac:dyDescent="0.25">
      <c r="A4427" t="s">
        <v>4347</v>
      </c>
      <c r="B4427" t="s">
        <v>286</v>
      </c>
      <c r="C4427" t="s">
        <v>287</v>
      </c>
      <c r="D4427" t="str">
        <f>HYPERLINK("http://service.sap.com/sap/support/notes/1857405","1857405")</f>
        <v>1857405</v>
      </c>
      <c r="E4427">
        <v>3</v>
      </c>
      <c r="F4427" t="s">
        <v>4564</v>
      </c>
    </row>
    <row r="4428" spans="1:6" x14ac:dyDescent="0.25">
      <c r="A4428" t="s">
        <v>4347</v>
      </c>
      <c r="B4428" t="s">
        <v>286</v>
      </c>
      <c r="C4428" t="s">
        <v>287</v>
      </c>
      <c r="D4428" t="str">
        <f>HYPERLINK("http://service.sap.com/sap/support/notes/1859255","1859255")</f>
        <v>1859255</v>
      </c>
      <c r="E4428">
        <v>2</v>
      </c>
      <c r="F4428" t="s">
        <v>4565</v>
      </c>
    </row>
    <row r="4429" spans="1:6" x14ac:dyDescent="0.25">
      <c r="A4429" t="s">
        <v>4347</v>
      </c>
      <c r="B4429" t="s">
        <v>286</v>
      </c>
      <c r="C4429" t="s">
        <v>287</v>
      </c>
      <c r="D4429" t="str">
        <f>HYPERLINK("http://service.sap.com/sap/support/notes/1865003","1865003")</f>
        <v>1865003</v>
      </c>
      <c r="E4429">
        <v>2</v>
      </c>
      <c r="F4429" t="s">
        <v>4148</v>
      </c>
    </row>
    <row r="4430" spans="1:6" x14ac:dyDescent="0.25">
      <c r="A4430" t="s">
        <v>4347</v>
      </c>
      <c r="B4430" t="s">
        <v>286</v>
      </c>
      <c r="C4430" t="s">
        <v>287</v>
      </c>
      <c r="D4430" t="str">
        <f>HYPERLINK("http://service.sap.com/sap/support/notes/1865017","1865017")</f>
        <v>1865017</v>
      </c>
      <c r="E4430">
        <v>2</v>
      </c>
      <c r="F4430" t="s">
        <v>4566</v>
      </c>
    </row>
    <row r="4431" spans="1:6" x14ac:dyDescent="0.25">
      <c r="A4431" t="s">
        <v>4347</v>
      </c>
      <c r="B4431" t="s">
        <v>286</v>
      </c>
      <c r="C4431" t="s">
        <v>287</v>
      </c>
      <c r="D4431" t="str">
        <f>HYPERLINK("http://service.sap.com/sap/support/notes/1865876","1865876")</f>
        <v>1865876</v>
      </c>
      <c r="E4431">
        <v>1</v>
      </c>
      <c r="F4431" t="s">
        <v>4567</v>
      </c>
    </row>
    <row r="4432" spans="1:6" x14ac:dyDescent="0.25">
      <c r="A4432" t="s">
        <v>4347</v>
      </c>
      <c r="B4432" t="s">
        <v>286</v>
      </c>
      <c r="C4432" t="s">
        <v>287</v>
      </c>
      <c r="D4432" t="str">
        <f>HYPERLINK("http://service.sap.com/sap/support/notes/1865984","1865984")</f>
        <v>1865984</v>
      </c>
      <c r="E4432">
        <v>1</v>
      </c>
      <c r="F4432" t="s">
        <v>4568</v>
      </c>
    </row>
    <row r="4433" spans="1:6" x14ac:dyDescent="0.25">
      <c r="A4433" t="s">
        <v>4347</v>
      </c>
      <c r="B4433" t="s">
        <v>286</v>
      </c>
      <c r="C4433" t="s">
        <v>287</v>
      </c>
      <c r="D4433" t="str">
        <f>HYPERLINK("http://service.sap.com/sap/support/notes/1866424","1866424")</f>
        <v>1866424</v>
      </c>
      <c r="E4433">
        <v>2</v>
      </c>
      <c r="F4433" t="s">
        <v>4569</v>
      </c>
    </row>
    <row r="4434" spans="1:6" x14ac:dyDescent="0.25">
      <c r="A4434" t="s">
        <v>4347</v>
      </c>
      <c r="B4434" t="s">
        <v>286</v>
      </c>
      <c r="C4434" t="s">
        <v>287</v>
      </c>
      <c r="D4434" t="str">
        <f>HYPERLINK("http://service.sap.com/sap/support/notes/1868054","1868054")</f>
        <v>1868054</v>
      </c>
      <c r="E4434">
        <v>1</v>
      </c>
      <c r="F4434" t="s">
        <v>4570</v>
      </c>
    </row>
    <row r="4435" spans="1:6" x14ac:dyDescent="0.25">
      <c r="A4435" t="s">
        <v>4347</v>
      </c>
      <c r="B4435" t="s">
        <v>286</v>
      </c>
      <c r="C4435" t="s">
        <v>287</v>
      </c>
      <c r="D4435" t="str">
        <f>HYPERLINK("http://service.sap.com/sap/support/notes/1868107","1868107")</f>
        <v>1868107</v>
      </c>
      <c r="E4435">
        <v>3</v>
      </c>
      <c r="F4435" t="s">
        <v>4571</v>
      </c>
    </row>
    <row r="4436" spans="1:6" x14ac:dyDescent="0.25">
      <c r="A4436" t="s">
        <v>4347</v>
      </c>
      <c r="B4436" t="s">
        <v>286</v>
      </c>
      <c r="C4436" t="s">
        <v>287</v>
      </c>
      <c r="D4436" t="str">
        <f>HYPERLINK("http://service.sap.com/sap/support/notes/1868533","1868533")</f>
        <v>1868533</v>
      </c>
      <c r="E4436">
        <v>2</v>
      </c>
      <c r="F4436" t="s">
        <v>4572</v>
      </c>
    </row>
    <row r="4437" spans="1:6" x14ac:dyDescent="0.25">
      <c r="A4437" t="s">
        <v>4347</v>
      </c>
      <c r="B4437" t="s">
        <v>286</v>
      </c>
      <c r="C4437" t="s">
        <v>287</v>
      </c>
      <c r="D4437" t="str">
        <f>HYPERLINK("http://service.sap.com/sap/support/notes/1868541","1868541")</f>
        <v>1868541</v>
      </c>
      <c r="E4437">
        <v>3</v>
      </c>
      <c r="F4437" t="s">
        <v>4573</v>
      </c>
    </row>
    <row r="4438" spans="1:6" x14ac:dyDescent="0.25">
      <c r="A4438" t="s">
        <v>4347</v>
      </c>
      <c r="B4438" t="s">
        <v>286</v>
      </c>
      <c r="C4438" t="s">
        <v>287</v>
      </c>
      <c r="D4438" t="str">
        <f>HYPERLINK("http://service.sap.com/sap/support/notes/1869444","1869444")</f>
        <v>1869444</v>
      </c>
      <c r="E4438">
        <v>1</v>
      </c>
      <c r="F4438" t="s">
        <v>4573</v>
      </c>
    </row>
    <row r="4439" spans="1:6" x14ac:dyDescent="0.25">
      <c r="A4439" t="s">
        <v>4347</v>
      </c>
      <c r="B4439" t="s">
        <v>286</v>
      </c>
      <c r="C4439" t="s">
        <v>287</v>
      </c>
      <c r="D4439" t="str">
        <f>HYPERLINK("http://service.sap.com/sap/support/notes/1870473","1870473")</f>
        <v>1870473</v>
      </c>
      <c r="E4439">
        <v>1</v>
      </c>
      <c r="F4439" t="s">
        <v>4574</v>
      </c>
    </row>
    <row r="4440" spans="1:6" x14ac:dyDescent="0.25">
      <c r="A4440" t="s">
        <v>4347</v>
      </c>
      <c r="B4440" t="s">
        <v>286</v>
      </c>
      <c r="C4440" t="s">
        <v>287</v>
      </c>
      <c r="D4440" t="str">
        <f>HYPERLINK("http://service.sap.com/sap/support/notes/1870494","1870494")</f>
        <v>1870494</v>
      </c>
      <c r="E4440">
        <v>3</v>
      </c>
      <c r="F4440" t="s">
        <v>4575</v>
      </c>
    </row>
    <row r="4441" spans="1:6" x14ac:dyDescent="0.25">
      <c r="A4441" t="s">
        <v>4347</v>
      </c>
      <c r="B4441" t="s">
        <v>286</v>
      </c>
      <c r="C4441" t="s">
        <v>287</v>
      </c>
      <c r="D4441" t="str">
        <f>HYPERLINK("http://service.sap.com/sap/support/notes/1870712","1870712")</f>
        <v>1870712</v>
      </c>
      <c r="E4441">
        <v>3</v>
      </c>
      <c r="F4441" t="s">
        <v>4576</v>
      </c>
    </row>
    <row r="4442" spans="1:6" x14ac:dyDescent="0.25">
      <c r="A4442" t="s">
        <v>4347</v>
      </c>
      <c r="B4442" t="s">
        <v>286</v>
      </c>
      <c r="C4442" t="s">
        <v>287</v>
      </c>
      <c r="D4442" t="str">
        <f>HYPERLINK("http://service.sap.com/sap/support/notes/1872249","1872249")</f>
        <v>1872249</v>
      </c>
      <c r="E4442">
        <v>2</v>
      </c>
      <c r="F4442" t="s">
        <v>4577</v>
      </c>
    </row>
    <row r="4443" spans="1:6" x14ac:dyDescent="0.25">
      <c r="A4443" t="s">
        <v>4347</v>
      </c>
      <c r="B4443" t="s">
        <v>286</v>
      </c>
      <c r="C4443" t="s">
        <v>287</v>
      </c>
      <c r="D4443" t="str">
        <f>HYPERLINK("http://service.sap.com/sap/support/notes/1874213","1874213")</f>
        <v>1874213</v>
      </c>
      <c r="E4443">
        <v>1</v>
      </c>
      <c r="F4443" t="s">
        <v>4578</v>
      </c>
    </row>
    <row r="4444" spans="1:6" x14ac:dyDescent="0.25">
      <c r="A4444" t="s">
        <v>4347</v>
      </c>
      <c r="B4444" t="s">
        <v>286</v>
      </c>
      <c r="C4444" t="s">
        <v>287</v>
      </c>
      <c r="D4444" t="str">
        <f>HYPERLINK("http://service.sap.com/sap/support/notes/1874953","1874953")</f>
        <v>1874953</v>
      </c>
      <c r="E4444">
        <v>1</v>
      </c>
      <c r="F4444" t="s">
        <v>4579</v>
      </c>
    </row>
    <row r="4445" spans="1:6" x14ac:dyDescent="0.25">
      <c r="A4445" t="s">
        <v>4347</v>
      </c>
      <c r="B4445" t="s">
        <v>286</v>
      </c>
      <c r="C4445" t="s">
        <v>287</v>
      </c>
      <c r="D4445" t="str">
        <f>HYPERLINK("http://service.sap.com/sap/support/notes/1876127","1876127")</f>
        <v>1876127</v>
      </c>
      <c r="E4445">
        <v>1</v>
      </c>
      <c r="F4445" t="s">
        <v>4580</v>
      </c>
    </row>
    <row r="4446" spans="1:6" x14ac:dyDescent="0.25">
      <c r="A4446" t="s">
        <v>4347</v>
      </c>
      <c r="B4446" t="s">
        <v>299</v>
      </c>
      <c r="C4446" t="s">
        <v>128</v>
      </c>
      <c r="D4446" t="str">
        <f>HYPERLINK("http://service.sap.com/sap/support/notes/1815592","1815592")</f>
        <v>1815592</v>
      </c>
      <c r="E4446">
        <v>1</v>
      </c>
      <c r="F4446" t="s">
        <v>4581</v>
      </c>
    </row>
    <row r="4447" spans="1:6" x14ac:dyDescent="0.25">
      <c r="A4447" t="s">
        <v>4347</v>
      </c>
      <c r="B4447" t="s">
        <v>299</v>
      </c>
      <c r="C4447" t="s">
        <v>128</v>
      </c>
      <c r="D4447" t="str">
        <f>HYPERLINK("http://service.sap.com/sap/support/notes/1854835","1854835")</f>
        <v>1854835</v>
      </c>
      <c r="E4447">
        <v>1</v>
      </c>
      <c r="F4447" t="s">
        <v>4582</v>
      </c>
    </row>
    <row r="4448" spans="1:6" x14ac:dyDescent="0.25">
      <c r="A4448" t="s">
        <v>4347</v>
      </c>
      <c r="B4448" t="s">
        <v>301</v>
      </c>
      <c r="C4448" t="s">
        <v>156</v>
      </c>
    </row>
    <row r="4449" spans="1:6" x14ac:dyDescent="0.25">
      <c r="A4449" t="s">
        <v>4347</v>
      </c>
      <c r="B4449" t="s">
        <v>302</v>
      </c>
      <c r="C4449" t="s">
        <v>303</v>
      </c>
      <c r="D4449" t="str">
        <f>HYPERLINK("http://service.sap.com/sap/support/notes/1659227","1659227")</f>
        <v>1659227</v>
      </c>
      <c r="E4449">
        <v>1</v>
      </c>
      <c r="F4449" t="s">
        <v>593</v>
      </c>
    </row>
    <row r="4450" spans="1:6" x14ac:dyDescent="0.25">
      <c r="A4450" t="s">
        <v>4347</v>
      </c>
      <c r="B4450" t="s">
        <v>302</v>
      </c>
      <c r="C4450" t="s">
        <v>303</v>
      </c>
      <c r="D4450" t="str">
        <f>HYPERLINK("http://service.sap.com/sap/support/notes/1854443","1854443")</f>
        <v>1854443</v>
      </c>
      <c r="E4450">
        <v>3</v>
      </c>
      <c r="F4450" t="s">
        <v>4583</v>
      </c>
    </row>
    <row r="4451" spans="1:6" x14ac:dyDescent="0.25">
      <c r="A4451" t="s">
        <v>4347</v>
      </c>
      <c r="B4451" t="s">
        <v>306</v>
      </c>
      <c r="C4451" t="s">
        <v>307</v>
      </c>
      <c r="D4451" t="str">
        <f>HYPERLINK("http://service.sap.com/sap/support/notes/1863139","1863139")</f>
        <v>1863139</v>
      </c>
      <c r="E4451">
        <v>2</v>
      </c>
      <c r="F4451" t="s">
        <v>4163</v>
      </c>
    </row>
    <row r="4452" spans="1:6" x14ac:dyDescent="0.25">
      <c r="A4452" t="s">
        <v>4347</v>
      </c>
      <c r="B4452" t="s">
        <v>306</v>
      </c>
      <c r="C4452" t="s">
        <v>307</v>
      </c>
      <c r="D4452" t="str">
        <f>HYPERLINK("http://service.sap.com/sap/support/notes/1866858","1866858")</f>
        <v>1866858</v>
      </c>
      <c r="E4452">
        <v>1</v>
      </c>
      <c r="F4452" t="s">
        <v>4584</v>
      </c>
    </row>
    <row r="4453" spans="1:6" x14ac:dyDescent="0.25">
      <c r="A4453" t="s">
        <v>4347</v>
      </c>
      <c r="B4453" t="s">
        <v>306</v>
      </c>
      <c r="C4453" t="s">
        <v>307</v>
      </c>
      <c r="D4453" t="str">
        <f>HYPERLINK("http://service.sap.com/sap/support/notes/1872738","1872738")</f>
        <v>1872738</v>
      </c>
      <c r="E4453">
        <v>1</v>
      </c>
      <c r="F4453" t="s">
        <v>4585</v>
      </c>
    </row>
    <row r="4454" spans="1:6" x14ac:dyDescent="0.25">
      <c r="A4454" t="s">
        <v>4347</v>
      </c>
      <c r="B4454" t="s">
        <v>306</v>
      </c>
      <c r="C4454" t="s">
        <v>307</v>
      </c>
      <c r="D4454" t="str">
        <f>HYPERLINK("http://service.sap.com/sap/support/notes/1873341","1873341")</f>
        <v>1873341</v>
      </c>
      <c r="E4454">
        <v>2</v>
      </c>
      <c r="F4454" t="s">
        <v>4586</v>
      </c>
    </row>
    <row r="4455" spans="1:6" x14ac:dyDescent="0.25">
      <c r="A4455" t="s">
        <v>4347</v>
      </c>
      <c r="B4455" t="s">
        <v>313</v>
      </c>
      <c r="C4455" t="s">
        <v>314</v>
      </c>
      <c r="D4455" t="str">
        <f>HYPERLINK("http://service.sap.com/sap/support/notes/1867585","1867585")</f>
        <v>1867585</v>
      </c>
      <c r="E4455">
        <v>1</v>
      </c>
      <c r="F4455" t="s">
        <v>4587</v>
      </c>
    </row>
    <row r="4456" spans="1:6" x14ac:dyDescent="0.25">
      <c r="A4456" t="s">
        <v>4347</v>
      </c>
      <c r="B4456" t="s">
        <v>313</v>
      </c>
      <c r="C4456" t="s">
        <v>314</v>
      </c>
      <c r="D4456" t="str">
        <f>HYPERLINK("http://service.sap.com/sap/support/notes/1869158","1869158")</f>
        <v>1869158</v>
      </c>
      <c r="E4456">
        <v>1</v>
      </c>
      <c r="F4456" t="s">
        <v>4588</v>
      </c>
    </row>
    <row r="4457" spans="1:6" x14ac:dyDescent="0.25">
      <c r="A4457" t="s">
        <v>4347</v>
      </c>
      <c r="B4457" t="s">
        <v>313</v>
      </c>
      <c r="C4457" t="s">
        <v>314</v>
      </c>
      <c r="D4457" t="str">
        <f>HYPERLINK("http://service.sap.com/sap/support/notes/1874875","1874875")</f>
        <v>1874875</v>
      </c>
      <c r="E4457">
        <v>1</v>
      </c>
      <c r="F4457" t="s">
        <v>4589</v>
      </c>
    </row>
    <row r="4458" spans="1:6" x14ac:dyDescent="0.25">
      <c r="A4458" t="s">
        <v>4347</v>
      </c>
      <c r="B4458" t="s">
        <v>313</v>
      </c>
      <c r="C4458" t="s">
        <v>314</v>
      </c>
      <c r="D4458" t="str">
        <f>HYPERLINK("http://service.sap.com/sap/support/notes/1876795","1876795")</f>
        <v>1876795</v>
      </c>
      <c r="E4458">
        <v>2</v>
      </c>
      <c r="F4458" t="s">
        <v>4590</v>
      </c>
    </row>
    <row r="4459" spans="1:6" x14ac:dyDescent="0.25">
      <c r="A4459" t="s">
        <v>4347</v>
      </c>
      <c r="B4459" t="s">
        <v>313</v>
      </c>
      <c r="C4459" t="s">
        <v>314</v>
      </c>
      <c r="D4459" t="str">
        <f>HYPERLINK("http://service.sap.com/sap/support/notes/1876860","1876860")</f>
        <v>1876860</v>
      </c>
      <c r="E4459">
        <v>1</v>
      </c>
      <c r="F4459" t="s">
        <v>4591</v>
      </c>
    </row>
    <row r="4460" spans="1:6" x14ac:dyDescent="0.25">
      <c r="A4460" t="s">
        <v>4347</v>
      </c>
      <c r="B4460" t="s">
        <v>319</v>
      </c>
      <c r="C4460" t="s">
        <v>320</v>
      </c>
      <c r="D4460" t="str">
        <f>HYPERLINK("http://service.sap.com/sap/support/notes/1820601","1820601")</f>
        <v>1820601</v>
      </c>
      <c r="E4460">
        <v>7</v>
      </c>
      <c r="F4460" t="s">
        <v>4592</v>
      </c>
    </row>
    <row r="4461" spans="1:6" x14ac:dyDescent="0.25">
      <c r="A4461" t="s">
        <v>4347</v>
      </c>
      <c r="B4461" t="s">
        <v>319</v>
      </c>
      <c r="C4461" t="s">
        <v>320</v>
      </c>
      <c r="D4461" t="str">
        <f>HYPERLINK("http://service.sap.com/sap/support/notes/1848168","1848168")</f>
        <v>1848168</v>
      </c>
      <c r="E4461">
        <v>2</v>
      </c>
      <c r="F4461" t="s">
        <v>4593</v>
      </c>
    </row>
    <row r="4462" spans="1:6" x14ac:dyDescent="0.25">
      <c r="A4462" t="s">
        <v>4347</v>
      </c>
      <c r="B4462" t="s">
        <v>319</v>
      </c>
      <c r="C4462" t="s">
        <v>320</v>
      </c>
      <c r="D4462" t="str">
        <f>HYPERLINK("http://service.sap.com/sap/support/notes/1851803","1851803")</f>
        <v>1851803</v>
      </c>
      <c r="E4462">
        <v>2</v>
      </c>
      <c r="F4462" t="s">
        <v>4594</v>
      </c>
    </row>
    <row r="4463" spans="1:6" x14ac:dyDescent="0.25">
      <c r="A4463" t="s">
        <v>4347</v>
      </c>
      <c r="B4463" t="s">
        <v>319</v>
      </c>
      <c r="C4463" t="s">
        <v>320</v>
      </c>
      <c r="D4463" t="str">
        <f>HYPERLINK("http://service.sap.com/sap/support/notes/1853376","1853376")</f>
        <v>1853376</v>
      </c>
      <c r="E4463">
        <v>2</v>
      </c>
      <c r="F4463" t="s">
        <v>4595</v>
      </c>
    </row>
    <row r="4464" spans="1:6" x14ac:dyDescent="0.25">
      <c r="A4464" t="s">
        <v>4347</v>
      </c>
      <c r="B4464" t="s">
        <v>319</v>
      </c>
      <c r="C4464" t="s">
        <v>320</v>
      </c>
      <c r="D4464" t="str">
        <f>HYPERLINK("http://service.sap.com/sap/support/notes/1858445","1858445")</f>
        <v>1858445</v>
      </c>
      <c r="E4464">
        <v>2</v>
      </c>
      <c r="F4464" t="s">
        <v>4596</v>
      </c>
    </row>
    <row r="4465" spans="1:6" x14ac:dyDescent="0.25">
      <c r="A4465" t="s">
        <v>4347</v>
      </c>
      <c r="B4465" t="s">
        <v>319</v>
      </c>
      <c r="C4465" t="s">
        <v>320</v>
      </c>
      <c r="D4465" t="str">
        <f>HYPERLINK("http://service.sap.com/sap/support/notes/1859134","1859134")</f>
        <v>1859134</v>
      </c>
      <c r="E4465">
        <v>3</v>
      </c>
      <c r="F4465" t="s">
        <v>4597</v>
      </c>
    </row>
    <row r="4466" spans="1:6" x14ac:dyDescent="0.25">
      <c r="A4466" t="s">
        <v>4347</v>
      </c>
      <c r="B4466" t="s">
        <v>319</v>
      </c>
      <c r="C4466" t="s">
        <v>320</v>
      </c>
      <c r="D4466" t="str">
        <f>HYPERLINK("http://service.sap.com/sap/support/notes/1870897","1870897")</f>
        <v>1870897</v>
      </c>
      <c r="E4466">
        <v>1</v>
      </c>
      <c r="F4466" t="s">
        <v>4598</v>
      </c>
    </row>
    <row r="4467" spans="1:6" x14ac:dyDescent="0.25">
      <c r="A4467" t="s">
        <v>4347</v>
      </c>
      <c r="B4467" t="s">
        <v>319</v>
      </c>
      <c r="C4467" t="s">
        <v>320</v>
      </c>
      <c r="D4467" t="str">
        <f>HYPERLINK("http://service.sap.com/sap/support/notes/1870928","1870928")</f>
        <v>1870928</v>
      </c>
      <c r="E4467">
        <v>2</v>
      </c>
      <c r="F4467" t="s">
        <v>4599</v>
      </c>
    </row>
    <row r="4468" spans="1:6" x14ac:dyDescent="0.25">
      <c r="A4468" t="s">
        <v>4347</v>
      </c>
      <c r="B4468" t="s">
        <v>327</v>
      </c>
      <c r="C4468" t="s">
        <v>328</v>
      </c>
      <c r="D4468" t="str">
        <f>HYPERLINK("http://service.sap.com/sap/support/notes/1865496","1865496")</f>
        <v>1865496</v>
      </c>
      <c r="E4468">
        <v>3</v>
      </c>
      <c r="F4468" t="s">
        <v>4600</v>
      </c>
    </row>
    <row r="4469" spans="1:6" x14ac:dyDescent="0.25">
      <c r="A4469" t="s">
        <v>4347</v>
      </c>
      <c r="B4469" t="s">
        <v>327</v>
      </c>
      <c r="C4469" t="s">
        <v>328</v>
      </c>
      <c r="D4469" t="str">
        <f>HYPERLINK("http://service.sap.com/sap/support/notes/1865524","1865524")</f>
        <v>1865524</v>
      </c>
      <c r="E4469">
        <v>1</v>
      </c>
      <c r="F4469" t="s">
        <v>4601</v>
      </c>
    </row>
    <row r="4470" spans="1:6" x14ac:dyDescent="0.25">
      <c r="A4470" t="s">
        <v>4347</v>
      </c>
      <c r="B4470" t="s">
        <v>327</v>
      </c>
      <c r="C4470" t="s">
        <v>328</v>
      </c>
      <c r="D4470" t="str">
        <f>HYPERLINK("http://service.sap.com/sap/support/notes/1866691","1866691")</f>
        <v>1866691</v>
      </c>
      <c r="E4470">
        <v>1</v>
      </c>
      <c r="F4470" t="s">
        <v>4602</v>
      </c>
    </row>
    <row r="4471" spans="1:6" x14ac:dyDescent="0.25">
      <c r="A4471" t="s">
        <v>4347</v>
      </c>
      <c r="B4471" t="s">
        <v>337</v>
      </c>
      <c r="C4471" t="s">
        <v>48</v>
      </c>
      <c r="D4471" t="str">
        <f>HYPERLINK("http://service.sap.com/sap/support/notes/1846995","1846995")</f>
        <v>1846995</v>
      </c>
      <c r="E4471">
        <v>2</v>
      </c>
      <c r="F4471" t="s">
        <v>4603</v>
      </c>
    </row>
    <row r="4472" spans="1:6" x14ac:dyDescent="0.25">
      <c r="A4472" t="s">
        <v>4347</v>
      </c>
      <c r="B4472" t="s">
        <v>337</v>
      </c>
      <c r="C4472" t="s">
        <v>48</v>
      </c>
      <c r="D4472" t="str">
        <f>HYPERLINK("http://service.sap.com/sap/support/notes/1862175","1862175")</f>
        <v>1862175</v>
      </c>
      <c r="E4472">
        <v>1</v>
      </c>
      <c r="F4472" t="s">
        <v>4604</v>
      </c>
    </row>
    <row r="4473" spans="1:6" x14ac:dyDescent="0.25">
      <c r="A4473" t="s">
        <v>4347</v>
      </c>
      <c r="B4473" t="s">
        <v>337</v>
      </c>
      <c r="C4473" t="s">
        <v>48</v>
      </c>
      <c r="D4473" t="str">
        <f>HYPERLINK("http://service.sap.com/sap/support/notes/1867699","1867699")</f>
        <v>1867699</v>
      </c>
      <c r="E4473">
        <v>1</v>
      </c>
      <c r="F4473" t="s">
        <v>4605</v>
      </c>
    </row>
    <row r="4474" spans="1:6" x14ac:dyDescent="0.25">
      <c r="A4474" t="s">
        <v>4347</v>
      </c>
      <c r="B4474" t="s">
        <v>340</v>
      </c>
      <c r="C4474" t="s">
        <v>52</v>
      </c>
      <c r="D4474" t="str">
        <f>HYPERLINK("http://service.sap.com/sap/support/notes/1865023","1865023")</f>
        <v>1865023</v>
      </c>
      <c r="E4474">
        <v>2</v>
      </c>
      <c r="F4474" t="s">
        <v>4606</v>
      </c>
    </row>
    <row r="4475" spans="1:6" x14ac:dyDescent="0.25">
      <c r="A4475" t="s">
        <v>4347</v>
      </c>
      <c r="B4475" t="s">
        <v>340</v>
      </c>
      <c r="C4475" t="s">
        <v>52</v>
      </c>
      <c r="D4475" t="str">
        <f>HYPERLINK("http://service.sap.com/sap/support/notes/1865663","1865663")</f>
        <v>1865663</v>
      </c>
      <c r="E4475">
        <v>2</v>
      </c>
      <c r="F4475" t="s">
        <v>4607</v>
      </c>
    </row>
    <row r="4476" spans="1:6" x14ac:dyDescent="0.25">
      <c r="A4476" t="s">
        <v>4347</v>
      </c>
      <c r="B4476" t="s">
        <v>340</v>
      </c>
      <c r="C4476" t="s">
        <v>52</v>
      </c>
      <c r="D4476" t="str">
        <f>HYPERLINK("http://service.sap.com/sap/support/notes/1867241","1867241")</f>
        <v>1867241</v>
      </c>
      <c r="E4476">
        <v>1</v>
      </c>
      <c r="F4476" t="s">
        <v>4608</v>
      </c>
    </row>
    <row r="4477" spans="1:6" x14ac:dyDescent="0.25">
      <c r="A4477" t="s">
        <v>4347</v>
      </c>
      <c r="B4477" t="s">
        <v>340</v>
      </c>
      <c r="C4477" t="s">
        <v>52</v>
      </c>
      <c r="D4477" t="str">
        <f>HYPERLINK("http://service.sap.com/sap/support/notes/1867242","1867242")</f>
        <v>1867242</v>
      </c>
      <c r="E4477">
        <v>2</v>
      </c>
      <c r="F4477" t="s">
        <v>4609</v>
      </c>
    </row>
    <row r="4478" spans="1:6" x14ac:dyDescent="0.25">
      <c r="A4478" t="s">
        <v>4347</v>
      </c>
      <c r="B4478" t="s">
        <v>340</v>
      </c>
      <c r="C4478" t="s">
        <v>52</v>
      </c>
      <c r="D4478" t="str">
        <f>HYPERLINK("http://service.sap.com/sap/support/notes/1875969","1875969")</f>
        <v>1875969</v>
      </c>
      <c r="E4478">
        <v>2</v>
      </c>
      <c r="F4478" t="s">
        <v>4610</v>
      </c>
    </row>
    <row r="4479" spans="1:6" x14ac:dyDescent="0.25">
      <c r="A4479" t="s">
        <v>4347</v>
      </c>
      <c r="B4479" t="s">
        <v>340</v>
      </c>
      <c r="C4479" t="s">
        <v>52</v>
      </c>
      <c r="D4479" t="str">
        <f>HYPERLINK("http://service.sap.com/sap/support/notes/1876147","1876147")</f>
        <v>1876147</v>
      </c>
      <c r="E4479">
        <v>3</v>
      </c>
      <c r="F4479" t="s">
        <v>4611</v>
      </c>
    </row>
    <row r="4480" spans="1:6" x14ac:dyDescent="0.25">
      <c r="A4480" t="s">
        <v>4347</v>
      </c>
      <c r="B4480" t="s">
        <v>340</v>
      </c>
      <c r="C4480" t="s">
        <v>52</v>
      </c>
      <c r="D4480" t="str">
        <f>HYPERLINK("http://service.sap.com/sap/support/notes/1877959","1877959")</f>
        <v>1877959</v>
      </c>
      <c r="F4480" t="s">
        <v>4612</v>
      </c>
    </row>
    <row r="4481" spans="1:6" x14ac:dyDescent="0.25">
      <c r="A4481" t="s">
        <v>4347</v>
      </c>
      <c r="B4481" t="s">
        <v>350</v>
      </c>
      <c r="C4481" t="s">
        <v>351</v>
      </c>
      <c r="D4481" t="str">
        <f>HYPERLINK("http://service.sap.com/sap/support/notes/1868643","1868643")</f>
        <v>1868643</v>
      </c>
      <c r="E4481">
        <v>1</v>
      </c>
      <c r="F4481" t="s">
        <v>4613</v>
      </c>
    </row>
    <row r="4482" spans="1:6" x14ac:dyDescent="0.25">
      <c r="A4482" t="s">
        <v>4347</v>
      </c>
      <c r="B4482" t="s">
        <v>350</v>
      </c>
      <c r="C4482" t="s">
        <v>351</v>
      </c>
      <c r="D4482" t="str">
        <f>HYPERLINK("http://service.sap.com/sap/support/notes/1876627","1876627")</f>
        <v>1876627</v>
      </c>
      <c r="E4482">
        <v>1</v>
      </c>
      <c r="F4482" t="s">
        <v>4614</v>
      </c>
    </row>
    <row r="4483" spans="1:6" x14ac:dyDescent="0.25">
      <c r="A4483" t="s">
        <v>4347</v>
      </c>
      <c r="B4483" t="s">
        <v>356</v>
      </c>
      <c r="C4483" t="s">
        <v>55</v>
      </c>
      <c r="D4483" t="str">
        <f>HYPERLINK("http://service.sap.com/sap/support/notes/1828297","1828297")</f>
        <v>1828297</v>
      </c>
      <c r="E4483">
        <v>1</v>
      </c>
      <c r="F4483" t="s">
        <v>4615</v>
      </c>
    </row>
    <row r="4484" spans="1:6" x14ac:dyDescent="0.25">
      <c r="A4484" t="s">
        <v>4347</v>
      </c>
      <c r="B4484" t="s">
        <v>356</v>
      </c>
      <c r="C4484" t="s">
        <v>55</v>
      </c>
      <c r="D4484" t="str">
        <f>HYPERLINK("http://service.sap.com/sap/support/notes/1831554","1831554")</f>
        <v>1831554</v>
      </c>
      <c r="E4484">
        <v>3</v>
      </c>
      <c r="F4484" t="s">
        <v>4616</v>
      </c>
    </row>
    <row r="4485" spans="1:6" x14ac:dyDescent="0.25">
      <c r="A4485" t="s">
        <v>4347</v>
      </c>
      <c r="B4485" t="s">
        <v>356</v>
      </c>
      <c r="C4485" t="s">
        <v>55</v>
      </c>
      <c r="D4485" t="str">
        <f>HYPERLINK("http://service.sap.com/sap/support/notes/1843548","1843548")</f>
        <v>1843548</v>
      </c>
      <c r="E4485">
        <v>1</v>
      </c>
      <c r="F4485" t="s">
        <v>4617</v>
      </c>
    </row>
    <row r="4486" spans="1:6" x14ac:dyDescent="0.25">
      <c r="A4486" t="s">
        <v>4347</v>
      </c>
      <c r="B4486" t="s">
        <v>356</v>
      </c>
      <c r="C4486" t="s">
        <v>55</v>
      </c>
      <c r="D4486" t="str">
        <f>HYPERLINK("http://service.sap.com/sap/support/notes/1843562","1843562")</f>
        <v>1843562</v>
      </c>
      <c r="E4486">
        <v>2</v>
      </c>
      <c r="F4486" t="s">
        <v>4618</v>
      </c>
    </row>
    <row r="4487" spans="1:6" x14ac:dyDescent="0.25">
      <c r="A4487" t="s">
        <v>4347</v>
      </c>
      <c r="B4487" t="s">
        <v>356</v>
      </c>
      <c r="C4487" t="s">
        <v>55</v>
      </c>
      <c r="D4487" t="str">
        <f>HYPERLINK("http://service.sap.com/sap/support/notes/1870506","1870506")</f>
        <v>1870506</v>
      </c>
      <c r="E4487">
        <v>1</v>
      </c>
      <c r="F4487" t="s">
        <v>4619</v>
      </c>
    </row>
    <row r="4488" spans="1:6" x14ac:dyDescent="0.25">
      <c r="A4488" t="s">
        <v>4347</v>
      </c>
      <c r="B4488" t="s">
        <v>356</v>
      </c>
      <c r="C4488" t="s">
        <v>55</v>
      </c>
      <c r="D4488" t="str">
        <f>HYPERLINK("http://service.sap.com/sap/support/notes/1870678","1870678")</f>
        <v>1870678</v>
      </c>
      <c r="E4488">
        <v>2</v>
      </c>
      <c r="F4488" t="s">
        <v>4620</v>
      </c>
    </row>
    <row r="4489" spans="1:6" x14ac:dyDescent="0.25">
      <c r="A4489" t="s">
        <v>4347</v>
      </c>
      <c r="B4489" t="s">
        <v>356</v>
      </c>
      <c r="C4489" t="s">
        <v>55</v>
      </c>
      <c r="D4489" t="str">
        <f>HYPERLINK("http://service.sap.com/sap/support/notes/1876205","1876205")</f>
        <v>1876205</v>
      </c>
      <c r="E4489">
        <v>4</v>
      </c>
      <c r="F4489" t="s">
        <v>4621</v>
      </c>
    </row>
    <row r="4490" spans="1:6" x14ac:dyDescent="0.25">
      <c r="A4490" t="s">
        <v>4347</v>
      </c>
      <c r="B4490" t="s">
        <v>362</v>
      </c>
      <c r="C4490" t="s">
        <v>363</v>
      </c>
      <c r="D4490" t="str">
        <f>HYPERLINK("http://service.sap.com/sap/support/notes/1839495","1839495")</f>
        <v>1839495</v>
      </c>
      <c r="E4490">
        <v>2</v>
      </c>
      <c r="F4490" t="s">
        <v>4622</v>
      </c>
    </row>
    <row r="4491" spans="1:6" x14ac:dyDescent="0.25">
      <c r="A4491" t="s">
        <v>4347</v>
      </c>
      <c r="B4491" t="s">
        <v>362</v>
      </c>
      <c r="C4491" t="s">
        <v>363</v>
      </c>
      <c r="D4491" t="str">
        <f>HYPERLINK("http://service.sap.com/sap/support/notes/1855858","1855858")</f>
        <v>1855858</v>
      </c>
      <c r="E4491">
        <v>4</v>
      </c>
      <c r="F4491" t="s">
        <v>4623</v>
      </c>
    </row>
    <row r="4492" spans="1:6" x14ac:dyDescent="0.25">
      <c r="A4492" t="s">
        <v>4347</v>
      </c>
      <c r="B4492" t="s">
        <v>362</v>
      </c>
      <c r="C4492" t="s">
        <v>363</v>
      </c>
      <c r="D4492" t="str">
        <f>HYPERLINK("http://service.sap.com/sap/support/notes/1857523","1857523")</f>
        <v>1857523</v>
      </c>
      <c r="E4492">
        <v>3</v>
      </c>
      <c r="F4492" t="s">
        <v>4624</v>
      </c>
    </row>
    <row r="4493" spans="1:6" x14ac:dyDescent="0.25">
      <c r="A4493" t="s">
        <v>4347</v>
      </c>
      <c r="B4493" t="s">
        <v>362</v>
      </c>
      <c r="C4493" t="s">
        <v>363</v>
      </c>
      <c r="D4493" t="str">
        <f>HYPERLINK("http://service.sap.com/sap/support/notes/1862205","1862205")</f>
        <v>1862205</v>
      </c>
      <c r="E4493">
        <v>3</v>
      </c>
      <c r="F4493" t="s">
        <v>4625</v>
      </c>
    </row>
    <row r="4494" spans="1:6" x14ac:dyDescent="0.25">
      <c r="A4494" t="s">
        <v>4347</v>
      </c>
      <c r="B4494" t="s">
        <v>362</v>
      </c>
      <c r="C4494" t="s">
        <v>363</v>
      </c>
      <c r="D4494" t="str">
        <f>HYPERLINK("http://service.sap.com/sap/support/notes/1863181","1863181")</f>
        <v>1863181</v>
      </c>
      <c r="E4494">
        <v>4</v>
      </c>
      <c r="F4494" t="s">
        <v>4626</v>
      </c>
    </row>
    <row r="4495" spans="1:6" x14ac:dyDescent="0.25">
      <c r="A4495" t="s">
        <v>4347</v>
      </c>
      <c r="B4495" t="s">
        <v>362</v>
      </c>
      <c r="C4495" t="s">
        <v>363</v>
      </c>
      <c r="D4495" t="str">
        <f>HYPERLINK("http://service.sap.com/sap/support/notes/1865164","1865164")</f>
        <v>1865164</v>
      </c>
      <c r="E4495">
        <v>1</v>
      </c>
      <c r="F4495" t="s">
        <v>4627</v>
      </c>
    </row>
    <row r="4496" spans="1:6" x14ac:dyDescent="0.25">
      <c r="A4496" t="s">
        <v>4347</v>
      </c>
      <c r="B4496" t="s">
        <v>362</v>
      </c>
      <c r="C4496" t="s">
        <v>363</v>
      </c>
      <c r="D4496" t="str">
        <f>HYPERLINK("http://service.sap.com/sap/support/notes/1867293","1867293")</f>
        <v>1867293</v>
      </c>
      <c r="E4496">
        <v>5</v>
      </c>
      <c r="F4496" t="s">
        <v>4628</v>
      </c>
    </row>
    <row r="4497" spans="1:6" x14ac:dyDescent="0.25">
      <c r="A4497" t="s">
        <v>4347</v>
      </c>
      <c r="B4497" t="s">
        <v>362</v>
      </c>
      <c r="C4497" t="s">
        <v>363</v>
      </c>
      <c r="D4497" t="str">
        <f>HYPERLINK("http://service.sap.com/sap/support/notes/1867889","1867889")</f>
        <v>1867889</v>
      </c>
      <c r="E4497">
        <v>2</v>
      </c>
      <c r="F4497" t="s">
        <v>4629</v>
      </c>
    </row>
    <row r="4498" spans="1:6" x14ac:dyDescent="0.25">
      <c r="A4498" t="s">
        <v>4347</v>
      </c>
      <c r="B4498" t="s">
        <v>362</v>
      </c>
      <c r="C4498" t="s">
        <v>363</v>
      </c>
      <c r="D4498" t="str">
        <f>HYPERLINK("http://service.sap.com/sap/support/notes/1870946","1870946")</f>
        <v>1870946</v>
      </c>
      <c r="E4498">
        <v>1</v>
      </c>
      <c r="F4498" t="s">
        <v>4630</v>
      </c>
    </row>
    <row r="4499" spans="1:6" x14ac:dyDescent="0.25">
      <c r="A4499" t="s">
        <v>4347</v>
      </c>
      <c r="B4499" t="s">
        <v>362</v>
      </c>
      <c r="C4499" t="s">
        <v>363</v>
      </c>
      <c r="D4499" t="str">
        <f>HYPERLINK("http://service.sap.com/sap/support/notes/1873080","1873080")</f>
        <v>1873080</v>
      </c>
      <c r="E4499">
        <v>3</v>
      </c>
      <c r="F4499" t="s">
        <v>4631</v>
      </c>
    </row>
    <row r="4500" spans="1:6" x14ac:dyDescent="0.25">
      <c r="A4500" t="s">
        <v>4347</v>
      </c>
      <c r="B4500" t="s">
        <v>362</v>
      </c>
      <c r="C4500" t="s">
        <v>363</v>
      </c>
      <c r="D4500" t="str">
        <f>HYPERLINK("http://service.sap.com/sap/support/notes/1874222","1874222")</f>
        <v>1874222</v>
      </c>
      <c r="E4500">
        <v>1</v>
      </c>
      <c r="F4500" t="s">
        <v>4632</v>
      </c>
    </row>
    <row r="4501" spans="1:6" x14ac:dyDescent="0.25">
      <c r="A4501" t="s">
        <v>4347</v>
      </c>
      <c r="B4501" t="s">
        <v>362</v>
      </c>
      <c r="C4501" t="s">
        <v>363</v>
      </c>
      <c r="D4501" t="str">
        <f>HYPERLINK("http://service.sap.com/sap/support/notes/1874336","1874336")</f>
        <v>1874336</v>
      </c>
      <c r="E4501">
        <v>2</v>
      </c>
      <c r="F4501" t="s">
        <v>4633</v>
      </c>
    </row>
    <row r="4502" spans="1:6" x14ac:dyDescent="0.25">
      <c r="A4502" t="s">
        <v>4347</v>
      </c>
      <c r="B4502" t="s">
        <v>362</v>
      </c>
      <c r="C4502" t="s">
        <v>363</v>
      </c>
      <c r="D4502" t="str">
        <f>HYPERLINK("http://service.sap.com/sap/support/notes/1875107","1875107")</f>
        <v>1875107</v>
      </c>
      <c r="E4502">
        <v>1</v>
      </c>
      <c r="F4502" t="s">
        <v>4634</v>
      </c>
    </row>
    <row r="4503" spans="1:6" x14ac:dyDescent="0.25">
      <c r="A4503" t="s">
        <v>4347</v>
      </c>
      <c r="B4503" t="s">
        <v>362</v>
      </c>
      <c r="C4503" t="s">
        <v>363</v>
      </c>
      <c r="D4503" t="str">
        <f>HYPERLINK("http://service.sap.com/sap/support/notes/1875860","1875860")</f>
        <v>1875860</v>
      </c>
      <c r="E4503">
        <v>1</v>
      </c>
      <c r="F4503" t="s">
        <v>4635</v>
      </c>
    </row>
    <row r="4504" spans="1:6" x14ac:dyDescent="0.25">
      <c r="A4504" t="s">
        <v>4347</v>
      </c>
      <c r="B4504" t="s">
        <v>379</v>
      </c>
      <c r="C4504" t="s">
        <v>380</v>
      </c>
      <c r="D4504" t="str">
        <f>HYPERLINK("http://service.sap.com/sap/support/notes/1813900","1813900")</f>
        <v>1813900</v>
      </c>
      <c r="E4504">
        <v>5</v>
      </c>
      <c r="F4504" t="s">
        <v>4636</v>
      </c>
    </row>
    <row r="4505" spans="1:6" x14ac:dyDescent="0.25">
      <c r="A4505" t="s">
        <v>4347</v>
      </c>
      <c r="B4505" t="s">
        <v>384</v>
      </c>
      <c r="C4505" t="s">
        <v>385</v>
      </c>
      <c r="D4505" t="str">
        <f>HYPERLINK("http://service.sap.com/sap/support/notes/1869897","1869897")</f>
        <v>1869897</v>
      </c>
      <c r="E4505">
        <v>1</v>
      </c>
      <c r="F4505" t="s">
        <v>4637</v>
      </c>
    </row>
    <row r="4506" spans="1:6" x14ac:dyDescent="0.25">
      <c r="A4506" t="s">
        <v>4347</v>
      </c>
      <c r="B4506" t="s">
        <v>384</v>
      </c>
      <c r="C4506" t="s">
        <v>385</v>
      </c>
      <c r="D4506" t="str">
        <f>HYPERLINK("http://service.sap.com/sap/support/notes/1876630","1876630")</f>
        <v>1876630</v>
      </c>
      <c r="E4506">
        <v>1</v>
      </c>
      <c r="F4506" t="s">
        <v>4638</v>
      </c>
    </row>
    <row r="4507" spans="1:6" x14ac:dyDescent="0.25">
      <c r="A4507" t="s">
        <v>4347</v>
      </c>
      <c r="B4507" t="s">
        <v>395</v>
      </c>
      <c r="C4507" t="s">
        <v>396</v>
      </c>
      <c r="D4507" t="str">
        <f>HYPERLINK("http://service.sap.com/sap/support/notes/1856810","1856810")</f>
        <v>1856810</v>
      </c>
      <c r="E4507">
        <v>2</v>
      </c>
      <c r="F4507" t="s">
        <v>4639</v>
      </c>
    </row>
    <row r="4508" spans="1:6" x14ac:dyDescent="0.25">
      <c r="A4508" t="s">
        <v>4347</v>
      </c>
      <c r="B4508" t="s">
        <v>395</v>
      </c>
      <c r="C4508" t="s">
        <v>396</v>
      </c>
      <c r="D4508" t="str">
        <f>HYPERLINK("http://service.sap.com/sap/support/notes/1865786","1865786")</f>
        <v>1865786</v>
      </c>
      <c r="E4508">
        <v>1</v>
      </c>
      <c r="F4508" t="s">
        <v>4640</v>
      </c>
    </row>
    <row r="4509" spans="1:6" x14ac:dyDescent="0.25">
      <c r="A4509" t="s">
        <v>4347</v>
      </c>
      <c r="B4509" t="s">
        <v>406</v>
      </c>
      <c r="C4509" t="s">
        <v>407</v>
      </c>
      <c r="D4509" t="str">
        <f>HYPERLINK("http://service.sap.com/sap/support/notes/1842507","1842507")</f>
        <v>1842507</v>
      </c>
      <c r="E4509">
        <v>8</v>
      </c>
      <c r="F4509" t="s">
        <v>4641</v>
      </c>
    </row>
    <row r="4510" spans="1:6" x14ac:dyDescent="0.25">
      <c r="A4510" t="s">
        <v>4347</v>
      </c>
      <c r="B4510" t="s">
        <v>406</v>
      </c>
      <c r="C4510" t="s">
        <v>407</v>
      </c>
      <c r="D4510" t="str">
        <f>HYPERLINK("http://service.sap.com/sap/support/notes/1848058","1848058")</f>
        <v>1848058</v>
      </c>
      <c r="E4510">
        <v>4</v>
      </c>
      <c r="F4510" t="s">
        <v>4642</v>
      </c>
    </row>
    <row r="4511" spans="1:6" x14ac:dyDescent="0.25">
      <c r="A4511" t="s">
        <v>4347</v>
      </c>
      <c r="B4511" t="s">
        <v>406</v>
      </c>
      <c r="C4511" t="s">
        <v>407</v>
      </c>
      <c r="D4511" t="str">
        <f>HYPERLINK("http://service.sap.com/sap/support/notes/1867516","1867516")</f>
        <v>1867516</v>
      </c>
      <c r="E4511">
        <v>3</v>
      </c>
      <c r="F4511" t="s">
        <v>4643</v>
      </c>
    </row>
    <row r="4512" spans="1:6" x14ac:dyDescent="0.25">
      <c r="A4512" t="s">
        <v>4347</v>
      </c>
      <c r="B4512" t="s">
        <v>406</v>
      </c>
      <c r="C4512" t="s">
        <v>407</v>
      </c>
      <c r="D4512" t="str">
        <f>HYPERLINK("http://service.sap.com/sap/support/notes/1868559","1868559")</f>
        <v>1868559</v>
      </c>
      <c r="E4512">
        <v>4</v>
      </c>
      <c r="F4512" t="s">
        <v>4644</v>
      </c>
    </row>
    <row r="4513" spans="1:6" x14ac:dyDescent="0.25">
      <c r="A4513" t="s">
        <v>4347</v>
      </c>
      <c r="B4513" t="s">
        <v>409</v>
      </c>
      <c r="C4513" t="s">
        <v>410</v>
      </c>
      <c r="D4513" t="str">
        <f>HYPERLINK("http://service.sap.com/sap/support/notes/1858901","1858901")</f>
        <v>1858901</v>
      </c>
      <c r="E4513">
        <v>4</v>
      </c>
      <c r="F4513" t="s">
        <v>4645</v>
      </c>
    </row>
    <row r="4514" spans="1:6" x14ac:dyDescent="0.25">
      <c r="A4514" t="s">
        <v>4347</v>
      </c>
      <c r="B4514" t="s">
        <v>423</v>
      </c>
      <c r="C4514" t="s">
        <v>424</v>
      </c>
      <c r="D4514" t="str">
        <f>HYPERLINK("http://service.sap.com/sap/support/notes/1841045","1841045")</f>
        <v>1841045</v>
      </c>
      <c r="E4514">
        <v>2</v>
      </c>
      <c r="F4514" t="s">
        <v>4267</v>
      </c>
    </row>
    <row r="4515" spans="1:6" x14ac:dyDescent="0.25">
      <c r="A4515" t="s">
        <v>4347</v>
      </c>
      <c r="B4515" t="s">
        <v>423</v>
      </c>
      <c r="C4515" t="s">
        <v>424</v>
      </c>
      <c r="D4515" t="str">
        <f>HYPERLINK("http://service.sap.com/sap/support/notes/1864282","1864282")</f>
        <v>1864282</v>
      </c>
      <c r="E4515">
        <v>3</v>
      </c>
      <c r="F4515" t="s">
        <v>4283</v>
      </c>
    </row>
    <row r="4516" spans="1:6" x14ac:dyDescent="0.25">
      <c r="A4516" t="s">
        <v>4347</v>
      </c>
      <c r="B4516" t="s">
        <v>423</v>
      </c>
      <c r="C4516" t="s">
        <v>424</v>
      </c>
      <c r="D4516" t="str">
        <f>HYPERLINK("http://service.sap.com/sap/support/notes/1865631","1865631")</f>
        <v>1865631</v>
      </c>
      <c r="E4516">
        <v>1</v>
      </c>
      <c r="F4516" t="s">
        <v>4646</v>
      </c>
    </row>
    <row r="4517" spans="1:6" x14ac:dyDescent="0.25">
      <c r="A4517" t="s">
        <v>4347</v>
      </c>
      <c r="B4517" t="s">
        <v>423</v>
      </c>
      <c r="C4517" t="s">
        <v>424</v>
      </c>
      <c r="D4517" t="str">
        <f>HYPERLINK("http://service.sap.com/sap/support/notes/1866430","1866430")</f>
        <v>1866430</v>
      </c>
      <c r="E4517">
        <v>6</v>
      </c>
      <c r="F4517" t="s">
        <v>4647</v>
      </c>
    </row>
    <row r="4518" spans="1:6" x14ac:dyDescent="0.25">
      <c r="A4518" t="s">
        <v>4347</v>
      </c>
      <c r="B4518" t="s">
        <v>423</v>
      </c>
      <c r="C4518" t="s">
        <v>424</v>
      </c>
      <c r="D4518" t="str">
        <f>HYPERLINK("http://service.sap.com/sap/support/notes/1866852","1866852")</f>
        <v>1866852</v>
      </c>
      <c r="E4518">
        <v>2</v>
      </c>
      <c r="F4518" t="s">
        <v>4648</v>
      </c>
    </row>
    <row r="4519" spans="1:6" x14ac:dyDescent="0.25">
      <c r="A4519" t="s">
        <v>4347</v>
      </c>
      <c r="B4519" t="s">
        <v>423</v>
      </c>
      <c r="C4519" t="s">
        <v>424</v>
      </c>
      <c r="D4519" t="str">
        <f>HYPERLINK("http://service.sap.com/sap/support/notes/1866890","1866890")</f>
        <v>1866890</v>
      </c>
      <c r="E4519">
        <v>2</v>
      </c>
      <c r="F4519" t="s">
        <v>4649</v>
      </c>
    </row>
    <row r="4520" spans="1:6" x14ac:dyDescent="0.25">
      <c r="A4520" t="s">
        <v>4347</v>
      </c>
      <c r="B4520" t="s">
        <v>423</v>
      </c>
      <c r="C4520" t="s">
        <v>424</v>
      </c>
      <c r="D4520" t="str">
        <f>HYPERLINK("http://service.sap.com/sap/support/notes/1867378","1867378")</f>
        <v>1867378</v>
      </c>
      <c r="E4520">
        <v>1</v>
      </c>
      <c r="F4520" t="s">
        <v>4650</v>
      </c>
    </row>
    <row r="4521" spans="1:6" x14ac:dyDescent="0.25">
      <c r="A4521" t="s">
        <v>4347</v>
      </c>
      <c r="B4521" t="s">
        <v>423</v>
      </c>
      <c r="C4521" t="s">
        <v>424</v>
      </c>
      <c r="D4521" t="str">
        <f>HYPERLINK("http://service.sap.com/sap/support/notes/1868958","1868958")</f>
        <v>1868958</v>
      </c>
      <c r="E4521">
        <v>2</v>
      </c>
      <c r="F4521" t="s">
        <v>4651</v>
      </c>
    </row>
    <row r="4522" spans="1:6" x14ac:dyDescent="0.25">
      <c r="A4522" t="s">
        <v>4347</v>
      </c>
      <c r="B4522" t="s">
        <v>423</v>
      </c>
      <c r="C4522" t="s">
        <v>424</v>
      </c>
      <c r="D4522" t="str">
        <f>HYPERLINK("http://service.sap.com/sap/support/notes/1869581","1869581")</f>
        <v>1869581</v>
      </c>
      <c r="E4522">
        <v>1</v>
      </c>
      <c r="F4522" t="s">
        <v>4652</v>
      </c>
    </row>
    <row r="4523" spans="1:6" x14ac:dyDescent="0.25">
      <c r="A4523" t="s">
        <v>4347</v>
      </c>
      <c r="B4523" t="s">
        <v>423</v>
      </c>
      <c r="C4523" t="s">
        <v>424</v>
      </c>
      <c r="D4523" t="str">
        <f>HYPERLINK("http://service.sap.com/sap/support/notes/1876168","1876168")</f>
        <v>1876168</v>
      </c>
      <c r="E4523">
        <v>1</v>
      </c>
      <c r="F4523" t="s">
        <v>4653</v>
      </c>
    </row>
    <row r="4524" spans="1:6" x14ac:dyDescent="0.25">
      <c r="A4524" t="s">
        <v>4347</v>
      </c>
      <c r="B4524" t="s">
        <v>423</v>
      </c>
      <c r="C4524" t="s">
        <v>424</v>
      </c>
      <c r="D4524" t="str">
        <f>HYPERLINK("http://service.sap.com/sap/support/notes/1876377","1876377")</f>
        <v>1876377</v>
      </c>
      <c r="E4524">
        <v>1</v>
      </c>
      <c r="F4524" t="s">
        <v>4654</v>
      </c>
    </row>
    <row r="4525" spans="1:6" x14ac:dyDescent="0.25">
      <c r="A4525" t="s">
        <v>4347</v>
      </c>
      <c r="B4525" t="s">
        <v>423</v>
      </c>
      <c r="C4525" t="s">
        <v>424</v>
      </c>
      <c r="D4525" t="str">
        <f>HYPERLINK("http://service.sap.com/sap/support/notes/1877169","1877169")</f>
        <v>1877169</v>
      </c>
      <c r="E4525">
        <v>1</v>
      </c>
      <c r="F4525" t="s">
        <v>4655</v>
      </c>
    </row>
    <row r="4526" spans="1:6" x14ac:dyDescent="0.25">
      <c r="A4526" t="s">
        <v>4347</v>
      </c>
      <c r="B4526" t="s">
        <v>430</v>
      </c>
      <c r="C4526" t="s">
        <v>431</v>
      </c>
      <c r="D4526" t="str">
        <f>HYPERLINK("http://service.sap.com/sap/support/notes/1832688","1832688")</f>
        <v>1832688</v>
      </c>
      <c r="E4526">
        <v>3</v>
      </c>
      <c r="F4526" t="s">
        <v>4656</v>
      </c>
    </row>
    <row r="4527" spans="1:6" x14ac:dyDescent="0.25">
      <c r="A4527" t="s">
        <v>4347</v>
      </c>
      <c r="B4527" t="s">
        <v>430</v>
      </c>
      <c r="C4527" t="s">
        <v>431</v>
      </c>
      <c r="D4527" t="str">
        <f>HYPERLINK("http://service.sap.com/sap/support/notes/1832708","1832708")</f>
        <v>1832708</v>
      </c>
      <c r="E4527">
        <v>2</v>
      </c>
      <c r="F4527" t="s">
        <v>4657</v>
      </c>
    </row>
    <row r="4528" spans="1:6" x14ac:dyDescent="0.25">
      <c r="A4528" t="s">
        <v>4347</v>
      </c>
      <c r="B4528" t="s">
        <v>430</v>
      </c>
      <c r="C4528" t="s">
        <v>431</v>
      </c>
      <c r="D4528" t="str">
        <f>HYPERLINK("http://service.sap.com/sap/support/notes/1850474","1850474")</f>
        <v>1850474</v>
      </c>
      <c r="E4528">
        <v>3</v>
      </c>
      <c r="F4528" t="s">
        <v>4658</v>
      </c>
    </row>
    <row r="4529" spans="1:6" x14ac:dyDescent="0.25">
      <c r="A4529" t="s">
        <v>4347</v>
      </c>
      <c r="B4529" t="s">
        <v>430</v>
      </c>
      <c r="C4529" t="s">
        <v>431</v>
      </c>
      <c r="D4529" t="str">
        <f>HYPERLINK("http://service.sap.com/sap/support/notes/1860624","1860624")</f>
        <v>1860624</v>
      </c>
      <c r="E4529">
        <v>2</v>
      </c>
      <c r="F4529" t="s">
        <v>4659</v>
      </c>
    </row>
    <row r="4530" spans="1:6" x14ac:dyDescent="0.25">
      <c r="A4530" t="s">
        <v>4347</v>
      </c>
      <c r="B4530" t="s">
        <v>430</v>
      </c>
      <c r="C4530" t="s">
        <v>431</v>
      </c>
      <c r="D4530" t="str">
        <f>HYPERLINK("http://service.sap.com/sap/support/notes/1860952","1860952")</f>
        <v>1860952</v>
      </c>
      <c r="E4530">
        <v>3</v>
      </c>
      <c r="F4530" t="s">
        <v>4660</v>
      </c>
    </row>
    <row r="4531" spans="1:6" x14ac:dyDescent="0.25">
      <c r="A4531" t="s">
        <v>4347</v>
      </c>
      <c r="B4531" t="s">
        <v>430</v>
      </c>
      <c r="C4531" t="s">
        <v>431</v>
      </c>
      <c r="D4531" t="str">
        <f>HYPERLINK("http://service.sap.com/sap/support/notes/1861084","1861084")</f>
        <v>1861084</v>
      </c>
      <c r="E4531">
        <v>2</v>
      </c>
      <c r="F4531" t="s">
        <v>4661</v>
      </c>
    </row>
    <row r="4532" spans="1:6" x14ac:dyDescent="0.25">
      <c r="A4532" t="s">
        <v>4347</v>
      </c>
      <c r="B4532" t="s">
        <v>430</v>
      </c>
      <c r="C4532" t="s">
        <v>431</v>
      </c>
      <c r="D4532" t="str">
        <f>HYPERLINK("http://service.sap.com/sap/support/notes/1869368","1869368")</f>
        <v>1869368</v>
      </c>
      <c r="E4532">
        <v>1</v>
      </c>
      <c r="F4532" t="s">
        <v>4662</v>
      </c>
    </row>
    <row r="4533" spans="1:6" x14ac:dyDescent="0.25">
      <c r="A4533" t="s">
        <v>4347</v>
      </c>
      <c r="B4533" t="s">
        <v>430</v>
      </c>
      <c r="C4533" t="s">
        <v>431</v>
      </c>
      <c r="D4533" t="str">
        <f>HYPERLINK("http://service.sap.com/sap/support/notes/1871720","1871720")</f>
        <v>1871720</v>
      </c>
      <c r="E4533">
        <v>1</v>
      </c>
      <c r="F4533" t="s">
        <v>4663</v>
      </c>
    </row>
    <row r="4534" spans="1:6" x14ac:dyDescent="0.25">
      <c r="A4534" t="s">
        <v>4347</v>
      </c>
      <c r="B4534" t="s">
        <v>437</v>
      </c>
      <c r="C4534" t="s">
        <v>438</v>
      </c>
      <c r="D4534" t="str">
        <f>HYPERLINK("http://service.sap.com/sap/support/notes/1843033","1843033")</f>
        <v>1843033</v>
      </c>
      <c r="E4534">
        <v>1</v>
      </c>
      <c r="F4534" t="s">
        <v>4664</v>
      </c>
    </row>
    <row r="4535" spans="1:6" x14ac:dyDescent="0.25">
      <c r="A4535" t="s">
        <v>4347</v>
      </c>
      <c r="B4535" t="s">
        <v>437</v>
      </c>
      <c r="C4535" t="s">
        <v>438</v>
      </c>
      <c r="D4535" t="str">
        <f>HYPERLINK("http://service.sap.com/sap/support/notes/1856279","1856279")</f>
        <v>1856279</v>
      </c>
      <c r="E4535">
        <v>1</v>
      </c>
      <c r="F4535" t="s">
        <v>4665</v>
      </c>
    </row>
    <row r="4536" spans="1:6" x14ac:dyDescent="0.25">
      <c r="A4536" t="s">
        <v>4347</v>
      </c>
      <c r="B4536" t="s">
        <v>437</v>
      </c>
      <c r="C4536" t="s">
        <v>438</v>
      </c>
      <c r="D4536" t="str">
        <f>HYPERLINK("http://service.sap.com/sap/support/notes/1859855","1859855")</f>
        <v>1859855</v>
      </c>
      <c r="E4536">
        <v>1</v>
      </c>
      <c r="F4536" t="s">
        <v>4666</v>
      </c>
    </row>
    <row r="4537" spans="1:6" x14ac:dyDescent="0.25">
      <c r="A4537" t="s">
        <v>4347</v>
      </c>
      <c r="B4537" t="s">
        <v>437</v>
      </c>
      <c r="C4537" t="s">
        <v>438</v>
      </c>
      <c r="D4537" t="str">
        <f>HYPERLINK("http://service.sap.com/sap/support/notes/1866314","1866314")</f>
        <v>1866314</v>
      </c>
      <c r="E4537">
        <v>1</v>
      </c>
      <c r="F4537" t="s">
        <v>4667</v>
      </c>
    </row>
    <row r="4538" spans="1:6" x14ac:dyDescent="0.25">
      <c r="A4538" t="s">
        <v>4347</v>
      </c>
      <c r="B4538" t="s">
        <v>437</v>
      </c>
      <c r="C4538" t="s">
        <v>438</v>
      </c>
      <c r="D4538" t="str">
        <f>HYPERLINK("http://service.sap.com/sap/support/notes/1866761","1866761")</f>
        <v>1866761</v>
      </c>
      <c r="E4538">
        <v>1</v>
      </c>
      <c r="F4538" t="s">
        <v>4668</v>
      </c>
    </row>
    <row r="4539" spans="1:6" x14ac:dyDescent="0.25">
      <c r="A4539" t="s">
        <v>4347</v>
      </c>
      <c r="B4539" t="s">
        <v>437</v>
      </c>
      <c r="C4539" t="s">
        <v>438</v>
      </c>
      <c r="D4539" t="str">
        <f>HYPERLINK("http://service.sap.com/sap/support/notes/1868644","1868644")</f>
        <v>1868644</v>
      </c>
      <c r="E4539">
        <v>2</v>
      </c>
      <c r="F4539" t="s">
        <v>4669</v>
      </c>
    </row>
    <row r="4540" spans="1:6" x14ac:dyDescent="0.25">
      <c r="A4540" t="s">
        <v>4347</v>
      </c>
      <c r="B4540" t="s">
        <v>437</v>
      </c>
      <c r="C4540" t="s">
        <v>438</v>
      </c>
      <c r="D4540" t="str">
        <f>HYPERLINK("http://service.sap.com/sap/support/notes/1870861","1870861")</f>
        <v>1870861</v>
      </c>
      <c r="E4540">
        <v>1</v>
      </c>
      <c r="F4540" t="s">
        <v>4670</v>
      </c>
    </row>
    <row r="4541" spans="1:6" x14ac:dyDescent="0.25">
      <c r="A4541" t="s">
        <v>4347</v>
      </c>
      <c r="B4541" t="s">
        <v>437</v>
      </c>
      <c r="C4541" t="s">
        <v>438</v>
      </c>
      <c r="D4541" t="str">
        <f>HYPERLINK("http://service.sap.com/sap/support/notes/1870903","1870903")</f>
        <v>1870903</v>
      </c>
      <c r="E4541">
        <v>1</v>
      </c>
      <c r="F4541" t="s">
        <v>4671</v>
      </c>
    </row>
    <row r="4542" spans="1:6" x14ac:dyDescent="0.25">
      <c r="A4542" t="s">
        <v>4347</v>
      </c>
      <c r="B4542" t="s">
        <v>437</v>
      </c>
      <c r="C4542" t="s">
        <v>438</v>
      </c>
      <c r="D4542" t="str">
        <f>HYPERLINK("http://service.sap.com/sap/support/notes/1871553","1871553")</f>
        <v>1871553</v>
      </c>
      <c r="E4542">
        <v>1</v>
      </c>
      <c r="F4542" t="s">
        <v>4672</v>
      </c>
    </row>
    <row r="4543" spans="1:6" x14ac:dyDescent="0.25">
      <c r="A4543" t="s">
        <v>4347</v>
      </c>
      <c r="B4543" t="s">
        <v>437</v>
      </c>
      <c r="C4543" t="s">
        <v>438</v>
      </c>
      <c r="D4543" t="str">
        <f>HYPERLINK("http://service.sap.com/sap/support/notes/1873443","1873443")</f>
        <v>1873443</v>
      </c>
      <c r="E4543">
        <v>1</v>
      </c>
      <c r="F4543" t="s">
        <v>4673</v>
      </c>
    </row>
    <row r="4544" spans="1:6" x14ac:dyDescent="0.25">
      <c r="A4544" t="s">
        <v>4347</v>
      </c>
      <c r="B4544" t="s">
        <v>437</v>
      </c>
      <c r="C4544" t="s">
        <v>438</v>
      </c>
      <c r="D4544" t="str">
        <f>HYPERLINK("http://service.sap.com/sap/support/notes/1874785","1874785")</f>
        <v>1874785</v>
      </c>
      <c r="E4544">
        <v>1</v>
      </c>
      <c r="F4544" t="s">
        <v>4674</v>
      </c>
    </row>
    <row r="4545" spans="1:6" x14ac:dyDescent="0.25">
      <c r="A4545" t="s">
        <v>4347</v>
      </c>
      <c r="B4545" t="s">
        <v>440</v>
      </c>
      <c r="C4545" t="s">
        <v>128</v>
      </c>
      <c r="D4545" t="str">
        <f>HYPERLINK("http://service.sap.com/sap/support/notes/1840672","1840672")</f>
        <v>1840672</v>
      </c>
      <c r="E4545">
        <v>1</v>
      </c>
      <c r="F4545" t="s">
        <v>4675</v>
      </c>
    </row>
    <row r="4546" spans="1:6" x14ac:dyDescent="0.25">
      <c r="A4546" t="s">
        <v>4347</v>
      </c>
      <c r="B4546" t="s">
        <v>443</v>
      </c>
      <c r="C4546" t="s">
        <v>444</v>
      </c>
      <c r="D4546" t="str">
        <f>HYPERLINK("http://service.sap.com/sap/support/notes/1816702","1816702")</f>
        <v>1816702</v>
      </c>
      <c r="E4546">
        <v>3</v>
      </c>
      <c r="F4546" t="s">
        <v>4676</v>
      </c>
    </row>
    <row r="4547" spans="1:6" x14ac:dyDescent="0.25">
      <c r="A4547" t="s">
        <v>4347</v>
      </c>
      <c r="B4547" t="s">
        <v>443</v>
      </c>
      <c r="C4547" t="s">
        <v>444</v>
      </c>
      <c r="D4547" t="str">
        <f>HYPERLINK("http://service.sap.com/sap/support/notes/1868603","1868603")</f>
        <v>1868603</v>
      </c>
      <c r="E4547">
        <v>1</v>
      </c>
      <c r="F4547" t="s">
        <v>4677</v>
      </c>
    </row>
    <row r="4548" spans="1:6" x14ac:dyDescent="0.25">
      <c r="A4548" t="s">
        <v>4347</v>
      </c>
      <c r="B4548" t="s">
        <v>443</v>
      </c>
      <c r="C4548" t="s">
        <v>444</v>
      </c>
      <c r="D4548" t="str">
        <f>HYPERLINK("http://service.sap.com/sap/support/notes/1875283","1875283")</f>
        <v>1875283</v>
      </c>
      <c r="E4548">
        <v>1</v>
      </c>
      <c r="F4548" t="s">
        <v>4678</v>
      </c>
    </row>
    <row r="4549" spans="1:6" x14ac:dyDescent="0.25">
      <c r="A4549" t="s">
        <v>4347</v>
      </c>
      <c r="B4549" t="s">
        <v>450</v>
      </c>
      <c r="C4549" t="s">
        <v>451</v>
      </c>
      <c r="D4549" t="str">
        <f>HYPERLINK("http://service.sap.com/sap/support/notes/1863751","1863751")</f>
        <v>1863751</v>
      </c>
      <c r="E4549">
        <v>2</v>
      </c>
      <c r="F4549" t="s">
        <v>4679</v>
      </c>
    </row>
    <row r="4550" spans="1:6" x14ac:dyDescent="0.25">
      <c r="A4550" t="s">
        <v>4347</v>
      </c>
      <c r="B4550" t="s">
        <v>450</v>
      </c>
      <c r="C4550" t="s">
        <v>451</v>
      </c>
      <c r="D4550" t="str">
        <f>HYPERLINK("http://service.sap.com/sap/support/notes/1863776","1863776")</f>
        <v>1863776</v>
      </c>
      <c r="E4550">
        <v>1</v>
      </c>
      <c r="F4550" t="s">
        <v>4680</v>
      </c>
    </row>
    <row r="4551" spans="1:6" x14ac:dyDescent="0.25">
      <c r="A4551" t="s">
        <v>4347</v>
      </c>
      <c r="B4551" t="s">
        <v>450</v>
      </c>
      <c r="C4551" t="s">
        <v>451</v>
      </c>
      <c r="D4551" t="str">
        <f>HYPERLINK("http://service.sap.com/sap/support/notes/1869627","1869627")</f>
        <v>1869627</v>
      </c>
      <c r="E4551">
        <v>1</v>
      </c>
      <c r="F4551" t="s">
        <v>4681</v>
      </c>
    </row>
    <row r="4552" spans="1:6" x14ac:dyDescent="0.25">
      <c r="A4552" t="s">
        <v>4347</v>
      </c>
      <c r="B4552" t="s">
        <v>450</v>
      </c>
      <c r="C4552" t="s">
        <v>451</v>
      </c>
      <c r="D4552" t="str">
        <f>HYPERLINK("http://service.sap.com/sap/support/notes/1874512","1874512")</f>
        <v>1874512</v>
      </c>
      <c r="E4552">
        <v>1</v>
      </c>
      <c r="F4552" t="s">
        <v>4682</v>
      </c>
    </row>
    <row r="4553" spans="1:6" x14ac:dyDescent="0.25">
      <c r="A4553" t="s">
        <v>4347</v>
      </c>
      <c r="B4553" t="s">
        <v>453</v>
      </c>
      <c r="C4553" t="s">
        <v>74</v>
      </c>
      <c r="D4553" t="str">
        <f>HYPERLINK("http://service.sap.com/sap/support/notes/1843938","1843938")</f>
        <v>1843938</v>
      </c>
      <c r="E4553">
        <v>2</v>
      </c>
      <c r="F4553" t="s">
        <v>4683</v>
      </c>
    </row>
    <row r="4554" spans="1:6" x14ac:dyDescent="0.25">
      <c r="A4554" t="s">
        <v>4347</v>
      </c>
      <c r="B4554" t="s">
        <v>601</v>
      </c>
      <c r="C4554" t="s">
        <v>196</v>
      </c>
    </row>
    <row r="4555" spans="1:6" x14ac:dyDescent="0.25">
      <c r="A4555" t="s">
        <v>4347</v>
      </c>
      <c r="B4555" t="s">
        <v>604</v>
      </c>
      <c r="C4555" t="s">
        <v>605</v>
      </c>
      <c r="D4555" t="str">
        <f>HYPERLINK("http://service.sap.com/sap/support/notes/1846198","1846198")</f>
        <v>1846198</v>
      </c>
      <c r="E4555">
        <v>3</v>
      </c>
      <c r="F4555" t="s">
        <v>4684</v>
      </c>
    </row>
    <row r="4556" spans="1:6" x14ac:dyDescent="0.25">
      <c r="A4556" t="s">
        <v>4347</v>
      </c>
      <c r="B4556" t="s">
        <v>607</v>
      </c>
      <c r="C4556" t="s">
        <v>156</v>
      </c>
      <c r="D4556" t="str">
        <f>HYPERLINK("http://service.sap.com/sap/support/notes/1705126","1705126")</f>
        <v>1705126</v>
      </c>
      <c r="E4556">
        <v>3</v>
      </c>
      <c r="F4556" t="s">
        <v>4685</v>
      </c>
    </row>
    <row r="4557" spans="1:6" x14ac:dyDescent="0.25">
      <c r="A4557" t="s">
        <v>4347</v>
      </c>
      <c r="B4557" t="s">
        <v>607</v>
      </c>
      <c r="C4557" t="s">
        <v>156</v>
      </c>
      <c r="D4557" t="str">
        <f>HYPERLINK("http://service.sap.com/sap/support/notes/1871428","1871428")</f>
        <v>1871428</v>
      </c>
      <c r="E4557">
        <v>1</v>
      </c>
      <c r="F4557" t="s">
        <v>4686</v>
      </c>
    </row>
    <row r="4558" spans="1:6" x14ac:dyDescent="0.25">
      <c r="A4558" t="s">
        <v>4347</v>
      </c>
      <c r="B4558" t="s">
        <v>457</v>
      </c>
      <c r="C4558" t="s">
        <v>458</v>
      </c>
      <c r="D4558" t="str">
        <f>HYPERLINK("http://service.sap.com/sap/support/notes/1824234","1824234")</f>
        <v>1824234</v>
      </c>
      <c r="E4558">
        <v>6</v>
      </c>
      <c r="F4558" t="s">
        <v>4687</v>
      </c>
    </row>
    <row r="4559" spans="1:6" x14ac:dyDescent="0.25">
      <c r="A4559" t="s">
        <v>4347</v>
      </c>
      <c r="B4559" t="s">
        <v>457</v>
      </c>
      <c r="C4559" t="s">
        <v>458</v>
      </c>
      <c r="D4559" t="str">
        <f>HYPERLINK("http://service.sap.com/sap/support/notes/1863746","1863746")</f>
        <v>1863746</v>
      </c>
      <c r="E4559">
        <v>2</v>
      </c>
      <c r="F4559" t="s">
        <v>4688</v>
      </c>
    </row>
    <row r="4560" spans="1:6" x14ac:dyDescent="0.25">
      <c r="A4560" t="s">
        <v>4347</v>
      </c>
      <c r="B4560" t="s">
        <v>457</v>
      </c>
      <c r="C4560" t="s">
        <v>458</v>
      </c>
      <c r="D4560" t="str">
        <f>HYPERLINK("http://service.sap.com/sap/support/notes/1870139","1870139")</f>
        <v>1870139</v>
      </c>
      <c r="E4560">
        <v>1</v>
      </c>
      <c r="F4560" t="s">
        <v>4689</v>
      </c>
    </row>
    <row r="4561" spans="1:6" x14ac:dyDescent="0.25">
      <c r="A4561" t="s">
        <v>4347</v>
      </c>
      <c r="B4561" t="s">
        <v>457</v>
      </c>
      <c r="C4561" t="s">
        <v>458</v>
      </c>
      <c r="D4561" t="str">
        <f>HYPERLINK("http://service.sap.com/sap/support/notes/1873082","1873082")</f>
        <v>1873082</v>
      </c>
      <c r="E4561">
        <v>2</v>
      </c>
      <c r="F4561" t="s">
        <v>4690</v>
      </c>
    </row>
    <row r="4562" spans="1:6" x14ac:dyDescent="0.25">
      <c r="A4562" t="s">
        <v>4347</v>
      </c>
      <c r="B4562" t="s">
        <v>608</v>
      </c>
      <c r="C4562" t="s">
        <v>609</v>
      </c>
      <c r="D4562" t="str">
        <f>HYPERLINK("http://service.sap.com/sap/support/notes/1533337","1533337")</f>
        <v>1533337</v>
      </c>
      <c r="E4562">
        <v>2</v>
      </c>
      <c r="F4562" t="s">
        <v>4691</v>
      </c>
    </row>
    <row r="4563" spans="1:6" x14ac:dyDescent="0.25">
      <c r="A4563" t="s">
        <v>4347</v>
      </c>
      <c r="B4563" t="s">
        <v>608</v>
      </c>
      <c r="C4563" t="s">
        <v>609</v>
      </c>
      <c r="D4563" t="str">
        <f>HYPERLINK("http://service.sap.com/sap/support/notes/1845468","1845468")</f>
        <v>1845468</v>
      </c>
      <c r="E4563">
        <v>4</v>
      </c>
      <c r="F4563" t="s">
        <v>4692</v>
      </c>
    </row>
    <row r="4564" spans="1:6" x14ac:dyDescent="0.25">
      <c r="A4564" t="s">
        <v>4347</v>
      </c>
      <c r="B4564" t="s">
        <v>608</v>
      </c>
      <c r="C4564" t="s">
        <v>609</v>
      </c>
      <c r="D4564" t="str">
        <f>HYPERLINK("http://service.sap.com/sap/support/notes/1848027","1848027")</f>
        <v>1848027</v>
      </c>
      <c r="E4564">
        <v>2</v>
      </c>
      <c r="F4564" t="s">
        <v>4693</v>
      </c>
    </row>
    <row r="4565" spans="1:6" x14ac:dyDescent="0.25">
      <c r="A4565" t="s">
        <v>4347</v>
      </c>
      <c r="B4565" t="s">
        <v>608</v>
      </c>
      <c r="C4565" t="s">
        <v>609</v>
      </c>
      <c r="D4565" t="str">
        <f>HYPERLINK("http://service.sap.com/sap/support/notes/1868193","1868193")</f>
        <v>1868193</v>
      </c>
      <c r="E4565">
        <v>1</v>
      </c>
      <c r="F4565" t="s">
        <v>4694</v>
      </c>
    </row>
    <row r="4566" spans="1:6" x14ac:dyDescent="0.25">
      <c r="A4566" t="s">
        <v>4347</v>
      </c>
      <c r="B4566" t="s">
        <v>461</v>
      </c>
      <c r="C4566" t="s">
        <v>462</v>
      </c>
      <c r="D4566" t="str">
        <f>HYPERLINK("http://service.sap.com/sap/support/notes/1847321","1847321")</f>
        <v>1847321</v>
      </c>
      <c r="E4566">
        <v>3</v>
      </c>
      <c r="F4566" t="s">
        <v>4695</v>
      </c>
    </row>
    <row r="4567" spans="1:6" x14ac:dyDescent="0.25">
      <c r="A4567" t="s">
        <v>4347</v>
      </c>
      <c r="B4567" t="s">
        <v>610</v>
      </c>
      <c r="C4567" t="s">
        <v>635</v>
      </c>
    </row>
    <row r="4568" spans="1:6" x14ac:dyDescent="0.25">
      <c r="A4568" t="s">
        <v>4347</v>
      </c>
      <c r="B4568" t="s">
        <v>626</v>
      </c>
      <c r="C4568" t="s">
        <v>654</v>
      </c>
      <c r="D4568" t="str">
        <f>HYPERLINK("http://service.sap.com/sap/support/notes/1873004","1873004")</f>
        <v>1873004</v>
      </c>
      <c r="E4568">
        <v>4</v>
      </c>
      <c r="F4568" t="s">
        <v>4696</v>
      </c>
    </row>
    <row r="4569" spans="1:6" x14ac:dyDescent="0.25">
      <c r="A4569" t="s">
        <v>4347</v>
      </c>
      <c r="B4569" t="s">
        <v>464</v>
      </c>
      <c r="C4569" t="s">
        <v>465</v>
      </c>
      <c r="D4569" t="str">
        <f>HYPERLINK("http://service.sap.com/sap/support/notes/1839910","1839910")</f>
        <v>1839910</v>
      </c>
      <c r="E4569">
        <v>2</v>
      </c>
      <c r="F4569" t="s">
        <v>4697</v>
      </c>
    </row>
    <row r="4570" spans="1:6" x14ac:dyDescent="0.25">
      <c r="A4570" t="s">
        <v>4347</v>
      </c>
      <c r="B4570" t="s">
        <v>464</v>
      </c>
      <c r="C4570" t="s">
        <v>465</v>
      </c>
      <c r="D4570" t="str">
        <f>HYPERLINK("http://service.sap.com/sap/support/notes/1846548","1846548")</f>
        <v>1846548</v>
      </c>
      <c r="E4570">
        <v>3</v>
      </c>
      <c r="F4570" t="s">
        <v>4698</v>
      </c>
    </row>
    <row r="4571" spans="1:6" x14ac:dyDescent="0.25">
      <c r="A4571" t="s">
        <v>4347</v>
      </c>
      <c r="B4571" t="s">
        <v>464</v>
      </c>
      <c r="C4571" t="s">
        <v>465</v>
      </c>
      <c r="D4571" t="str">
        <f>HYPERLINK("http://service.sap.com/sap/support/notes/1876667","1876667")</f>
        <v>1876667</v>
      </c>
      <c r="E4571">
        <v>2</v>
      </c>
      <c r="F4571" t="s">
        <v>4699</v>
      </c>
    </row>
    <row r="4572" spans="1:6" x14ac:dyDescent="0.25">
      <c r="A4572" t="s">
        <v>4700</v>
      </c>
      <c r="B4572" t="s">
        <v>24</v>
      </c>
      <c r="C4572" t="s">
        <v>10</v>
      </c>
    </row>
    <row r="4573" spans="1:6" x14ac:dyDescent="0.25">
      <c r="A4573" t="s">
        <v>4700</v>
      </c>
      <c r="B4573" t="s">
        <v>25</v>
      </c>
      <c r="C4573" t="s">
        <v>26</v>
      </c>
    </row>
    <row r="4574" spans="1:6" x14ac:dyDescent="0.25">
      <c r="A4574" t="s">
        <v>4700</v>
      </c>
      <c r="B4574" t="s">
        <v>518</v>
      </c>
      <c r="C4574" t="s">
        <v>98</v>
      </c>
      <c r="D4574" t="str">
        <f>HYPERLINK("http://service.sap.com/sap/support/notes/1879747","1879747")</f>
        <v>1879747</v>
      </c>
      <c r="E4574">
        <v>1</v>
      </c>
      <c r="F4574" t="s">
        <v>4701</v>
      </c>
    </row>
    <row r="4575" spans="1:6" x14ac:dyDescent="0.25">
      <c r="A4575" t="s">
        <v>4700</v>
      </c>
      <c r="B4575" t="s">
        <v>518</v>
      </c>
      <c r="C4575" t="s">
        <v>98</v>
      </c>
      <c r="D4575" t="str">
        <f>HYPERLINK("http://service.sap.com/sap/support/notes/1879867","1879867")</f>
        <v>1879867</v>
      </c>
      <c r="E4575">
        <v>1</v>
      </c>
      <c r="F4575" t="s">
        <v>4702</v>
      </c>
    </row>
    <row r="4576" spans="1:6" x14ac:dyDescent="0.25">
      <c r="A4576" t="s">
        <v>4700</v>
      </c>
      <c r="B4576" t="s">
        <v>518</v>
      </c>
      <c r="C4576" t="s">
        <v>98</v>
      </c>
      <c r="D4576" t="str">
        <f>HYPERLINK("http://service.sap.com/sap/support/notes/1893080","1893080")</f>
        <v>1893080</v>
      </c>
      <c r="E4576">
        <v>1</v>
      </c>
      <c r="F4576" t="s">
        <v>4703</v>
      </c>
    </row>
    <row r="4577" spans="1:6" x14ac:dyDescent="0.25">
      <c r="A4577" t="s">
        <v>4700</v>
      </c>
      <c r="B4577" t="s">
        <v>519</v>
      </c>
      <c r="C4577" t="s">
        <v>132</v>
      </c>
      <c r="D4577" t="str">
        <f>HYPERLINK("http://service.sap.com/sap/support/notes/1848620","1848620")</f>
        <v>1848620</v>
      </c>
      <c r="E4577">
        <v>1</v>
      </c>
      <c r="F4577" t="s">
        <v>3866</v>
      </c>
    </row>
    <row r="4578" spans="1:6" x14ac:dyDescent="0.25">
      <c r="A4578" t="s">
        <v>4700</v>
      </c>
      <c r="B4578" t="s">
        <v>33</v>
      </c>
      <c r="C4578" t="s">
        <v>34</v>
      </c>
      <c r="D4578" t="str">
        <f>HYPERLINK("http://service.sap.com/sap/support/notes/1880886","1880886")</f>
        <v>1880886</v>
      </c>
      <c r="E4578">
        <v>1</v>
      </c>
      <c r="F4578" t="s">
        <v>4704</v>
      </c>
    </row>
    <row r="4579" spans="1:6" x14ac:dyDescent="0.25">
      <c r="A4579" t="s">
        <v>4700</v>
      </c>
      <c r="B4579" t="s">
        <v>658</v>
      </c>
      <c r="C4579" t="s">
        <v>659</v>
      </c>
      <c r="D4579" t="str">
        <f>HYPERLINK("http://service.sap.com/sap/support/notes/1760351","1760351")</f>
        <v>1760351</v>
      </c>
      <c r="E4579">
        <v>2</v>
      </c>
      <c r="F4579" t="s">
        <v>4705</v>
      </c>
    </row>
    <row r="4580" spans="1:6" x14ac:dyDescent="0.25">
      <c r="A4580" t="s">
        <v>4700</v>
      </c>
      <c r="B4580" t="s">
        <v>40</v>
      </c>
      <c r="C4580" t="s">
        <v>41</v>
      </c>
      <c r="D4580" t="str">
        <f>HYPERLINK("http://service.sap.com/sap/support/notes/700094","700094")</f>
        <v>700094</v>
      </c>
      <c r="E4580">
        <v>8</v>
      </c>
      <c r="F4580" t="s">
        <v>42</v>
      </c>
    </row>
    <row r="4581" spans="1:6" x14ac:dyDescent="0.25">
      <c r="A4581" t="s">
        <v>4700</v>
      </c>
      <c r="B4581" t="s">
        <v>40</v>
      </c>
      <c r="C4581" t="s">
        <v>41</v>
      </c>
      <c r="D4581" t="str">
        <f>HYPERLINK("http://service.sap.com/sap/support/notes/1884031","1884031")</f>
        <v>1884031</v>
      </c>
      <c r="E4581">
        <v>1</v>
      </c>
      <c r="F4581" t="s">
        <v>4706</v>
      </c>
    </row>
    <row r="4582" spans="1:6" x14ac:dyDescent="0.25">
      <c r="A4582" t="s">
        <v>4700</v>
      </c>
      <c r="B4582" t="s">
        <v>522</v>
      </c>
      <c r="C4582" t="s">
        <v>523</v>
      </c>
      <c r="D4582" t="str">
        <f>HYPERLINK("http://service.sap.com/sap/support/notes/1866259","1866259")</f>
        <v>1866259</v>
      </c>
      <c r="E4582">
        <v>2</v>
      </c>
      <c r="F4582" t="s">
        <v>4707</v>
      </c>
    </row>
    <row r="4583" spans="1:6" x14ac:dyDescent="0.25">
      <c r="A4583" t="s">
        <v>4700</v>
      </c>
      <c r="B4583" t="s">
        <v>522</v>
      </c>
      <c r="C4583" t="s">
        <v>523</v>
      </c>
      <c r="D4583" t="str">
        <f>HYPERLINK("http://service.sap.com/sap/support/notes/1880600","1880600")</f>
        <v>1880600</v>
      </c>
      <c r="E4583">
        <v>1</v>
      </c>
      <c r="F4583" t="s">
        <v>4708</v>
      </c>
    </row>
    <row r="4584" spans="1:6" x14ac:dyDescent="0.25">
      <c r="A4584" t="s">
        <v>4700</v>
      </c>
      <c r="B4584" t="s">
        <v>522</v>
      </c>
      <c r="C4584" t="s">
        <v>523</v>
      </c>
      <c r="D4584" t="str">
        <f>HYPERLINK("http://service.sap.com/sap/support/notes/1881132","1881132")</f>
        <v>1881132</v>
      </c>
      <c r="E4584">
        <v>2</v>
      </c>
      <c r="F4584" t="s">
        <v>4709</v>
      </c>
    </row>
    <row r="4585" spans="1:6" x14ac:dyDescent="0.25">
      <c r="A4585" t="s">
        <v>4700</v>
      </c>
      <c r="B4585" t="s">
        <v>47</v>
      </c>
      <c r="C4585" t="s">
        <v>48</v>
      </c>
      <c r="D4585" t="str">
        <f>HYPERLINK("http://service.sap.com/sap/support/notes/1866818","1866818")</f>
        <v>1866818</v>
      </c>
      <c r="E4585">
        <v>2</v>
      </c>
      <c r="F4585" t="s">
        <v>4710</v>
      </c>
    </row>
    <row r="4586" spans="1:6" x14ac:dyDescent="0.25">
      <c r="A4586" t="s">
        <v>4700</v>
      </c>
      <c r="B4586" t="s">
        <v>47</v>
      </c>
      <c r="C4586" t="s">
        <v>48</v>
      </c>
      <c r="D4586" t="str">
        <f>HYPERLINK("http://service.sap.com/sap/support/notes/1884345","1884345")</f>
        <v>1884345</v>
      </c>
      <c r="E4586">
        <v>1</v>
      </c>
      <c r="F4586" t="s">
        <v>4711</v>
      </c>
    </row>
    <row r="4587" spans="1:6" x14ac:dyDescent="0.25">
      <c r="A4587" t="s">
        <v>4700</v>
      </c>
      <c r="B4587" t="s">
        <v>2835</v>
      </c>
      <c r="C4587" t="s">
        <v>2836</v>
      </c>
      <c r="D4587" t="str">
        <f>HYPERLINK("http://service.sap.com/sap/support/notes/1825042","1825042")</f>
        <v>1825042</v>
      </c>
      <c r="E4587">
        <v>3</v>
      </c>
      <c r="F4587" t="s">
        <v>2837</v>
      </c>
    </row>
    <row r="4588" spans="1:6" x14ac:dyDescent="0.25">
      <c r="A4588" t="s">
        <v>4700</v>
      </c>
      <c r="B4588" t="s">
        <v>54</v>
      </c>
      <c r="C4588" t="s">
        <v>55</v>
      </c>
      <c r="D4588" t="str">
        <f>HYPERLINK("http://service.sap.com/sap/support/notes/1887535","1887535")</f>
        <v>1887535</v>
      </c>
      <c r="E4588">
        <v>3</v>
      </c>
      <c r="F4588" t="s">
        <v>4712</v>
      </c>
    </row>
    <row r="4589" spans="1:6" x14ac:dyDescent="0.25">
      <c r="A4589" t="s">
        <v>4700</v>
      </c>
      <c r="B4589" t="s">
        <v>60</v>
      </c>
      <c r="C4589" t="s">
        <v>61</v>
      </c>
      <c r="D4589" t="str">
        <f>HYPERLINK("http://service.sap.com/sap/support/notes/1862438","1862438")</f>
        <v>1862438</v>
      </c>
      <c r="E4589">
        <v>1</v>
      </c>
      <c r="F4589" t="s">
        <v>4713</v>
      </c>
    </row>
    <row r="4590" spans="1:6" x14ac:dyDescent="0.25">
      <c r="A4590" t="s">
        <v>4700</v>
      </c>
      <c r="B4590" t="s">
        <v>63</v>
      </c>
      <c r="C4590" t="s">
        <v>64</v>
      </c>
      <c r="D4590" t="str">
        <f>HYPERLINK("http://service.sap.com/sap/support/notes/1877696","1877696")</f>
        <v>1877696</v>
      </c>
      <c r="E4590">
        <v>1</v>
      </c>
      <c r="F4590" t="s">
        <v>4714</v>
      </c>
    </row>
    <row r="4591" spans="1:6" x14ac:dyDescent="0.25">
      <c r="A4591" t="s">
        <v>4700</v>
      </c>
      <c r="B4591" t="s">
        <v>63</v>
      </c>
      <c r="C4591" t="s">
        <v>64</v>
      </c>
      <c r="D4591" t="str">
        <f>HYPERLINK("http://service.sap.com/sap/support/notes/1881436","1881436")</f>
        <v>1881436</v>
      </c>
      <c r="E4591">
        <v>2</v>
      </c>
      <c r="F4591" t="s">
        <v>4715</v>
      </c>
    </row>
    <row r="4592" spans="1:6" x14ac:dyDescent="0.25">
      <c r="A4592" t="s">
        <v>4700</v>
      </c>
      <c r="B4592" t="s">
        <v>63</v>
      </c>
      <c r="C4592" t="s">
        <v>64</v>
      </c>
      <c r="D4592" t="str">
        <f>HYPERLINK("http://service.sap.com/sap/support/notes/1882993","1882993")</f>
        <v>1882993</v>
      </c>
      <c r="E4592">
        <v>1</v>
      </c>
      <c r="F4592" t="s">
        <v>4716</v>
      </c>
    </row>
    <row r="4593" spans="1:6" x14ac:dyDescent="0.25">
      <c r="A4593" t="s">
        <v>4700</v>
      </c>
      <c r="B4593" t="s">
        <v>63</v>
      </c>
      <c r="C4593" t="s">
        <v>64</v>
      </c>
      <c r="D4593" t="str">
        <f>HYPERLINK("http://service.sap.com/sap/support/notes/1885692","1885692")</f>
        <v>1885692</v>
      </c>
      <c r="E4593">
        <v>2</v>
      </c>
      <c r="F4593" t="s">
        <v>4717</v>
      </c>
    </row>
    <row r="4594" spans="1:6" x14ac:dyDescent="0.25">
      <c r="A4594" t="s">
        <v>4700</v>
      </c>
      <c r="B4594" t="s">
        <v>63</v>
      </c>
      <c r="C4594" t="s">
        <v>64</v>
      </c>
      <c r="D4594" t="str">
        <f>HYPERLINK("http://service.sap.com/sap/support/notes/1885734","1885734")</f>
        <v>1885734</v>
      </c>
      <c r="E4594">
        <v>2</v>
      </c>
      <c r="F4594" t="s">
        <v>4718</v>
      </c>
    </row>
    <row r="4595" spans="1:6" x14ac:dyDescent="0.25">
      <c r="A4595" t="s">
        <v>4700</v>
      </c>
      <c r="B4595" t="s">
        <v>661</v>
      </c>
      <c r="C4595" t="s">
        <v>438</v>
      </c>
      <c r="D4595" t="str">
        <f>HYPERLINK("http://service.sap.com/sap/support/notes/1876702","1876702")</f>
        <v>1876702</v>
      </c>
      <c r="E4595">
        <v>1</v>
      </c>
      <c r="F4595" t="s">
        <v>4719</v>
      </c>
    </row>
    <row r="4596" spans="1:6" x14ac:dyDescent="0.25">
      <c r="A4596" t="s">
        <v>4700</v>
      </c>
      <c r="B4596" t="s">
        <v>661</v>
      </c>
      <c r="C4596" t="s">
        <v>438</v>
      </c>
      <c r="D4596" t="str">
        <f>HYPERLINK("http://service.sap.com/sap/support/notes/1880150","1880150")</f>
        <v>1880150</v>
      </c>
      <c r="E4596">
        <v>1</v>
      </c>
      <c r="F4596" t="s">
        <v>4720</v>
      </c>
    </row>
    <row r="4597" spans="1:6" x14ac:dyDescent="0.25">
      <c r="A4597" t="s">
        <v>4700</v>
      </c>
      <c r="B4597" t="s">
        <v>661</v>
      </c>
      <c r="C4597" t="s">
        <v>438</v>
      </c>
      <c r="D4597" t="str">
        <f>HYPERLINK("http://service.sap.com/sap/support/notes/1883859","1883859")</f>
        <v>1883859</v>
      </c>
      <c r="E4597">
        <v>1</v>
      </c>
      <c r="F4597" t="s">
        <v>4721</v>
      </c>
    </row>
    <row r="4598" spans="1:6" x14ac:dyDescent="0.25">
      <c r="A4598" t="s">
        <v>4700</v>
      </c>
      <c r="B4598" t="s">
        <v>661</v>
      </c>
      <c r="C4598" t="s">
        <v>438</v>
      </c>
      <c r="D4598" t="str">
        <f>HYPERLINK("http://service.sap.com/sap/support/notes/1888161","1888161")</f>
        <v>1888161</v>
      </c>
      <c r="E4598">
        <v>2</v>
      </c>
      <c r="F4598" t="s">
        <v>4722</v>
      </c>
    </row>
    <row r="4599" spans="1:6" x14ac:dyDescent="0.25">
      <c r="A4599" t="s">
        <v>4700</v>
      </c>
      <c r="B4599" t="s">
        <v>528</v>
      </c>
      <c r="C4599" t="s">
        <v>444</v>
      </c>
      <c r="D4599" t="str">
        <f>HYPERLINK("http://service.sap.com/sap/support/notes/1886848","1886848")</f>
        <v>1886848</v>
      </c>
      <c r="E4599">
        <v>1</v>
      </c>
      <c r="F4599" t="s">
        <v>4723</v>
      </c>
    </row>
    <row r="4600" spans="1:6" x14ac:dyDescent="0.25">
      <c r="A4600" t="s">
        <v>4700</v>
      </c>
      <c r="B4600" t="s">
        <v>684</v>
      </c>
      <c r="C4600" t="s">
        <v>451</v>
      </c>
      <c r="D4600" t="str">
        <f>HYPERLINK("http://service.sap.com/sap/support/notes/1888049","1888049")</f>
        <v>1888049</v>
      </c>
      <c r="E4600">
        <v>1</v>
      </c>
      <c r="F4600" t="s">
        <v>4724</v>
      </c>
    </row>
    <row r="4601" spans="1:6" x14ac:dyDescent="0.25">
      <c r="A4601" t="s">
        <v>4700</v>
      </c>
      <c r="B4601" t="s">
        <v>73</v>
      </c>
      <c r="C4601" t="s">
        <v>74</v>
      </c>
      <c r="D4601" t="str">
        <f>HYPERLINK("http://service.sap.com/sap/support/notes/1717478","1717478")</f>
        <v>1717478</v>
      </c>
      <c r="E4601">
        <v>2</v>
      </c>
      <c r="F4601" t="s">
        <v>4725</v>
      </c>
    </row>
    <row r="4602" spans="1:6" x14ac:dyDescent="0.25">
      <c r="A4602" t="s">
        <v>4700</v>
      </c>
      <c r="B4602" t="s">
        <v>73</v>
      </c>
      <c r="C4602" t="s">
        <v>74</v>
      </c>
      <c r="D4602" t="str">
        <f>HYPERLINK("http://service.sap.com/sap/support/notes/1792975","1792975")</f>
        <v>1792975</v>
      </c>
      <c r="E4602">
        <v>2</v>
      </c>
      <c r="F4602" t="s">
        <v>4726</v>
      </c>
    </row>
    <row r="4603" spans="1:6" x14ac:dyDescent="0.25">
      <c r="A4603" t="s">
        <v>4700</v>
      </c>
      <c r="B4603" t="s">
        <v>73</v>
      </c>
      <c r="C4603" t="s">
        <v>74</v>
      </c>
      <c r="D4603" t="str">
        <f>HYPERLINK("http://service.sap.com/sap/support/notes/1886649","1886649")</f>
        <v>1886649</v>
      </c>
      <c r="E4603">
        <v>1</v>
      </c>
      <c r="F4603" t="s">
        <v>4727</v>
      </c>
    </row>
    <row r="4604" spans="1:6" x14ac:dyDescent="0.25">
      <c r="A4604" t="s">
        <v>4700</v>
      </c>
      <c r="B4604" t="s">
        <v>529</v>
      </c>
      <c r="C4604" t="s">
        <v>530</v>
      </c>
      <c r="D4604" t="str">
        <f>HYPERLINK("http://service.sap.com/sap/support/notes/1837198","1837198")</f>
        <v>1837198</v>
      </c>
      <c r="E4604">
        <v>3</v>
      </c>
      <c r="F4604" t="s">
        <v>4728</v>
      </c>
    </row>
    <row r="4605" spans="1:6" x14ac:dyDescent="0.25">
      <c r="A4605" t="s">
        <v>4700</v>
      </c>
      <c r="B4605" t="s">
        <v>79</v>
      </c>
      <c r="C4605" t="s">
        <v>80</v>
      </c>
    </row>
    <row r="4606" spans="1:6" x14ac:dyDescent="0.25">
      <c r="A4606" t="s">
        <v>4700</v>
      </c>
      <c r="B4606" t="s">
        <v>81</v>
      </c>
      <c r="C4606" t="s">
        <v>82</v>
      </c>
      <c r="D4606" t="str">
        <f>HYPERLINK("http://service.sap.com/sap/support/notes/1799993","1799993")</f>
        <v>1799993</v>
      </c>
      <c r="E4606">
        <v>4</v>
      </c>
      <c r="F4606" t="s">
        <v>4729</v>
      </c>
    </row>
    <row r="4607" spans="1:6" x14ac:dyDescent="0.25">
      <c r="A4607" t="s">
        <v>4700</v>
      </c>
      <c r="B4607" t="s">
        <v>81</v>
      </c>
      <c r="C4607" t="s">
        <v>82</v>
      </c>
      <c r="D4607" t="str">
        <f>HYPERLINK("http://service.sap.com/sap/support/notes/1840444","1840444")</f>
        <v>1840444</v>
      </c>
      <c r="E4607">
        <v>3</v>
      </c>
      <c r="F4607" t="s">
        <v>4730</v>
      </c>
    </row>
    <row r="4608" spans="1:6" x14ac:dyDescent="0.25">
      <c r="A4608" t="s">
        <v>4700</v>
      </c>
      <c r="B4608" t="s">
        <v>81</v>
      </c>
      <c r="C4608" t="s">
        <v>82</v>
      </c>
      <c r="D4608" t="str">
        <f>HYPERLINK("http://service.sap.com/sap/support/notes/1856821","1856821")</f>
        <v>1856821</v>
      </c>
      <c r="E4608">
        <v>4</v>
      </c>
      <c r="F4608" t="s">
        <v>4731</v>
      </c>
    </row>
    <row r="4609" spans="1:6" x14ac:dyDescent="0.25">
      <c r="A4609" t="s">
        <v>4700</v>
      </c>
      <c r="B4609" t="s">
        <v>81</v>
      </c>
      <c r="C4609" t="s">
        <v>82</v>
      </c>
      <c r="D4609" t="str">
        <f>HYPERLINK("http://service.sap.com/sap/support/notes/1871888","1871888")</f>
        <v>1871888</v>
      </c>
      <c r="E4609">
        <v>3</v>
      </c>
      <c r="F4609" t="s">
        <v>4732</v>
      </c>
    </row>
    <row r="4610" spans="1:6" x14ac:dyDescent="0.25">
      <c r="A4610" t="s">
        <v>4700</v>
      </c>
      <c r="B4610" t="s">
        <v>95</v>
      </c>
      <c r="C4610" t="s">
        <v>96</v>
      </c>
    </row>
    <row r="4611" spans="1:6" x14ac:dyDescent="0.25">
      <c r="A4611" t="s">
        <v>4700</v>
      </c>
      <c r="B4611" t="s">
        <v>569</v>
      </c>
      <c r="C4611" t="s">
        <v>28</v>
      </c>
      <c r="D4611" t="str">
        <f>HYPERLINK("http://service.sap.com/sap/support/notes/1851902","1851902")</f>
        <v>1851902</v>
      </c>
      <c r="E4611">
        <v>2</v>
      </c>
      <c r="F4611" t="s">
        <v>4733</v>
      </c>
    </row>
    <row r="4612" spans="1:6" x14ac:dyDescent="0.25">
      <c r="A4612" t="s">
        <v>4700</v>
      </c>
      <c r="B4612" t="s">
        <v>569</v>
      </c>
      <c r="C4612" t="s">
        <v>28</v>
      </c>
      <c r="D4612" t="str">
        <f>HYPERLINK("http://service.sap.com/sap/support/notes/1859725","1859725")</f>
        <v>1859725</v>
      </c>
      <c r="E4612">
        <v>3</v>
      </c>
      <c r="F4612" t="s">
        <v>4734</v>
      </c>
    </row>
    <row r="4613" spans="1:6" x14ac:dyDescent="0.25">
      <c r="A4613" t="s">
        <v>4700</v>
      </c>
      <c r="B4613" t="s">
        <v>569</v>
      </c>
      <c r="C4613" t="s">
        <v>28</v>
      </c>
      <c r="D4613" t="str">
        <f>HYPERLINK("http://service.sap.com/sap/support/notes/1868679","1868679")</f>
        <v>1868679</v>
      </c>
      <c r="E4613">
        <v>2</v>
      </c>
      <c r="F4613" t="s">
        <v>4735</v>
      </c>
    </row>
    <row r="4614" spans="1:6" x14ac:dyDescent="0.25">
      <c r="A4614" t="s">
        <v>4700</v>
      </c>
      <c r="B4614" t="s">
        <v>569</v>
      </c>
      <c r="C4614" t="s">
        <v>28</v>
      </c>
      <c r="D4614" t="str">
        <f>HYPERLINK("http://service.sap.com/sap/support/notes/1876513","1876513")</f>
        <v>1876513</v>
      </c>
      <c r="E4614">
        <v>1</v>
      </c>
      <c r="F4614" t="s">
        <v>4736</v>
      </c>
    </row>
    <row r="4615" spans="1:6" x14ac:dyDescent="0.25">
      <c r="A4615" t="s">
        <v>4700</v>
      </c>
      <c r="B4615" t="s">
        <v>569</v>
      </c>
      <c r="C4615" t="s">
        <v>28</v>
      </c>
      <c r="D4615" t="str">
        <f>HYPERLINK("http://service.sap.com/sap/support/notes/1881328","1881328")</f>
        <v>1881328</v>
      </c>
      <c r="E4615">
        <v>3</v>
      </c>
      <c r="F4615" t="s">
        <v>4737</v>
      </c>
    </row>
    <row r="4616" spans="1:6" x14ac:dyDescent="0.25">
      <c r="A4616" t="s">
        <v>4700</v>
      </c>
      <c r="B4616" t="s">
        <v>97</v>
      </c>
      <c r="C4616" t="s">
        <v>98</v>
      </c>
      <c r="D4616" t="str">
        <f>HYPERLINK("http://service.sap.com/sap/support/notes/1874286","1874286")</f>
        <v>1874286</v>
      </c>
      <c r="E4616">
        <v>6</v>
      </c>
      <c r="F4616" t="s">
        <v>4738</v>
      </c>
    </row>
    <row r="4617" spans="1:6" x14ac:dyDescent="0.25">
      <c r="A4617" t="s">
        <v>4700</v>
      </c>
      <c r="B4617" t="s">
        <v>97</v>
      </c>
      <c r="C4617" t="s">
        <v>98</v>
      </c>
      <c r="D4617" t="str">
        <f>HYPERLINK("http://service.sap.com/sap/support/notes/1878345","1878345")</f>
        <v>1878345</v>
      </c>
      <c r="E4617">
        <v>3</v>
      </c>
      <c r="F4617" t="s">
        <v>4739</v>
      </c>
    </row>
    <row r="4618" spans="1:6" x14ac:dyDescent="0.25">
      <c r="A4618" t="s">
        <v>4700</v>
      </c>
      <c r="B4618" t="s">
        <v>97</v>
      </c>
      <c r="C4618" t="s">
        <v>98</v>
      </c>
      <c r="D4618" t="str">
        <f>HYPERLINK("http://service.sap.com/sap/support/notes/1878362","1878362")</f>
        <v>1878362</v>
      </c>
      <c r="E4618">
        <v>1</v>
      </c>
      <c r="F4618" t="s">
        <v>4740</v>
      </c>
    </row>
    <row r="4619" spans="1:6" x14ac:dyDescent="0.25">
      <c r="A4619" t="s">
        <v>4700</v>
      </c>
      <c r="B4619" t="s">
        <v>97</v>
      </c>
      <c r="C4619" t="s">
        <v>98</v>
      </c>
      <c r="D4619" t="str">
        <f>HYPERLINK("http://service.sap.com/sap/support/notes/1882155","1882155")</f>
        <v>1882155</v>
      </c>
      <c r="E4619">
        <v>2</v>
      </c>
      <c r="F4619" t="s">
        <v>4741</v>
      </c>
    </row>
    <row r="4620" spans="1:6" x14ac:dyDescent="0.25">
      <c r="A4620" t="s">
        <v>4700</v>
      </c>
      <c r="B4620" t="s">
        <v>97</v>
      </c>
      <c r="C4620" t="s">
        <v>98</v>
      </c>
      <c r="D4620" t="str">
        <f>HYPERLINK("http://service.sap.com/sap/support/notes/1883596","1883596")</f>
        <v>1883596</v>
      </c>
      <c r="E4620">
        <v>3</v>
      </c>
      <c r="F4620" t="s">
        <v>4742</v>
      </c>
    </row>
    <row r="4621" spans="1:6" x14ac:dyDescent="0.25">
      <c r="A4621" t="s">
        <v>4700</v>
      </c>
      <c r="B4621" t="s">
        <v>97</v>
      </c>
      <c r="C4621" t="s">
        <v>98</v>
      </c>
      <c r="D4621" t="str">
        <f>HYPERLINK("http://service.sap.com/sap/support/notes/1884652","1884652")</f>
        <v>1884652</v>
      </c>
      <c r="E4621">
        <v>2</v>
      </c>
      <c r="F4621" t="s">
        <v>4743</v>
      </c>
    </row>
    <row r="4622" spans="1:6" x14ac:dyDescent="0.25">
      <c r="A4622" t="s">
        <v>4700</v>
      </c>
      <c r="B4622" t="s">
        <v>97</v>
      </c>
      <c r="C4622" t="s">
        <v>98</v>
      </c>
      <c r="D4622" t="str">
        <f>HYPERLINK("http://service.sap.com/sap/support/notes/1884785","1884785")</f>
        <v>1884785</v>
      </c>
      <c r="E4622">
        <v>2</v>
      </c>
      <c r="F4622" t="s">
        <v>4744</v>
      </c>
    </row>
    <row r="4623" spans="1:6" x14ac:dyDescent="0.25">
      <c r="A4623" t="s">
        <v>4700</v>
      </c>
      <c r="B4623" t="s">
        <v>97</v>
      </c>
      <c r="C4623" t="s">
        <v>98</v>
      </c>
      <c r="D4623" t="str">
        <f>HYPERLINK("http://service.sap.com/sap/support/notes/1887788","1887788")</f>
        <v>1887788</v>
      </c>
      <c r="E4623">
        <v>1</v>
      </c>
      <c r="F4623" t="s">
        <v>4745</v>
      </c>
    </row>
    <row r="4624" spans="1:6" x14ac:dyDescent="0.25">
      <c r="A4624" t="s">
        <v>4700</v>
      </c>
      <c r="B4624" t="s">
        <v>97</v>
      </c>
      <c r="C4624" t="s">
        <v>98</v>
      </c>
      <c r="D4624" t="str">
        <f>HYPERLINK("http://service.sap.com/sap/support/notes/1888117","1888117")</f>
        <v>1888117</v>
      </c>
      <c r="E4624">
        <v>1</v>
      </c>
      <c r="F4624" t="s">
        <v>4746</v>
      </c>
    </row>
    <row r="4625" spans="1:6" x14ac:dyDescent="0.25">
      <c r="A4625" t="s">
        <v>4700</v>
      </c>
      <c r="B4625" t="s">
        <v>97</v>
      </c>
      <c r="C4625" t="s">
        <v>98</v>
      </c>
      <c r="D4625" t="str">
        <f>HYPERLINK("http://service.sap.com/sap/support/notes/1889381","1889381")</f>
        <v>1889381</v>
      </c>
      <c r="E4625">
        <v>2</v>
      </c>
      <c r="F4625" t="s">
        <v>4747</v>
      </c>
    </row>
    <row r="4626" spans="1:6" x14ac:dyDescent="0.25">
      <c r="A4626" t="s">
        <v>4700</v>
      </c>
      <c r="B4626" t="s">
        <v>114</v>
      </c>
      <c r="C4626" t="s">
        <v>115</v>
      </c>
      <c r="D4626" t="str">
        <f>HYPERLINK("http://service.sap.com/sap/support/notes/1855437","1855437")</f>
        <v>1855437</v>
      </c>
      <c r="E4626">
        <v>1</v>
      </c>
      <c r="F4626" t="s">
        <v>3948</v>
      </c>
    </row>
    <row r="4627" spans="1:6" x14ac:dyDescent="0.25">
      <c r="A4627" t="s">
        <v>4700</v>
      </c>
      <c r="B4627" t="s">
        <v>114</v>
      </c>
      <c r="C4627" t="s">
        <v>115</v>
      </c>
      <c r="D4627" t="str">
        <f>HYPERLINK("http://service.sap.com/sap/support/notes/1872230","1872230")</f>
        <v>1872230</v>
      </c>
      <c r="E4627">
        <v>2</v>
      </c>
      <c r="F4627" t="s">
        <v>4748</v>
      </c>
    </row>
    <row r="4628" spans="1:6" x14ac:dyDescent="0.25">
      <c r="A4628" t="s">
        <v>4700</v>
      </c>
      <c r="B4628" t="s">
        <v>114</v>
      </c>
      <c r="C4628" t="s">
        <v>115</v>
      </c>
      <c r="D4628" t="str">
        <f>HYPERLINK("http://service.sap.com/sap/support/notes/1877345","1877345")</f>
        <v>1877345</v>
      </c>
      <c r="E4628">
        <v>2</v>
      </c>
      <c r="F4628" t="s">
        <v>4749</v>
      </c>
    </row>
    <row r="4629" spans="1:6" x14ac:dyDescent="0.25">
      <c r="A4629" t="s">
        <v>4700</v>
      </c>
      <c r="B4629" t="s">
        <v>114</v>
      </c>
      <c r="C4629" t="s">
        <v>115</v>
      </c>
      <c r="D4629" t="str">
        <f>HYPERLINK("http://service.sap.com/sap/support/notes/1877397","1877397")</f>
        <v>1877397</v>
      </c>
      <c r="E4629">
        <v>1</v>
      </c>
      <c r="F4629" t="s">
        <v>4750</v>
      </c>
    </row>
    <row r="4630" spans="1:6" x14ac:dyDescent="0.25">
      <c r="A4630" t="s">
        <v>4700</v>
      </c>
      <c r="B4630" t="s">
        <v>114</v>
      </c>
      <c r="C4630" t="s">
        <v>115</v>
      </c>
      <c r="D4630" t="str">
        <f>HYPERLINK("http://service.sap.com/sap/support/notes/1878368","1878368")</f>
        <v>1878368</v>
      </c>
      <c r="E4630">
        <v>2</v>
      </c>
      <c r="F4630" t="s">
        <v>4751</v>
      </c>
    </row>
    <row r="4631" spans="1:6" x14ac:dyDescent="0.25">
      <c r="A4631" t="s">
        <v>4700</v>
      </c>
      <c r="B4631" t="s">
        <v>114</v>
      </c>
      <c r="C4631" t="s">
        <v>115</v>
      </c>
      <c r="D4631" t="str">
        <f>HYPERLINK("http://service.sap.com/sap/support/notes/1879113","1879113")</f>
        <v>1879113</v>
      </c>
      <c r="E4631">
        <v>1</v>
      </c>
      <c r="F4631" t="s">
        <v>4752</v>
      </c>
    </row>
    <row r="4632" spans="1:6" x14ac:dyDescent="0.25">
      <c r="A4632" t="s">
        <v>4700</v>
      </c>
      <c r="B4632" t="s">
        <v>114</v>
      </c>
      <c r="C4632" t="s">
        <v>115</v>
      </c>
      <c r="D4632" t="str">
        <f>HYPERLINK("http://service.sap.com/sap/support/notes/1879627","1879627")</f>
        <v>1879627</v>
      </c>
      <c r="E4632">
        <v>2</v>
      </c>
      <c r="F4632" t="s">
        <v>4753</v>
      </c>
    </row>
    <row r="4633" spans="1:6" x14ac:dyDescent="0.25">
      <c r="A4633" t="s">
        <v>4700</v>
      </c>
      <c r="B4633" t="s">
        <v>114</v>
      </c>
      <c r="C4633" t="s">
        <v>115</v>
      </c>
      <c r="D4633" t="str">
        <f>HYPERLINK("http://service.sap.com/sap/support/notes/1879649","1879649")</f>
        <v>1879649</v>
      </c>
      <c r="E4633">
        <v>1</v>
      </c>
      <c r="F4633" t="s">
        <v>4754</v>
      </c>
    </row>
    <row r="4634" spans="1:6" x14ac:dyDescent="0.25">
      <c r="A4634" t="s">
        <v>4700</v>
      </c>
      <c r="B4634" t="s">
        <v>114</v>
      </c>
      <c r="C4634" t="s">
        <v>115</v>
      </c>
      <c r="D4634" t="str">
        <f>HYPERLINK("http://service.sap.com/sap/support/notes/1880306","1880306")</f>
        <v>1880306</v>
      </c>
      <c r="E4634">
        <v>2</v>
      </c>
      <c r="F4634" t="s">
        <v>4755</v>
      </c>
    </row>
    <row r="4635" spans="1:6" x14ac:dyDescent="0.25">
      <c r="A4635" t="s">
        <v>4700</v>
      </c>
      <c r="B4635" t="s">
        <v>114</v>
      </c>
      <c r="C4635" t="s">
        <v>115</v>
      </c>
      <c r="D4635" t="str">
        <f>HYPERLINK("http://service.sap.com/sap/support/notes/1880492","1880492")</f>
        <v>1880492</v>
      </c>
      <c r="E4635">
        <v>1</v>
      </c>
      <c r="F4635" t="s">
        <v>4756</v>
      </c>
    </row>
    <row r="4636" spans="1:6" x14ac:dyDescent="0.25">
      <c r="A4636" t="s">
        <v>4700</v>
      </c>
      <c r="B4636" t="s">
        <v>114</v>
      </c>
      <c r="C4636" t="s">
        <v>115</v>
      </c>
      <c r="D4636" t="str">
        <f>HYPERLINK("http://service.sap.com/sap/support/notes/1880539","1880539")</f>
        <v>1880539</v>
      </c>
      <c r="E4636">
        <v>3</v>
      </c>
      <c r="F4636" t="s">
        <v>4757</v>
      </c>
    </row>
    <row r="4637" spans="1:6" x14ac:dyDescent="0.25">
      <c r="A4637" t="s">
        <v>4700</v>
      </c>
      <c r="B4637" t="s">
        <v>114</v>
      </c>
      <c r="C4637" t="s">
        <v>115</v>
      </c>
      <c r="D4637" t="str">
        <f>HYPERLINK("http://service.sap.com/sap/support/notes/1880608","1880608")</f>
        <v>1880608</v>
      </c>
      <c r="E4637">
        <v>1</v>
      </c>
      <c r="F4637" t="s">
        <v>4758</v>
      </c>
    </row>
    <row r="4638" spans="1:6" x14ac:dyDescent="0.25">
      <c r="A4638" t="s">
        <v>4700</v>
      </c>
      <c r="B4638" t="s">
        <v>114</v>
      </c>
      <c r="C4638" t="s">
        <v>115</v>
      </c>
      <c r="D4638" t="str">
        <f>HYPERLINK("http://service.sap.com/sap/support/notes/1880783","1880783")</f>
        <v>1880783</v>
      </c>
      <c r="E4638">
        <v>2</v>
      </c>
      <c r="F4638" t="s">
        <v>4759</v>
      </c>
    </row>
    <row r="4639" spans="1:6" x14ac:dyDescent="0.25">
      <c r="A4639" t="s">
        <v>4700</v>
      </c>
      <c r="B4639" t="s">
        <v>114</v>
      </c>
      <c r="C4639" t="s">
        <v>115</v>
      </c>
      <c r="D4639" t="str">
        <f>HYPERLINK("http://service.sap.com/sap/support/notes/1880853","1880853")</f>
        <v>1880853</v>
      </c>
      <c r="E4639">
        <v>2</v>
      </c>
      <c r="F4639" t="s">
        <v>4760</v>
      </c>
    </row>
    <row r="4640" spans="1:6" x14ac:dyDescent="0.25">
      <c r="A4640" t="s">
        <v>4700</v>
      </c>
      <c r="B4640" t="s">
        <v>114</v>
      </c>
      <c r="C4640" t="s">
        <v>115</v>
      </c>
      <c r="D4640" t="str">
        <f>HYPERLINK("http://service.sap.com/sap/support/notes/1880855","1880855")</f>
        <v>1880855</v>
      </c>
      <c r="E4640">
        <v>2</v>
      </c>
      <c r="F4640" t="s">
        <v>4761</v>
      </c>
    </row>
    <row r="4641" spans="1:6" x14ac:dyDescent="0.25">
      <c r="A4641" t="s">
        <v>4700</v>
      </c>
      <c r="B4641" t="s">
        <v>114</v>
      </c>
      <c r="C4641" t="s">
        <v>115</v>
      </c>
      <c r="D4641" t="str">
        <f>HYPERLINK("http://service.sap.com/sap/support/notes/1881204","1881204")</f>
        <v>1881204</v>
      </c>
      <c r="E4641">
        <v>1</v>
      </c>
      <c r="F4641" t="s">
        <v>4762</v>
      </c>
    </row>
    <row r="4642" spans="1:6" x14ac:dyDescent="0.25">
      <c r="A4642" t="s">
        <v>4700</v>
      </c>
      <c r="B4642" t="s">
        <v>114</v>
      </c>
      <c r="C4642" t="s">
        <v>115</v>
      </c>
      <c r="D4642" t="str">
        <f>HYPERLINK("http://service.sap.com/sap/support/notes/1881235","1881235")</f>
        <v>1881235</v>
      </c>
      <c r="E4642">
        <v>2</v>
      </c>
      <c r="F4642" t="s">
        <v>4763</v>
      </c>
    </row>
    <row r="4643" spans="1:6" x14ac:dyDescent="0.25">
      <c r="A4643" t="s">
        <v>4700</v>
      </c>
      <c r="B4643" t="s">
        <v>114</v>
      </c>
      <c r="C4643" t="s">
        <v>115</v>
      </c>
      <c r="D4643" t="str">
        <f>HYPERLINK("http://service.sap.com/sap/support/notes/1881614","1881614")</f>
        <v>1881614</v>
      </c>
      <c r="E4643">
        <v>3</v>
      </c>
      <c r="F4643" t="s">
        <v>4764</v>
      </c>
    </row>
    <row r="4644" spans="1:6" x14ac:dyDescent="0.25">
      <c r="A4644" t="s">
        <v>4700</v>
      </c>
      <c r="B4644" t="s">
        <v>114</v>
      </c>
      <c r="C4644" t="s">
        <v>115</v>
      </c>
      <c r="D4644" t="str">
        <f>HYPERLINK("http://service.sap.com/sap/support/notes/1882793","1882793")</f>
        <v>1882793</v>
      </c>
      <c r="E4644">
        <v>2</v>
      </c>
      <c r="F4644" t="s">
        <v>4765</v>
      </c>
    </row>
    <row r="4645" spans="1:6" x14ac:dyDescent="0.25">
      <c r="A4645" t="s">
        <v>4700</v>
      </c>
      <c r="B4645" t="s">
        <v>114</v>
      </c>
      <c r="C4645" t="s">
        <v>115</v>
      </c>
      <c r="D4645" t="str">
        <f>HYPERLINK("http://service.sap.com/sap/support/notes/1883396","1883396")</f>
        <v>1883396</v>
      </c>
      <c r="E4645">
        <v>1</v>
      </c>
      <c r="F4645" t="s">
        <v>4766</v>
      </c>
    </row>
    <row r="4646" spans="1:6" x14ac:dyDescent="0.25">
      <c r="A4646" t="s">
        <v>4700</v>
      </c>
      <c r="B4646" t="s">
        <v>114</v>
      </c>
      <c r="C4646" t="s">
        <v>115</v>
      </c>
      <c r="D4646" t="str">
        <f>HYPERLINK("http://service.sap.com/sap/support/notes/1883948","1883948")</f>
        <v>1883948</v>
      </c>
      <c r="E4646">
        <v>3</v>
      </c>
      <c r="F4646" t="s">
        <v>4767</v>
      </c>
    </row>
    <row r="4647" spans="1:6" x14ac:dyDescent="0.25">
      <c r="A4647" t="s">
        <v>4700</v>
      </c>
      <c r="B4647" t="s">
        <v>114</v>
      </c>
      <c r="C4647" t="s">
        <v>115</v>
      </c>
      <c r="D4647" t="str">
        <f>HYPERLINK("http://service.sap.com/sap/support/notes/1884411","1884411")</f>
        <v>1884411</v>
      </c>
      <c r="E4647">
        <v>2</v>
      </c>
      <c r="F4647" t="s">
        <v>4768</v>
      </c>
    </row>
    <row r="4648" spans="1:6" x14ac:dyDescent="0.25">
      <c r="A4648" t="s">
        <v>4700</v>
      </c>
      <c r="B4648" t="s">
        <v>114</v>
      </c>
      <c r="C4648" t="s">
        <v>115</v>
      </c>
      <c r="D4648" t="str">
        <f>HYPERLINK("http://service.sap.com/sap/support/notes/1884994","1884994")</f>
        <v>1884994</v>
      </c>
      <c r="E4648">
        <v>3</v>
      </c>
      <c r="F4648" t="s">
        <v>4769</v>
      </c>
    </row>
    <row r="4649" spans="1:6" x14ac:dyDescent="0.25">
      <c r="A4649" t="s">
        <v>4700</v>
      </c>
      <c r="B4649" t="s">
        <v>114</v>
      </c>
      <c r="C4649" t="s">
        <v>115</v>
      </c>
      <c r="D4649" t="str">
        <f>HYPERLINK("http://service.sap.com/sap/support/notes/1885623","1885623")</f>
        <v>1885623</v>
      </c>
      <c r="E4649">
        <v>4</v>
      </c>
      <c r="F4649" t="s">
        <v>4770</v>
      </c>
    </row>
    <row r="4650" spans="1:6" x14ac:dyDescent="0.25">
      <c r="A4650" t="s">
        <v>4700</v>
      </c>
      <c r="B4650" t="s">
        <v>114</v>
      </c>
      <c r="C4650" t="s">
        <v>115</v>
      </c>
      <c r="D4650" t="str">
        <f>HYPERLINK("http://service.sap.com/sap/support/notes/1886054","1886054")</f>
        <v>1886054</v>
      </c>
      <c r="E4650">
        <v>1</v>
      </c>
      <c r="F4650" t="s">
        <v>4771</v>
      </c>
    </row>
    <row r="4651" spans="1:6" x14ac:dyDescent="0.25">
      <c r="A4651" t="s">
        <v>4700</v>
      </c>
      <c r="B4651" t="s">
        <v>114</v>
      </c>
      <c r="C4651" t="s">
        <v>115</v>
      </c>
      <c r="D4651" t="str">
        <f>HYPERLINK("http://service.sap.com/sap/support/notes/1889238","1889238")</f>
        <v>1889238</v>
      </c>
      <c r="E4651">
        <v>1</v>
      </c>
      <c r="F4651" t="s">
        <v>4772</v>
      </c>
    </row>
    <row r="4652" spans="1:6" x14ac:dyDescent="0.25">
      <c r="A4652" t="s">
        <v>4700</v>
      </c>
      <c r="B4652" t="s">
        <v>127</v>
      </c>
      <c r="C4652" t="s">
        <v>128</v>
      </c>
      <c r="D4652" t="str">
        <f>HYPERLINK("http://service.sap.com/sap/support/notes/1886958","1886958")</f>
        <v>1886958</v>
      </c>
      <c r="E4652">
        <v>2</v>
      </c>
      <c r="F4652" t="s">
        <v>4773</v>
      </c>
    </row>
    <row r="4653" spans="1:6" x14ac:dyDescent="0.25">
      <c r="A4653" t="s">
        <v>4700</v>
      </c>
      <c r="B4653" t="s">
        <v>3967</v>
      </c>
      <c r="C4653" t="s">
        <v>4429</v>
      </c>
      <c r="D4653" t="str">
        <f>HYPERLINK("http://service.sap.com/sap/support/notes/1884640","1884640")</f>
        <v>1884640</v>
      </c>
      <c r="E4653">
        <v>1</v>
      </c>
      <c r="F4653" t="s">
        <v>4774</v>
      </c>
    </row>
    <row r="4654" spans="1:6" x14ac:dyDescent="0.25">
      <c r="A4654" t="s">
        <v>4700</v>
      </c>
      <c r="B4654" t="s">
        <v>131</v>
      </c>
      <c r="C4654" t="s">
        <v>132</v>
      </c>
      <c r="D4654" t="str">
        <f>HYPERLINK("http://service.sap.com/sap/support/notes/1848872","1848872")</f>
        <v>1848872</v>
      </c>
      <c r="E4654">
        <v>2</v>
      </c>
      <c r="F4654" t="s">
        <v>4775</v>
      </c>
    </row>
    <row r="4655" spans="1:6" x14ac:dyDescent="0.25">
      <c r="A4655" t="s">
        <v>4700</v>
      </c>
      <c r="B4655" t="s">
        <v>131</v>
      </c>
      <c r="C4655" t="s">
        <v>132</v>
      </c>
      <c r="D4655" t="str">
        <f>HYPERLINK("http://service.sap.com/sap/support/notes/1855116","1855116")</f>
        <v>1855116</v>
      </c>
      <c r="E4655">
        <v>2</v>
      </c>
      <c r="F4655" t="s">
        <v>4776</v>
      </c>
    </row>
    <row r="4656" spans="1:6" x14ac:dyDescent="0.25">
      <c r="A4656" t="s">
        <v>4700</v>
      </c>
      <c r="B4656" t="s">
        <v>131</v>
      </c>
      <c r="C4656" t="s">
        <v>132</v>
      </c>
      <c r="D4656" t="str">
        <f>HYPERLINK("http://service.sap.com/sap/support/notes/1865500","1865500")</f>
        <v>1865500</v>
      </c>
      <c r="E4656">
        <v>5</v>
      </c>
      <c r="F4656" t="s">
        <v>4777</v>
      </c>
    </row>
    <row r="4657" spans="1:6" x14ac:dyDescent="0.25">
      <c r="A4657" t="s">
        <v>4700</v>
      </c>
      <c r="B4657" t="s">
        <v>131</v>
      </c>
      <c r="C4657" t="s">
        <v>132</v>
      </c>
      <c r="D4657" t="str">
        <f>HYPERLINK("http://service.sap.com/sap/support/notes/1868821","1868821")</f>
        <v>1868821</v>
      </c>
      <c r="E4657">
        <v>5</v>
      </c>
      <c r="F4657" t="s">
        <v>4778</v>
      </c>
    </row>
    <row r="4658" spans="1:6" x14ac:dyDescent="0.25">
      <c r="A4658" t="s">
        <v>4700</v>
      </c>
      <c r="B4658" t="s">
        <v>131</v>
      </c>
      <c r="C4658" t="s">
        <v>132</v>
      </c>
      <c r="D4658" t="str">
        <f>HYPERLINK("http://service.sap.com/sap/support/notes/1872893","1872893")</f>
        <v>1872893</v>
      </c>
      <c r="E4658">
        <v>5</v>
      </c>
      <c r="F4658" t="s">
        <v>4779</v>
      </c>
    </row>
    <row r="4659" spans="1:6" x14ac:dyDescent="0.25">
      <c r="A4659" t="s">
        <v>4700</v>
      </c>
      <c r="B4659" t="s">
        <v>131</v>
      </c>
      <c r="C4659" t="s">
        <v>132</v>
      </c>
      <c r="D4659" t="str">
        <f>HYPERLINK("http://service.sap.com/sap/support/notes/1873610","1873610")</f>
        <v>1873610</v>
      </c>
      <c r="E4659">
        <v>4</v>
      </c>
      <c r="F4659" t="s">
        <v>4780</v>
      </c>
    </row>
    <row r="4660" spans="1:6" x14ac:dyDescent="0.25">
      <c r="A4660" t="s">
        <v>4700</v>
      </c>
      <c r="B4660" t="s">
        <v>131</v>
      </c>
      <c r="C4660" t="s">
        <v>132</v>
      </c>
      <c r="D4660" t="str">
        <f>HYPERLINK("http://service.sap.com/sap/support/notes/1873767","1873767")</f>
        <v>1873767</v>
      </c>
      <c r="E4660">
        <v>1</v>
      </c>
      <c r="F4660" t="s">
        <v>4781</v>
      </c>
    </row>
    <row r="4661" spans="1:6" x14ac:dyDescent="0.25">
      <c r="A4661" t="s">
        <v>4700</v>
      </c>
      <c r="B4661" t="s">
        <v>131</v>
      </c>
      <c r="C4661" t="s">
        <v>132</v>
      </c>
      <c r="D4661" t="str">
        <f>HYPERLINK("http://service.sap.com/sap/support/notes/1875704","1875704")</f>
        <v>1875704</v>
      </c>
      <c r="E4661">
        <v>4</v>
      </c>
      <c r="F4661" t="s">
        <v>4782</v>
      </c>
    </row>
    <row r="4662" spans="1:6" x14ac:dyDescent="0.25">
      <c r="A4662" t="s">
        <v>4700</v>
      </c>
      <c r="B4662" t="s">
        <v>131</v>
      </c>
      <c r="C4662" t="s">
        <v>132</v>
      </c>
      <c r="D4662" t="str">
        <f>HYPERLINK("http://service.sap.com/sap/support/notes/1876075","1876075")</f>
        <v>1876075</v>
      </c>
      <c r="E4662">
        <v>3</v>
      </c>
      <c r="F4662" t="s">
        <v>4783</v>
      </c>
    </row>
    <row r="4663" spans="1:6" x14ac:dyDescent="0.25">
      <c r="A4663" t="s">
        <v>4700</v>
      </c>
      <c r="B4663" t="s">
        <v>131</v>
      </c>
      <c r="C4663" t="s">
        <v>132</v>
      </c>
      <c r="D4663" t="str">
        <f>HYPERLINK("http://service.sap.com/sap/support/notes/1879543","1879543")</f>
        <v>1879543</v>
      </c>
      <c r="E4663">
        <v>3</v>
      </c>
      <c r="F4663" t="s">
        <v>4784</v>
      </c>
    </row>
    <row r="4664" spans="1:6" x14ac:dyDescent="0.25">
      <c r="A4664" t="s">
        <v>4700</v>
      </c>
      <c r="B4664" t="s">
        <v>131</v>
      </c>
      <c r="C4664" t="s">
        <v>132</v>
      </c>
      <c r="D4664" t="str">
        <f>HYPERLINK("http://service.sap.com/sap/support/notes/1880850","1880850")</f>
        <v>1880850</v>
      </c>
      <c r="E4664">
        <v>3</v>
      </c>
      <c r="F4664" t="s">
        <v>4785</v>
      </c>
    </row>
    <row r="4665" spans="1:6" x14ac:dyDescent="0.25">
      <c r="A4665" t="s">
        <v>4700</v>
      </c>
      <c r="B4665" t="s">
        <v>131</v>
      </c>
      <c r="C4665" t="s">
        <v>132</v>
      </c>
      <c r="D4665" t="str">
        <f>HYPERLINK("http://service.sap.com/sap/support/notes/1881589","1881589")</f>
        <v>1881589</v>
      </c>
      <c r="E4665">
        <v>2</v>
      </c>
      <c r="F4665" t="s">
        <v>4786</v>
      </c>
    </row>
    <row r="4666" spans="1:6" x14ac:dyDescent="0.25">
      <c r="A4666" t="s">
        <v>4700</v>
      </c>
      <c r="B4666" t="s">
        <v>131</v>
      </c>
      <c r="C4666" t="s">
        <v>132</v>
      </c>
      <c r="D4666" t="str">
        <f>HYPERLINK("http://service.sap.com/sap/support/notes/1881886","1881886")</f>
        <v>1881886</v>
      </c>
      <c r="E4666">
        <v>3</v>
      </c>
      <c r="F4666" t="s">
        <v>4787</v>
      </c>
    </row>
    <row r="4667" spans="1:6" x14ac:dyDescent="0.25">
      <c r="A4667" t="s">
        <v>4700</v>
      </c>
      <c r="B4667" t="s">
        <v>131</v>
      </c>
      <c r="C4667" t="s">
        <v>132</v>
      </c>
      <c r="D4667" t="str">
        <f>HYPERLINK("http://service.sap.com/sap/support/notes/1883848","1883848")</f>
        <v>1883848</v>
      </c>
      <c r="E4667">
        <v>2</v>
      </c>
      <c r="F4667" t="s">
        <v>4788</v>
      </c>
    </row>
    <row r="4668" spans="1:6" x14ac:dyDescent="0.25">
      <c r="A4668" t="s">
        <v>4700</v>
      </c>
      <c r="B4668" t="s">
        <v>131</v>
      </c>
      <c r="C4668" t="s">
        <v>132</v>
      </c>
      <c r="D4668" t="str">
        <f>HYPERLINK("http://service.sap.com/sap/support/notes/1883861","1883861")</f>
        <v>1883861</v>
      </c>
      <c r="E4668">
        <v>2</v>
      </c>
      <c r="F4668" t="s">
        <v>4789</v>
      </c>
    </row>
    <row r="4669" spans="1:6" x14ac:dyDescent="0.25">
      <c r="A4669" t="s">
        <v>4700</v>
      </c>
      <c r="B4669" t="s">
        <v>131</v>
      </c>
      <c r="C4669" t="s">
        <v>132</v>
      </c>
      <c r="D4669" t="str">
        <f>HYPERLINK("http://service.sap.com/sap/support/notes/1885956","1885956")</f>
        <v>1885956</v>
      </c>
      <c r="E4669">
        <v>4</v>
      </c>
      <c r="F4669" t="s">
        <v>4790</v>
      </c>
    </row>
    <row r="4670" spans="1:6" x14ac:dyDescent="0.25">
      <c r="A4670" t="s">
        <v>4700</v>
      </c>
      <c r="B4670" t="s">
        <v>703</v>
      </c>
      <c r="C4670" t="s">
        <v>128</v>
      </c>
      <c r="D4670" t="str">
        <f>HYPERLINK("http://service.sap.com/sap/support/notes/1867133","1867133")</f>
        <v>1867133</v>
      </c>
      <c r="E4670">
        <v>3</v>
      </c>
      <c r="F4670" t="s">
        <v>4447</v>
      </c>
    </row>
    <row r="4671" spans="1:6" x14ac:dyDescent="0.25">
      <c r="A4671" t="s">
        <v>4700</v>
      </c>
      <c r="B4671" t="s">
        <v>144</v>
      </c>
      <c r="C4671" t="s">
        <v>145</v>
      </c>
      <c r="D4671" t="str">
        <f>HYPERLINK("http://service.sap.com/sap/support/notes/1747399","1747399")</f>
        <v>1747399</v>
      </c>
      <c r="E4671">
        <v>4</v>
      </c>
      <c r="F4671" t="s">
        <v>4791</v>
      </c>
    </row>
    <row r="4672" spans="1:6" x14ac:dyDescent="0.25">
      <c r="A4672" t="s">
        <v>4700</v>
      </c>
      <c r="B4672" t="s">
        <v>144</v>
      </c>
      <c r="C4672" t="s">
        <v>145</v>
      </c>
      <c r="D4672" t="str">
        <f>HYPERLINK("http://service.sap.com/sap/support/notes/1819195","1819195")</f>
        <v>1819195</v>
      </c>
      <c r="E4672">
        <v>2</v>
      </c>
      <c r="F4672" t="s">
        <v>4792</v>
      </c>
    </row>
    <row r="4673" spans="1:6" x14ac:dyDescent="0.25">
      <c r="A4673" t="s">
        <v>4700</v>
      </c>
      <c r="B4673" t="s">
        <v>144</v>
      </c>
      <c r="C4673" t="s">
        <v>145</v>
      </c>
      <c r="D4673" t="str">
        <f>HYPERLINK("http://service.sap.com/sap/support/notes/1831715","1831715")</f>
        <v>1831715</v>
      </c>
      <c r="E4673">
        <v>2</v>
      </c>
      <c r="F4673" t="s">
        <v>4793</v>
      </c>
    </row>
    <row r="4674" spans="1:6" x14ac:dyDescent="0.25">
      <c r="A4674" t="s">
        <v>4700</v>
      </c>
      <c r="B4674" t="s">
        <v>144</v>
      </c>
      <c r="C4674" t="s">
        <v>145</v>
      </c>
      <c r="D4674" t="str">
        <f>HYPERLINK("http://service.sap.com/sap/support/notes/1841900","1841900")</f>
        <v>1841900</v>
      </c>
      <c r="E4674">
        <v>2</v>
      </c>
      <c r="F4674" t="s">
        <v>4794</v>
      </c>
    </row>
    <row r="4675" spans="1:6" x14ac:dyDescent="0.25">
      <c r="A4675" t="s">
        <v>4700</v>
      </c>
      <c r="B4675" t="s">
        <v>144</v>
      </c>
      <c r="C4675" t="s">
        <v>145</v>
      </c>
      <c r="D4675" t="str">
        <f>HYPERLINK("http://service.sap.com/sap/support/notes/1852567","1852567")</f>
        <v>1852567</v>
      </c>
      <c r="E4675">
        <v>3</v>
      </c>
      <c r="F4675" t="s">
        <v>4795</v>
      </c>
    </row>
    <row r="4676" spans="1:6" x14ac:dyDescent="0.25">
      <c r="A4676" t="s">
        <v>4700</v>
      </c>
      <c r="B4676" t="s">
        <v>144</v>
      </c>
      <c r="C4676" t="s">
        <v>145</v>
      </c>
      <c r="D4676" t="str">
        <f>HYPERLINK("http://service.sap.com/sap/support/notes/1879792","1879792")</f>
        <v>1879792</v>
      </c>
      <c r="E4676">
        <v>3</v>
      </c>
      <c r="F4676" t="s">
        <v>4796</v>
      </c>
    </row>
    <row r="4677" spans="1:6" x14ac:dyDescent="0.25">
      <c r="A4677" t="s">
        <v>4700</v>
      </c>
      <c r="B4677" t="s">
        <v>150</v>
      </c>
      <c r="C4677" t="s">
        <v>151</v>
      </c>
      <c r="D4677" t="str">
        <f>HYPERLINK("http://service.sap.com/sap/support/notes/1846306","1846306")</f>
        <v>1846306</v>
      </c>
      <c r="E4677">
        <v>4</v>
      </c>
      <c r="F4677" t="s">
        <v>4797</v>
      </c>
    </row>
    <row r="4678" spans="1:6" x14ac:dyDescent="0.25">
      <c r="A4678" t="s">
        <v>4700</v>
      </c>
      <c r="B4678" t="s">
        <v>150</v>
      </c>
      <c r="C4678" t="s">
        <v>151</v>
      </c>
      <c r="D4678" t="str">
        <f>HYPERLINK("http://service.sap.com/sap/support/notes/1865613","1865613")</f>
        <v>1865613</v>
      </c>
      <c r="E4678">
        <v>2</v>
      </c>
      <c r="F4678" t="s">
        <v>4798</v>
      </c>
    </row>
    <row r="4679" spans="1:6" x14ac:dyDescent="0.25">
      <c r="A4679" t="s">
        <v>4700</v>
      </c>
      <c r="B4679" t="s">
        <v>150</v>
      </c>
      <c r="C4679" t="s">
        <v>151</v>
      </c>
      <c r="D4679" t="str">
        <f>HYPERLINK("http://service.sap.com/sap/support/notes/1869671","1869671")</f>
        <v>1869671</v>
      </c>
      <c r="E4679">
        <v>2</v>
      </c>
      <c r="F4679" t="s">
        <v>4799</v>
      </c>
    </row>
    <row r="4680" spans="1:6" x14ac:dyDescent="0.25">
      <c r="A4680" t="s">
        <v>4700</v>
      </c>
      <c r="B4680" t="s">
        <v>150</v>
      </c>
      <c r="C4680" t="s">
        <v>151</v>
      </c>
      <c r="D4680" t="str">
        <f>HYPERLINK("http://service.sap.com/sap/support/notes/1883036","1883036")</f>
        <v>1883036</v>
      </c>
      <c r="E4680">
        <v>2</v>
      </c>
      <c r="F4680" t="s">
        <v>4800</v>
      </c>
    </row>
    <row r="4681" spans="1:6" x14ac:dyDescent="0.25">
      <c r="A4681" t="s">
        <v>4700</v>
      </c>
      <c r="B4681" t="s">
        <v>155</v>
      </c>
      <c r="C4681" t="s">
        <v>156</v>
      </c>
      <c r="D4681" t="str">
        <f>HYPERLINK("http://service.sap.com/sap/support/notes/1854051","1854051")</f>
        <v>1854051</v>
      </c>
      <c r="E4681">
        <v>4</v>
      </c>
      <c r="F4681" t="s">
        <v>4801</v>
      </c>
    </row>
    <row r="4682" spans="1:6" x14ac:dyDescent="0.25">
      <c r="A4682" t="s">
        <v>4700</v>
      </c>
      <c r="B4682" t="s">
        <v>155</v>
      </c>
      <c r="C4682" t="s">
        <v>156</v>
      </c>
      <c r="D4682" t="str">
        <f>HYPERLINK("http://service.sap.com/sap/support/notes/1875286","1875286")</f>
        <v>1875286</v>
      </c>
      <c r="E4682">
        <v>2</v>
      </c>
      <c r="F4682" t="s">
        <v>4802</v>
      </c>
    </row>
    <row r="4683" spans="1:6" x14ac:dyDescent="0.25">
      <c r="A4683" t="s">
        <v>4700</v>
      </c>
      <c r="B4683" t="s">
        <v>159</v>
      </c>
      <c r="C4683" t="s">
        <v>160</v>
      </c>
      <c r="D4683" t="str">
        <f>HYPERLINK("http://service.sap.com/sap/support/notes/1875467","1875467")</f>
        <v>1875467</v>
      </c>
      <c r="E4683">
        <v>2</v>
      </c>
      <c r="F4683" t="s">
        <v>4803</v>
      </c>
    </row>
    <row r="4684" spans="1:6" x14ac:dyDescent="0.25">
      <c r="A4684" t="s">
        <v>4700</v>
      </c>
      <c r="B4684" t="s">
        <v>159</v>
      </c>
      <c r="C4684" t="s">
        <v>160</v>
      </c>
      <c r="D4684" t="str">
        <f>HYPERLINK("http://service.sap.com/sap/support/notes/1876491","1876491")</f>
        <v>1876491</v>
      </c>
      <c r="E4684">
        <v>1</v>
      </c>
      <c r="F4684" t="s">
        <v>4804</v>
      </c>
    </row>
    <row r="4685" spans="1:6" x14ac:dyDescent="0.25">
      <c r="A4685" t="s">
        <v>4700</v>
      </c>
      <c r="B4685" t="s">
        <v>159</v>
      </c>
      <c r="C4685" t="s">
        <v>160</v>
      </c>
      <c r="D4685" t="str">
        <f>HYPERLINK("http://service.sap.com/sap/support/notes/1883215","1883215")</f>
        <v>1883215</v>
      </c>
      <c r="E4685">
        <v>2</v>
      </c>
      <c r="F4685" t="s">
        <v>4805</v>
      </c>
    </row>
    <row r="4686" spans="1:6" x14ac:dyDescent="0.25">
      <c r="A4686" t="s">
        <v>4700</v>
      </c>
      <c r="B4686" t="s">
        <v>165</v>
      </c>
      <c r="C4686" t="s">
        <v>31</v>
      </c>
      <c r="D4686" t="str">
        <f>HYPERLINK("http://service.sap.com/sap/support/notes/1867611","1867611")</f>
        <v>1867611</v>
      </c>
      <c r="E4686">
        <v>5</v>
      </c>
      <c r="F4686" t="s">
        <v>4806</v>
      </c>
    </row>
    <row r="4687" spans="1:6" x14ac:dyDescent="0.25">
      <c r="A4687" t="s">
        <v>4700</v>
      </c>
      <c r="B4687" t="s">
        <v>165</v>
      </c>
      <c r="C4687" t="s">
        <v>31</v>
      </c>
      <c r="D4687" t="str">
        <f>HYPERLINK("http://service.sap.com/sap/support/notes/1873855","1873855")</f>
        <v>1873855</v>
      </c>
      <c r="E4687">
        <v>3</v>
      </c>
      <c r="F4687" t="s">
        <v>4807</v>
      </c>
    </row>
    <row r="4688" spans="1:6" x14ac:dyDescent="0.25">
      <c r="A4688" t="s">
        <v>4700</v>
      </c>
      <c r="B4688" t="s">
        <v>169</v>
      </c>
      <c r="C4688" t="s">
        <v>34</v>
      </c>
      <c r="D4688" t="str">
        <f>HYPERLINK("http://service.sap.com/sap/support/notes/1877380","1877380")</f>
        <v>1877380</v>
      </c>
      <c r="E4688">
        <v>1</v>
      </c>
      <c r="F4688" t="s">
        <v>4808</v>
      </c>
    </row>
    <row r="4689" spans="1:6" x14ac:dyDescent="0.25">
      <c r="A4689" t="s">
        <v>4700</v>
      </c>
      <c r="B4689" t="s">
        <v>169</v>
      </c>
      <c r="C4689" t="s">
        <v>34</v>
      </c>
      <c r="D4689" t="str">
        <f>HYPERLINK("http://service.sap.com/sap/support/notes/1878206","1878206")</f>
        <v>1878206</v>
      </c>
      <c r="E4689">
        <v>1</v>
      </c>
      <c r="F4689" t="s">
        <v>4809</v>
      </c>
    </row>
    <row r="4690" spans="1:6" x14ac:dyDescent="0.25">
      <c r="A4690" t="s">
        <v>4700</v>
      </c>
      <c r="B4690" t="s">
        <v>175</v>
      </c>
      <c r="C4690" t="s">
        <v>176</v>
      </c>
      <c r="D4690" t="str">
        <f>HYPERLINK("http://service.sap.com/sap/support/notes/1883810","1883810")</f>
        <v>1883810</v>
      </c>
      <c r="E4690">
        <v>1</v>
      </c>
      <c r="F4690" t="s">
        <v>4810</v>
      </c>
    </row>
    <row r="4691" spans="1:6" x14ac:dyDescent="0.25">
      <c r="A4691" t="s">
        <v>4700</v>
      </c>
      <c r="B4691" t="s">
        <v>177</v>
      </c>
      <c r="C4691" t="s">
        <v>178</v>
      </c>
      <c r="D4691" t="str">
        <f>HYPERLINK("http://service.sap.com/sap/support/notes/1867304","1867304")</f>
        <v>1867304</v>
      </c>
      <c r="E4691">
        <v>1</v>
      </c>
      <c r="F4691" t="s">
        <v>4811</v>
      </c>
    </row>
    <row r="4692" spans="1:6" x14ac:dyDescent="0.25">
      <c r="A4692" t="s">
        <v>4700</v>
      </c>
      <c r="B4692" t="s">
        <v>177</v>
      </c>
      <c r="C4692" t="s">
        <v>178</v>
      </c>
      <c r="D4692" t="str">
        <f>HYPERLINK("http://service.sap.com/sap/support/notes/1874910","1874910")</f>
        <v>1874910</v>
      </c>
      <c r="E4692">
        <v>6</v>
      </c>
      <c r="F4692" t="s">
        <v>4812</v>
      </c>
    </row>
    <row r="4693" spans="1:6" x14ac:dyDescent="0.25">
      <c r="A4693" t="s">
        <v>4700</v>
      </c>
      <c r="B4693" t="s">
        <v>180</v>
      </c>
      <c r="C4693" t="s">
        <v>181</v>
      </c>
      <c r="D4693" t="str">
        <f>HYPERLINK("http://service.sap.com/sap/support/notes/1864758","1864758")</f>
        <v>1864758</v>
      </c>
      <c r="E4693">
        <v>2</v>
      </c>
      <c r="F4693" t="s">
        <v>4813</v>
      </c>
    </row>
    <row r="4694" spans="1:6" x14ac:dyDescent="0.25">
      <c r="A4694" t="s">
        <v>4700</v>
      </c>
      <c r="B4694" t="s">
        <v>180</v>
      </c>
      <c r="C4694" t="s">
        <v>181</v>
      </c>
      <c r="D4694" t="str">
        <f>HYPERLINK("http://service.sap.com/sap/support/notes/1873267","1873267")</f>
        <v>1873267</v>
      </c>
      <c r="E4694">
        <v>1</v>
      </c>
      <c r="F4694" t="s">
        <v>4814</v>
      </c>
    </row>
    <row r="4695" spans="1:6" x14ac:dyDescent="0.25">
      <c r="A4695" t="s">
        <v>4700</v>
      </c>
      <c r="B4695" t="s">
        <v>180</v>
      </c>
      <c r="C4695" t="s">
        <v>181</v>
      </c>
      <c r="D4695" t="str">
        <f>HYPERLINK("http://service.sap.com/sap/support/notes/1876437","1876437")</f>
        <v>1876437</v>
      </c>
      <c r="E4695">
        <v>7</v>
      </c>
      <c r="F4695" t="s">
        <v>4815</v>
      </c>
    </row>
    <row r="4696" spans="1:6" x14ac:dyDescent="0.25">
      <c r="A4696" t="s">
        <v>4700</v>
      </c>
      <c r="B4696" t="s">
        <v>180</v>
      </c>
      <c r="C4696" t="s">
        <v>181</v>
      </c>
      <c r="D4696" t="str">
        <f>HYPERLINK("http://service.sap.com/sap/support/notes/1881592","1881592")</f>
        <v>1881592</v>
      </c>
      <c r="E4696">
        <v>3</v>
      </c>
      <c r="F4696" t="s">
        <v>4816</v>
      </c>
    </row>
    <row r="4697" spans="1:6" x14ac:dyDescent="0.25">
      <c r="A4697" t="s">
        <v>4700</v>
      </c>
      <c r="B4697" t="s">
        <v>180</v>
      </c>
      <c r="C4697" t="s">
        <v>181</v>
      </c>
      <c r="D4697" t="str">
        <f>HYPERLINK("http://service.sap.com/sap/support/notes/1883843","1883843")</f>
        <v>1883843</v>
      </c>
      <c r="E4697">
        <v>2</v>
      </c>
      <c r="F4697" t="s">
        <v>4817</v>
      </c>
    </row>
    <row r="4698" spans="1:6" x14ac:dyDescent="0.25">
      <c r="A4698" t="s">
        <v>4700</v>
      </c>
      <c r="B4698" t="s">
        <v>180</v>
      </c>
      <c r="C4698" t="s">
        <v>181</v>
      </c>
      <c r="D4698" t="str">
        <f>HYPERLINK("http://service.sap.com/sap/support/notes/1885231","1885231")</f>
        <v>1885231</v>
      </c>
      <c r="E4698">
        <v>2</v>
      </c>
      <c r="F4698" t="s">
        <v>4818</v>
      </c>
    </row>
    <row r="4699" spans="1:6" x14ac:dyDescent="0.25">
      <c r="A4699" t="s">
        <v>4700</v>
      </c>
      <c r="B4699" t="s">
        <v>183</v>
      </c>
      <c r="C4699" t="s">
        <v>184</v>
      </c>
    </row>
    <row r="4700" spans="1:6" x14ac:dyDescent="0.25">
      <c r="A4700" t="s">
        <v>4700</v>
      </c>
      <c r="B4700" t="s">
        <v>576</v>
      </c>
      <c r="C4700" t="s">
        <v>577</v>
      </c>
      <c r="D4700" t="str">
        <f>HYPERLINK("http://service.sap.com/sap/support/notes/1860139","1860139")</f>
        <v>1860139</v>
      </c>
      <c r="E4700">
        <v>3</v>
      </c>
      <c r="F4700" t="s">
        <v>4476</v>
      </c>
    </row>
    <row r="4701" spans="1:6" x14ac:dyDescent="0.25">
      <c r="A4701" t="s">
        <v>4700</v>
      </c>
      <c r="B4701" t="s">
        <v>1522</v>
      </c>
      <c r="C4701" t="s">
        <v>1523</v>
      </c>
      <c r="D4701" t="str">
        <f>HYPERLINK("http://service.sap.com/sap/support/notes/1880902","1880902")</f>
        <v>1880902</v>
      </c>
      <c r="E4701">
        <v>2</v>
      </c>
      <c r="F4701" t="s">
        <v>4819</v>
      </c>
    </row>
    <row r="4702" spans="1:6" x14ac:dyDescent="0.25">
      <c r="A4702" t="s">
        <v>4700</v>
      </c>
      <c r="B4702" t="s">
        <v>1522</v>
      </c>
      <c r="C4702" t="s">
        <v>1523</v>
      </c>
      <c r="D4702" t="str">
        <f>HYPERLINK("http://service.sap.com/sap/support/notes/1888541","1888541")</f>
        <v>1888541</v>
      </c>
      <c r="E4702">
        <v>1</v>
      </c>
      <c r="F4702" t="s">
        <v>4820</v>
      </c>
    </row>
    <row r="4703" spans="1:6" x14ac:dyDescent="0.25">
      <c r="A4703" t="s">
        <v>4700</v>
      </c>
      <c r="B4703" t="s">
        <v>185</v>
      </c>
      <c r="C4703" t="s">
        <v>186</v>
      </c>
      <c r="D4703" t="str">
        <f>HYPERLINK("http://service.sap.com/sap/support/notes/1875843","1875843")</f>
        <v>1875843</v>
      </c>
      <c r="E4703">
        <v>6</v>
      </c>
      <c r="F4703" t="s">
        <v>4821</v>
      </c>
    </row>
    <row r="4704" spans="1:6" x14ac:dyDescent="0.25">
      <c r="A4704" t="s">
        <v>4700</v>
      </c>
      <c r="B4704" t="s">
        <v>578</v>
      </c>
      <c r="C4704" t="s">
        <v>4485</v>
      </c>
      <c r="D4704" t="str">
        <f>HYPERLINK("http://service.sap.com/sap/support/notes/1879816","1879816")</f>
        <v>1879816</v>
      </c>
      <c r="E4704">
        <v>16</v>
      </c>
      <c r="F4704" t="s">
        <v>4822</v>
      </c>
    </row>
    <row r="4705" spans="1:6" x14ac:dyDescent="0.25">
      <c r="A4705" t="s">
        <v>4700</v>
      </c>
      <c r="B4705" t="s">
        <v>191</v>
      </c>
      <c r="C4705" t="s">
        <v>192</v>
      </c>
    </row>
    <row r="4706" spans="1:6" x14ac:dyDescent="0.25">
      <c r="A4706" t="s">
        <v>4700</v>
      </c>
      <c r="B4706" t="s">
        <v>4040</v>
      </c>
      <c r="C4706" t="s">
        <v>4487</v>
      </c>
      <c r="D4706" t="str">
        <f>HYPERLINK("http://service.sap.com/sap/support/notes/1876407","1876407")</f>
        <v>1876407</v>
      </c>
      <c r="E4706">
        <v>2</v>
      </c>
      <c r="F4706" t="s">
        <v>4823</v>
      </c>
    </row>
    <row r="4707" spans="1:6" x14ac:dyDescent="0.25">
      <c r="A4707" t="s">
        <v>4700</v>
      </c>
      <c r="B4707" t="s">
        <v>4040</v>
      </c>
      <c r="C4707" t="s">
        <v>4487</v>
      </c>
      <c r="D4707" t="str">
        <f>HYPERLINK("http://service.sap.com/sap/support/notes/1880952","1880952")</f>
        <v>1880952</v>
      </c>
      <c r="E4707">
        <v>2</v>
      </c>
      <c r="F4707" t="s">
        <v>4824</v>
      </c>
    </row>
    <row r="4708" spans="1:6" x14ac:dyDescent="0.25">
      <c r="A4708" t="s">
        <v>4700</v>
      </c>
      <c r="B4708" t="s">
        <v>195</v>
      </c>
      <c r="C4708" t="s">
        <v>196</v>
      </c>
    </row>
    <row r="4709" spans="1:6" x14ac:dyDescent="0.25">
      <c r="A4709" t="s">
        <v>4700</v>
      </c>
      <c r="B4709" t="s">
        <v>664</v>
      </c>
      <c r="C4709" t="s">
        <v>665</v>
      </c>
      <c r="D4709" t="str">
        <f>HYPERLINK("http://service.sap.com/sap/support/notes/1410935","1410935")</f>
        <v>1410935</v>
      </c>
      <c r="E4709">
        <v>1</v>
      </c>
      <c r="F4709" t="s">
        <v>4825</v>
      </c>
    </row>
    <row r="4710" spans="1:6" x14ac:dyDescent="0.25">
      <c r="A4710" t="s">
        <v>4700</v>
      </c>
      <c r="B4710" t="s">
        <v>197</v>
      </c>
      <c r="C4710" t="s">
        <v>198</v>
      </c>
      <c r="D4710" t="str">
        <f>HYPERLINK("http://service.sap.com/sap/support/notes/1866066","1866066")</f>
        <v>1866066</v>
      </c>
      <c r="E4710">
        <v>3</v>
      </c>
      <c r="F4710" t="s">
        <v>4826</v>
      </c>
    </row>
    <row r="4711" spans="1:6" x14ac:dyDescent="0.25">
      <c r="A4711" t="s">
        <v>4700</v>
      </c>
      <c r="B4711" t="s">
        <v>666</v>
      </c>
      <c r="C4711" t="s">
        <v>667</v>
      </c>
      <c r="D4711" t="str">
        <f>HYPERLINK("http://service.sap.com/sap/support/notes/146944","146944")</f>
        <v>146944</v>
      </c>
      <c r="E4711">
        <v>32</v>
      </c>
      <c r="F4711" t="s">
        <v>2145</v>
      </c>
    </row>
    <row r="4712" spans="1:6" x14ac:dyDescent="0.25">
      <c r="A4712" t="s">
        <v>4700</v>
      </c>
      <c r="B4712" t="s">
        <v>201</v>
      </c>
      <c r="C4712" t="s">
        <v>202</v>
      </c>
      <c r="D4712" t="str">
        <f>HYPERLINK("http://service.sap.com/sap/support/notes/1880477","1880477")</f>
        <v>1880477</v>
      </c>
      <c r="E4712">
        <v>1</v>
      </c>
      <c r="F4712" t="s">
        <v>4827</v>
      </c>
    </row>
    <row r="4713" spans="1:6" x14ac:dyDescent="0.25">
      <c r="A4713" t="s">
        <v>4700</v>
      </c>
      <c r="B4713" t="s">
        <v>204</v>
      </c>
      <c r="C4713" t="s">
        <v>205</v>
      </c>
      <c r="D4713" t="str">
        <f>HYPERLINK("http://service.sap.com/sap/support/notes/1880199","1880199")</f>
        <v>1880199</v>
      </c>
      <c r="E4713">
        <v>1</v>
      </c>
      <c r="F4713" t="s">
        <v>4828</v>
      </c>
    </row>
    <row r="4714" spans="1:6" x14ac:dyDescent="0.25">
      <c r="A4714" t="s">
        <v>4700</v>
      </c>
      <c r="B4714" t="s">
        <v>204</v>
      </c>
      <c r="C4714" t="s">
        <v>205</v>
      </c>
      <c r="D4714" t="str">
        <f>HYPERLINK("http://service.sap.com/sap/support/notes/1884226","1884226")</f>
        <v>1884226</v>
      </c>
      <c r="E4714">
        <v>1</v>
      </c>
      <c r="F4714" t="s">
        <v>4829</v>
      </c>
    </row>
    <row r="4715" spans="1:6" x14ac:dyDescent="0.25">
      <c r="A4715" t="s">
        <v>4700</v>
      </c>
      <c r="B4715" t="s">
        <v>211</v>
      </c>
      <c r="C4715" t="s">
        <v>128</v>
      </c>
      <c r="D4715" t="str">
        <f>HYPERLINK("http://service.sap.com/sap/support/notes/1842142","1842142")</f>
        <v>1842142</v>
      </c>
      <c r="E4715">
        <v>4</v>
      </c>
      <c r="F4715" t="s">
        <v>4830</v>
      </c>
    </row>
    <row r="4716" spans="1:6" x14ac:dyDescent="0.25">
      <c r="A4716" t="s">
        <v>4700</v>
      </c>
      <c r="B4716" t="s">
        <v>211</v>
      </c>
      <c r="C4716" t="s">
        <v>128</v>
      </c>
      <c r="D4716" t="str">
        <f>HYPERLINK("http://service.sap.com/sap/support/notes/1878330","1878330")</f>
        <v>1878330</v>
      </c>
      <c r="E4716">
        <v>2</v>
      </c>
      <c r="F4716" t="s">
        <v>4831</v>
      </c>
    </row>
    <row r="4717" spans="1:6" x14ac:dyDescent="0.25">
      <c r="A4717" t="s">
        <v>4700</v>
      </c>
      <c r="B4717" t="s">
        <v>211</v>
      </c>
      <c r="C4717" t="s">
        <v>128</v>
      </c>
      <c r="D4717" t="str">
        <f>HYPERLINK("http://service.sap.com/sap/support/notes/1882229","1882229")</f>
        <v>1882229</v>
      </c>
      <c r="E4717">
        <v>2</v>
      </c>
      <c r="F4717" t="s">
        <v>4832</v>
      </c>
    </row>
    <row r="4718" spans="1:6" x14ac:dyDescent="0.25">
      <c r="A4718" t="s">
        <v>4700</v>
      </c>
      <c r="B4718" t="s">
        <v>211</v>
      </c>
      <c r="C4718" t="s">
        <v>128</v>
      </c>
      <c r="D4718" t="str">
        <f>HYPERLINK("http://service.sap.com/sap/support/notes/1887863","1887863")</f>
        <v>1887863</v>
      </c>
      <c r="E4718">
        <v>2</v>
      </c>
      <c r="F4718" t="s">
        <v>4833</v>
      </c>
    </row>
    <row r="4719" spans="1:6" x14ac:dyDescent="0.25">
      <c r="A4719" t="s">
        <v>4700</v>
      </c>
      <c r="B4719" t="s">
        <v>221</v>
      </c>
      <c r="C4719" t="s">
        <v>222</v>
      </c>
      <c r="D4719" t="str">
        <f>HYPERLINK("http://service.sap.com/sap/support/notes/1842208","1842208")</f>
        <v>1842208</v>
      </c>
      <c r="E4719">
        <v>3</v>
      </c>
      <c r="F4719" t="s">
        <v>4834</v>
      </c>
    </row>
    <row r="4720" spans="1:6" x14ac:dyDescent="0.25">
      <c r="A4720" t="s">
        <v>4700</v>
      </c>
      <c r="B4720" t="s">
        <v>221</v>
      </c>
      <c r="C4720" t="s">
        <v>222</v>
      </c>
      <c r="D4720" t="str">
        <f>HYPERLINK("http://service.sap.com/sap/support/notes/1875727","1875727")</f>
        <v>1875727</v>
      </c>
      <c r="E4720">
        <v>1</v>
      </c>
      <c r="F4720" t="s">
        <v>4835</v>
      </c>
    </row>
    <row r="4721" spans="1:6" x14ac:dyDescent="0.25">
      <c r="A4721" t="s">
        <v>4700</v>
      </c>
      <c r="B4721" t="s">
        <v>221</v>
      </c>
      <c r="C4721" t="s">
        <v>222</v>
      </c>
      <c r="D4721" t="str">
        <f>HYPERLINK("http://service.sap.com/sap/support/notes/1876226","1876226")</f>
        <v>1876226</v>
      </c>
      <c r="E4721">
        <v>3</v>
      </c>
      <c r="F4721" t="s">
        <v>4836</v>
      </c>
    </row>
    <row r="4722" spans="1:6" x14ac:dyDescent="0.25">
      <c r="A4722" t="s">
        <v>4700</v>
      </c>
      <c r="B4722" t="s">
        <v>224</v>
      </c>
      <c r="C4722" t="s">
        <v>156</v>
      </c>
    </row>
    <row r="4723" spans="1:6" x14ac:dyDescent="0.25">
      <c r="A4723" t="s">
        <v>4700</v>
      </c>
      <c r="B4723" t="s">
        <v>225</v>
      </c>
      <c r="C4723" t="s">
        <v>226</v>
      </c>
      <c r="D4723" t="str">
        <f>HYPERLINK("http://service.sap.com/sap/support/notes/1886033","1886033")</f>
        <v>1886033</v>
      </c>
      <c r="E4723">
        <v>4</v>
      </c>
      <c r="F4723" t="s">
        <v>4837</v>
      </c>
    </row>
    <row r="4724" spans="1:6" x14ac:dyDescent="0.25">
      <c r="A4724" t="s">
        <v>4700</v>
      </c>
      <c r="B4724" t="s">
        <v>229</v>
      </c>
      <c r="C4724" t="s">
        <v>230</v>
      </c>
      <c r="D4724" t="str">
        <f>HYPERLINK("http://service.sap.com/sap/support/notes/1807516","1807516")</f>
        <v>1807516</v>
      </c>
      <c r="E4724">
        <v>4</v>
      </c>
      <c r="F4724" t="s">
        <v>4838</v>
      </c>
    </row>
    <row r="4725" spans="1:6" x14ac:dyDescent="0.25">
      <c r="A4725" t="s">
        <v>4700</v>
      </c>
      <c r="B4725" t="s">
        <v>229</v>
      </c>
      <c r="C4725" t="s">
        <v>230</v>
      </c>
      <c r="D4725" t="str">
        <f>HYPERLINK("http://service.sap.com/sap/support/notes/1835584","1835584")</f>
        <v>1835584</v>
      </c>
      <c r="E4725">
        <v>3</v>
      </c>
      <c r="F4725" t="s">
        <v>4839</v>
      </c>
    </row>
    <row r="4726" spans="1:6" x14ac:dyDescent="0.25">
      <c r="A4726" t="s">
        <v>4700</v>
      </c>
      <c r="B4726" t="s">
        <v>229</v>
      </c>
      <c r="C4726" t="s">
        <v>230</v>
      </c>
      <c r="D4726" t="str">
        <f>HYPERLINK("http://service.sap.com/sap/support/notes/1859487","1859487")</f>
        <v>1859487</v>
      </c>
      <c r="E4726">
        <v>4</v>
      </c>
      <c r="F4726" t="s">
        <v>4840</v>
      </c>
    </row>
    <row r="4727" spans="1:6" x14ac:dyDescent="0.25">
      <c r="A4727" t="s">
        <v>4700</v>
      </c>
      <c r="B4727" t="s">
        <v>229</v>
      </c>
      <c r="C4727" t="s">
        <v>230</v>
      </c>
      <c r="D4727" t="str">
        <f>HYPERLINK("http://service.sap.com/sap/support/notes/1861333","1861333")</f>
        <v>1861333</v>
      </c>
      <c r="E4727">
        <v>5</v>
      </c>
      <c r="F4727" t="s">
        <v>4841</v>
      </c>
    </row>
    <row r="4728" spans="1:6" x14ac:dyDescent="0.25">
      <c r="A4728" t="s">
        <v>4700</v>
      </c>
      <c r="B4728" t="s">
        <v>229</v>
      </c>
      <c r="C4728" t="s">
        <v>230</v>
      </c>
      <c r="D4728" t="str">
        <f>HYPERLINK("http://service.sap.com/sap/support/notes/1864903","1864903")</f>
        <v>1864903</v>
      </c>
      <c r="E4728">
        <v>3</v>
      </c>
      <c r="F4728" t="s">
        <v>4842</v>
      </c>
    </row>
    <row r="4729" spans="1:6" x14ac:dyDescent="0.25">
      <c r="A4729" t="s">
        <v>4700</v>
      </c>
      <c r="B4729" t="s">
        <v>229</v>
      </c>
      <c r="C4729" t="s">
        <v>230</v>
      </c>
      <c r="D4729" t="str">
        <f>HYPERLINK("http://service.sap.com/sap/support/notes/1867649","1867649")</f>
        <v>1867649</v>
      </c>
      <c r="E4729">
        <v>8</v>
      </c>
      <c r="F4729" t="s">
        <v>4843</v>
      </c>
    </row>
    <row r="4730" spans="1:6" x14ac:dyDescent="0.25">
      <c r="A4730" t="s">
        <v>4700</v>
      </c>
      <c r="B4730" t="s">
        <v>229</v>
      </c>
      <c r="C4730" t="s">
        <v>230</v>
      </c>
      <c r="D4730" t="str">
        <f>HYPERLINK("http://service.sap.com/sap/support/notes/1868929","1868929")</f>
        <v>1868929</v>
      </c>
      <c r="E4730">
        <v>2</v>
      </c>
      <c r="F4730" t="s">
        <v>4844</v>
      </c>
    </row>
    <row r="4731" spans="1:6" x14ac:dyDescent="0.25">
      <c r="A4731" t="s">
        <v>4700</v>
      </c>
      <c r="B4731" t="s">
        <v>229</v>
      </c>
      <c r="C4731" t="s">
        <v>230</v>
      </c>
      <c r="D4731" t="str">
        <f>HYPERLINK("http://service.sap.com/sap/support/notes/1869536","1869536")</f>
        <v>1869536</v>
      </c>
      <c r="E4731">
        <v>2</v>
      </c>
      <c r="F4731" t="s">
        <v>4845</v>
      </c>
    </row>
    <row r="4732" spans="1:6" x14ac:dyDescent="0.25">
      <c r="A4732" t="s">
        <v>4700</v>
      </c>
      <c r="B4732" t="s">
        <v>229</v>
      </c>
      <c r="C4732" t="s">
        <v>230</v>
      </c>
      <c r="D4732" t="str">
        <f>HYPERLINK("http://service.sap.com/sap/support/notes/1869547","1869547")</f>
        <v>1869547</v>
      </c>
      <c r="E4732">
        <v>2</v>
      </c>
      <c r="F4732" t="s">
        <v>4846</v>
      </c>
    </row>
    <row r="4733" spans="1:6" x14ac:dyDescent="0.25">
      <c r="A4733" t="s">
        <v>4700</v>
      </c>
      <c r="B4733" t="s">
        <v>229</v>
      </c>
      <c r="C4733" t="s">
        <v>230</v>
      </c>
      <c r="D4733" t="str">
        <f>HYPERLINK("http://service.sap.com/sap/support/notes/1871472","1871472")</f>
        <v>1871472</v>
      </c>
      <c r="E4733">
        <v>2</v>
      </c>
      <c r="F4733" t="s">
        <v>4847</v>
      </c>
    </row>
    <row r="4734" spans="1:6" x14ac:dyDescent="0.25">
      <c r="A4734" t="s">
        <v>4700</v>
      </c>
      <c r="B4734" t="s">
        <v>229</v>
      </c>
      <c r="C4734" t="s">
        <v>230</v>
      </c>
      <c r="D4734" t="str">
        <f>HYPERLINK("http://service.sap.com/sap/support/notes/1875031","1875031")</f>
        <v>1875031</v>
      </c>
      <c r="E4734">
        <v>2</v>
      </c>
      <c r="F4734" t="s">
        <v>4848</v>
      </c>
    </row>
    <row r="4735" spans="1:6" x14ac:dyDescent="0.25">
      <c r="A4735" t="s">
        <v>4700</v>
      </c>
      <c r="B4735" t="s">
        <v>229</v>
      </c>
      <c r="C4735" t="s">
        <v>230</v>
      </c>
      <c r="D4735" t="str">
        <f>HYPERLINK("http://service.sap.com/sap/support/notes/1875181","1875181")</f>
        <v>1875181</v>
      </c>
      <c r="E4735">
        <v>2</v>
      </c>
      <c r="F4735" t="s">
        <v>4849</v>
      </c>
    </row>
    <row r="4736" spans="1:6" x14ac:dyDescent="0.25">
      <c r="A4736" t="s">
        <v>4700</v>
      </c>
      <c r="B4736" t="s">
        <v>229</v>
      </c>
      <c r="C4736" t="s">
        <v>230</v>
      </c>
      <c r="D4736" t="str">
        <f>HYPERLINK("http://service.sap.com/sap/support/notes/1875872","1875872")</f>
        <v>1875872</v>
      </c>
      <c r="E4736">
        <v>2</v>
      </c>
      <c r="F4736" t="s">
        <v>4850</v>
      </c>
    </row>
    <row r="4737" spans="1:6" x14ac:dyDescent="0.25">
      <c r="A4737" t="s">
        <v>4700</v>
      </c>
      <c r="B4737" t="s">
        <v>229</v>
      </c>
      <c r="C4737" t="s">
        <v>230</v>
      </c>
      <c r="D4737" t="str">
        <f>HYPERLINK("http://service.sap.com/sap/support/notes/1877273","1877273")</f>
        <v>1877273</v>
      </c>
      <c r="E4737">
        <v>2</v>
      </c>
      <c r="F4737" t="s">
        <v>4851</v>
      </c>
    </row>
    <row r="4738" spans="1:6" x14ac:dyDescent="0.25">
      <c r="A4738" t="s">
        <v>4700</v>
      </c>
      <c r="B4738" t="s">
        <v>229</v>
      </c>
      <c r="C4738" t="s">
        <v>230</v>
      </c>
      <c r="D4738" t="str">
        <f>HYPERLINK("http://service.sap.com/sap/support/notes/1877782","1877782")</f>
        <v>1877782</v>
      </c>
      <c r="E4738">
        <v>1</v>
      </c>
      <c r="F4738" t="s">
        <v>4852</v>
      </c>
    </row>
    <row r="4739" spans="1:6" x14ac:dyDescent="0.25">
      <c r="A4739" t="s">
        <v>4700</v>
      </c>
      <c r="B4739" t="s">
        <v>229</v>
      </c>
      <c r="C4739" t="s">
        <v>230</v>
      </c>
      <c r="D4739" t="str">
        <f>HYPERLINK("http://service.sap.com/sap/support/notes/1877926","1877926")</f>
        <v>1877926</v>
      </c>
      <c r="E4739">
        <v>1</v>
      </c>
      <c r="F4739" t="s">
        <v>4853</v>
      </c>
    </row>
    <row r="4740" spans="1:6" x14ac:dyDescent="0.25">
      <c r="A4740" t="s">
        <v>4700</v>
      </c>
      <c r="B4740" t="s">
        <v>229</v>
      </c>
      <c r="C4740" t="s">
        <v>230</v>
      </c>
      <c r="D4740" t="str">
        <f>HYPERLINK("http://service.sap.com/sap/support/notes/1881314","1881314")</f>
        <v>1881314</v>
      </c>
      <c r="E4740">
        <v>3</v>
      </c>
      <c r="F4740" t="s">
        <v>4854</v>
      </c>
    </row>
    <row r="4741" spans="1:6" x14ac:dyDescent="0.25">
      <c r="A4741" t="s">
        <v>4700</v>
      </c>
      <c r="B4741" t="s">
        <v>229</v>
      </c>
      <c r="C4741" t="s">
        <v>230</v>
      </c>
      <c r="D4741" t="str">
        <f>HYPERLINK("http://service.sap.com/sap/support/notes/1881334","1881334")</f>
        <v>1881334</v>
      </c>
      <c r="E4741">
        <v>1</v>
      </c>
      <c r="F4741" t="s">
        <v>4855</v>
      </c>
    </row>
    <row r="4742" spans="1:6" x14ac:dyDescent="0.25">
      <c r="A4742" t="s">
        <v>4700</v>
      </c>
      <c r="B4742" t="s">
        <v>229</v>
      </c>
      <c r="C4742" t="s">
        <v>230</v>
      </c>
      <c r="D4742" t="str">
        <f>HYPERLINK("http://service.sap.com/sap/support/notes/1881995","1881995")</f>
        <v>1881995</v>
      </c>
      <c r="E4742">
        <v>2</v>
      </c>
      <c r="F4742" t="s">
        <v>4856</v>
      </c>
    </row>
    <row r="4743" spans="1:6" x14ac:dyDescent="0.25">
      <c r="A4743" t="s">
        <v>4700</v>
      </c>
      <c r="B4743" t="s">
        <v>229</v>
      </c>
      <c r="C4743" t="s">
        <v>230</v>
      </c>
      <c r="D4743" t="str">
        <f>HYPERLINK("http://service.sap.com/sap/support/notes/1882550","1882550")</f>
        <v>1882550</v>
      </c>
      <c r="E4743">
        <v>2</v>
      </c>
      <c r="F4743" t="s">
        <v>4857</v>
      </c>
    </row>
    <row r="4744" spans="1:6" x14ac:dyDescent="0.25">
      <c r="A4744" t="s">
        <v>4700</v>
      </c>
      <c r="B4744" t="s">
        <v>229</v>
      </c>
      <c r="C4744" t="s">
        <v>230</v>
      </c>
      <c r="D4744" t="str">
        <f>HYPERLINK("http://service.sap.com/sap/support/notes/1884288","1884288")</f>
        <v>1884288</v>
      </c>
      <c r="E4744">
        <v>2</v>
      </c>
      <c r="F4744" t="s">
        <v>4858</v>
      </c>
    </row>
    <row r="4745" spans="1:6" x14ac:dyDescent="0.25">
      <c r="A4745" t="s">
        <v>4700</v>
      </c>
      <c r="B4745" t="s">
        <v>229</v>
      </c>
      <c r="C4745" t="s">
        <v>230</v>
      </c>
      <c r="D4745" t="str">
        <f>HYPERLINK("http://service.sap.com/sap/support/notes/1884889","1884889")</f>
        <v>1884889</v>
      </c>
      <c r="E4745">
        <v>2</v>
      </c>
      <c r="F4745" t="s">
        <v>4859</v>
      </c>
    </row>
    <row r="4746" spans="1:6" x14ac:dyDescent="0.25">
      <c r="A4746" t="s">
        <v>4700</v>
      </c>
      <c r="B4746" t="s">
        <v>260</v>
      </c>
      <c r="C4746" t="s">
        <v>37</v>
      </c>
      <c r="D4746" t="str">
        <f>HYPERLINK("http://service.sap.com/sap/support/notes/1758438","1758438")</f>
        <v>1758438</v>
      </c>
      <c r="E4746">
        <v>4</v>
      </c>
      <c r="F4746" t="s">
        <v>4860</v>
      </c>
    </row>
    <row r="4747" spans="1:6" x14ac:dyDescent="0.25">
      <c r="A4747" t="s">
        <v>4700</v>
      </c>
      <c r="B4747" t="s">
        <v>260</v>
      </c>
      <c r="C4747" t="s">
        <v>37</v>
      </c>
      <c r="D4747" t="str">
        <f>HYPERLINK("http://service.sap.com/sap/support/notes/1862394","1862394")</f>
        <v>1862394</v>
      </c>
      <c r="E4747">
        <v>3</v>
      </c>
      <c r="F4747" t="s">
        <v>4861</v>
      </c>
    </row>
    <row r="4748" spans="1:6" x14ac:dyDescent="0.25">
      <c r="A4748" t="s">
        <v>4700</v>
      </c>
      <c r="B4748" t="s">
        <v>260</v>
      </c>
      <c r="C4748" t="s">
        <v>37</v>
      </c>
      <c r="D4748" t="str">
        <f>HYPERLINK("http://service.sap.com/sap/support/notes/1867034","1867034")</f>
        <v>1867034</v>
      </c>
      <c r="E4748">
        <v>1</v>
      </c>
      <c r="F4748" t="s">
        <v>4862</v>
      </c>
    </row>
    <row r="4749" spans="1:6" x14ac:dyDescent="0.25">
      <c r="A4749" t="s">
        <v>4700</v>
      </c>
      <c r="B4749" t="s">
        <v>260</v>
      </c>
      <c r="C4749" t="s">
        <v>37</v>
      </c>
      <c r="D4749" t="str">
        <f>HYPERLINK("http://service.sap.com/sap/support/notes/1872340","1872340")</f>
        <v>1872340</v>
      </c>
      <c r="E4749">
        <v>1</v>
      </c>
      <c r="F4749" t="s">
        <v>4863</v>
      </c>
    </row>
    <row r="4750" spans="1:6" x14ac:dyDescent="0.25">
      <c r="A4750" t="s">
        <v>4700</v>
      </c>
      <c r="B4750" t="s">
        <v>260</v>
      </c>
      <c r="C4750" t="s">
        <v>37</v>
      </c>
      <c r="D4750" t="str">
        <f>HYPERLINK("http://service.sap.com/sap/support/notes/1880255","1880255")</f>
        <v>1880255</v>
      </c>
      <c r="E4750">
        <v>1</v>
      </c>
      <c r="F4750" t="s">
        <v>4864</v>
      </c>
    </row>
    <row r="4751" spans="1:6" x14ac:dyDescent="0.25">
      <c r="A4751" t="s">
        <v>4700</v>
      </c>
      <c r="B4751" t="s">
        <v>260</v>
      </c>
      <c r="C4751" t="s">
        <v>37</v>
      </c>
      <c r="D4751" t="str">
        <f>HYPERLINK("http://service.sap.com/sap/support/notes/1888295","1888295")</f>
        <v>1888295</v>
      </c>
      <c r="E4751">
        <v>1</v>
      </c>
      <c r="F4751" t="s">
        <v>4865</v>
      </c>
    </row>
    <row r="4752" spans="1:6" x14ac:dyDescent="0.25">
      <c r="A4752" t="s">
        <v>4700</v>
      </c>
      <c r="B4752" t="s">
        <v>263</v>
      </c>
      <c r="C4752" t="s">
        <v>41</v>
      </c>
      <c r="D4752" t="str">
        <f>HYPERLINK("http://service.sap.com/sap/support/notes/1821425","1821425")</f>
        <v>1821425</v>
      </c>
      <c r="E4752">
        <v>4</v>
      </c>
      <c r="F4752" t="s">
        <v>4866</v>
      </c>
    </row>
    <row r="4753" spans="1:6" x14ac:dyDescent="0.25">
      <c r="A4753" t="s">
        <v>4700</v>
      </c>
      <c r="B4753" t="s">
        <v>263</v>
      </c>
      <c r="C4753" t="s">
        <v>41</v>
      </c>
      <c r="D4753" t="str">
        <f>HYPERLINK("http://service.sap.com/sap/support/notes/1870067","1870067")</f>
        <v>1870067</v>
      </c>
      <c r="E4753">
        <v>2</v>
      </c>
      <c r="F4753" t="s">
        <v>4867</v>
      </c>
    </row>
    <row r="4754" spans="1:6" x14ac:dyDescent="0.25">
      <c r="A4754" t="s">
        <v>4700</v>
      </c>
      <c r="B4754" t="s">
        <v>263</v>
      </c>
      <c r="C4754" t="s">
        <v>41</v>
      </c>
      <c r="D4754" t="str">
        <f>HYPERLINK("http://service.sap.com/sap/support/notes/1875372","1875372")</f>
        <v>1875372</v>
      </c>
      <c r="E4754">
        <v>7</v>
      </c>
      <c r="F4754" t="s">
        <v>4868</v>
      </c>
    </row>
    <row r="4755" spans="1:6" x14ac:dyDescent="0.25">
      <c r="A4755" t="s">
        <v>4700</v>
      </c>
      <c r="B4755" t="s">
        <v>263</v>
      </c>
      <c r="C4755" t="s">
        <v>41</v>
      </c>
      <c r="D4755" t="str">
        <f>HYPERLINK("http://service.sap.com/sap/support/notes/1878109","1878109")</f>
        <v>1878109</v>
      </c>
      <c r="E4755">
        <v>5</v>
      </c>
      <c r="F4755" t="s">
        <v>4869</v>
      </c>
    </row>
    <row r="4756" spans="1:6" x14ac:dyDescent="0.25">
      <c r="A4756" t="s">
        <v>4700</v>
      </c>
      <c r="B4756" t="s">
        <v>263</v>
      </c>
      <c r="C4756" t="s">
        <v>41</v>
      </c>
      <c r="D4756" t="str">
        <f>HYPERLINK("http://service.sap.com/sap/support/notes/1878423","1878423")</f>
        <v>1878423</v>
      </c>
      <c r="E4756">
        <v>2</v>
      </c>
      <c r="F4756" t="s">
        <v>4870</v>
      </c>
    </row>
    <row r="4757" spans="1:6" x14ac:dyDescent="0.25">
      <c r="A4757" t="s">
        <v>4700</v>
      </c>
      <c r="B4757" t="s">
        <v>263</v>
      </c>
      <c r="C4757" t="s">
        <v>41</v>
      </c>
      <c r="D4757" t="str">
        <f>HYPERLINK("http://service.sap.com/sap/support/notes/1878558","1878558")</f>
        <v>1878558</v>
      </c>
      <c r="E4757">
        <v>1</v>
      </c>
      <c r="F4757" t="s">
        <v>4871</v>
      </c>
    </row>
    <row r="4758" spans="1:6" x14ac:dyDescent="0.25">
      <c r="A4758" t="s">
        <v>4700</v>
      </c>
      <c r="B4758" t="s">
        <v>263</v>
      </c>
      <c r="C4758" t="s">
        <v>41</v>
      </c>
      <c r="D4758" t="str">
        <f>HYPERLINK("http://service.sap.com/sap/support/notes/1881539","1881539")</f>
        <v>1881539</v>
      </c>
      <c r="E4758">
        <v>2</v>
      </c>
      <c r="F4758" t="s">
        <v>4872</v>
      </c>
    </row>
    <row r="4759" spans="1:6" x14ac:dyDescent="0.25">
      <c r="A4759" t="s">
        <v>4700</v>
      </c>
      <c r="B4759" t="s">
        <v>263</v>
      </c>
      <c r="C4759" t="s">
        <v>41</v>
      </c>
      <c r="D4759" t="str">
        <f>HYPERLINK("http://service.sap.com/sap/support/notes/1882999","1882999")</f>
        <v>1882999</v>
      </c>
      <c r="E4759">
        <v>2</v>
      </c>
      <c r="F4759" t="s">
        <v>4873</v>
      </c>
    </row>
    <row r="4760" spans="1:6" x14ac:dyDescent="0.25">
      <c r="A4760" t="s">
        <v>4700</v>
      </c>
      <c r="B4760" t="s">
        <v>263</v>
      </c>
      <c r="C4760" t="s">
        <v>41</v>
      </c>
      <c r="D4760" t="str">
        <f>HYPERLINK("http://service.sap.com/sap/support/notes/1883437","1883437")</f>
        <v>1883437</v>
      </c>
      <c r="E4760">
        <v>3</v>
      </c>
      <c r="F4760" t="s">
        <v>4874</v>
      </c>
    </row>
    <row r="4761" spans="1:6" x14ac:dyDescent="0.25">
      <c r="A4761" t="s">
        <v>4700</v>
      </c>
      <c r="B4761" t="s">
        <v>263</v>
      </c>
      <c r="C4761" t="s">
        <v>41</v>
      </c>
      <c r="D4761" t="str">
        <f>HYPERLINK("http://service.sap.com/sap/support/notes/1883956","1883956")</f>
        <v>1883956</v>
      </c>
      <c r="E4761">
        <v>2</v>
      </c>
      <c r="F4761" t="s">
        <v>4875</v>
      </c>
    </row>
    <row r="4762" spans="1:6" x14ac:dyDescent="0.25">
      <c r="A4762" t="s">
        <v>4700</v>
      </c>
      <c r="B4762" t="s">
        <v>263</v>
      </c>
      <c r="C4762" t="s">
        <v>41</v>
      </c>
      <c r="D4762" t="str">
        <f>HYPERLINK("http://service.sap.com/sap/support/notes/1885658","1885658")</f>
        <v>1885658</v>
      </c>
      <c r="E4762">
        <v>3</v>
      </c>
      <c r="F4762" t="s">
        <v>4876</v>
      </c>
    </row>
    <row r="4763" spans="1:6" x14ac:dyDescent="0.25">
      <c r="A4763" t="s">
        <v>4700</v>
      </c>
      <c r="B4763" t="s">
        <v>286</v>
      </c>
      <c r="C4763" t="s">
        <v>287</v>
      </c>
      <c r="D4763" t="str">
        <f>HYPERLINK("http://service.sap.com/sap/support/notes/1806046","1806046")</f>
        <v>1806046</v>
      </c>
      <c r="E4763">
        <v>1</v>
      </c>
      <c r="F4763" t="s">
        <v>4877</v>
      </c>
    </row>
    <row r="4764" spans="1:6" x14ac:dyDescent="0.25">
      <c r="A4764" t="s">
        <v>4700</v>
      </c>
      <c r="B4764" t="s">
        <v>286</v>
      </c>
      <c r="C4764" t="s">
        <v>287</v>
      </c>
      <c r="D4764" t="str">
        <f>HYPERLINK("http://service.sap.com/sap/support/notes/1869637","1869637")</f>
        <v>1869637</v>
      </c>
      <c r="E4764">
        <v>1</v>
      </c>
      <c r="F4764" t="s">
        <v>4878</v>
      </c>
    </row>
    <row r="4765" spans="1:6" x14ac:dyDescent="0.25">
      <c r="A4765" t="s">
        <v>4700</v>
      </c>
      <c r="B4765" t="s">
        <v>286</v>
      </c>
      <c r="C4765" t="s">
        <v>287</v>
      </c>
      <c r="D4765" t="str">
        <f>HYPERLINK("http://service.sap.com/sap/support/notes/1874434","1874434")</f>
        <v>1874434</v>
      </c>
      <c r="E4765">
        <v>2</v>
      </c>
      <c r="F4765" t="s">
        <v>4879</v>
      </c>
    </row>
    <row r="4766" spans="1:6" x14ac:dyDescent="0.25">
      <c r="A4766" t="s">
        <v>4700</v>
      </c>
      <c r="B4766" t="s">
        <v>286</v>
      </c>
      <c r="C4766" t="s">
        <v>287</v>
      </c>
      <c r="D4766" t="str">
        <f>HYPERLINK("http://service.sap.com/sap/support/notes/1874812","1874812")</f>
        <v>1874812</v>
      </c>
      <c r="E4766">
        <v>2</v>
      </c>
      <c r="F4766" t="s">
        <v>4880</v>
      </c>
    </row>
    <row r="4767" spans="1:6" x14ac:dyDescent="0.25">
      <c r="A4767" t="s">
        <v>4700</v>
      </c>
      <c r="B4767" t="s">
        <v>286</v>
      </c>
      <c r="C4767" t="s">
        <v>287</v>
      </c>
      <c r="D4767" t="str">
        <f>HYPERLINK("http://service.sap.com/sap/support/notes/1876549","1876549")</f>
        <v>1876549</v>
      </c>
      <c r="E4767">
        <v>1</v>
      </c>
      <c r="F4767" t="s">
        <v>4881</v>
      </c>
    </row>
    <row r="4768" spans="1:6" x14ac:dyDescent="0.25">
      <c r="A4768" t="s">
        <v>4700</v>
      </c>
      <c r="B4768" t="s">
        <v>286</v>
      </c>
      <c r="C4768" t="s">
        <v>287</v>
      </c>
      <c r="D4768" t="str">
        <f>HYPERLINK("http://service.sap.com/sap/support/notes/1877563","1877563")</f>
        <v>1877563</v>
      </c>
      <c r="E4768">
        <v>1</v>
      </c>
      <c r="F4768" t="s">
        <v>4882</v>
      </c>
    </row>
    <row r="4769" spans="1:6" x14ac:dyDescent="0.25">
      <c r="A4769" t="s">
        <v>4700</v>
      </c>
      <c r="B4769" t="s">
        <v>286</v>
      </c>
      <c r="C4769" t="s">
        <v>287</v>
      </c>
      <c r="D4769" t="str">
        <f>HYPERLINK("http://service.sap.com/sap/support/notes/1878141","1878141")</f>
        <v>1878141</v>
      </c>
      <c r="E4769">
        <v>3</v>
      </c>
      <c r="F4769" t="s">
        <v>4883</v>
      </c>
    </row>
    <row r="4770" spans="1:6" x14ac:dyDescent="0.25">
      <c r="A4770" t="s">
        <v>4700</v>
      </c>
      <c r="B4770" t="s">
        <v>286</v>
      </c>
      <c r="C4770" t="s">
        <v>287</v>
      </c>
      <c r="D4770" t="str">
        <f>HYPERLINK("http://service.sap.com/sap/support/notes/1879148","1879148")</f>
        <v>1879148</v>
      </c>
      <c r="E4770">
        <v>1</v>
      </c>
      <c r="F4770" t="s">
        <v>4884</v>
      </c>
    </row>
    <row r="4771" spans="1:6" x14ac:dyDescent="0.25">
      <c r="A4771" t="s">
        <v>4700</v>
      </c>
      <c r="B4771" t="s">
        <v>286</v>
      </c>
      <c r="C4771" t="s">
        <v>287</v>
      </c>
      <c r="D4771" t="str">
        <f>HYPERLINK("http://service.sap.com/sap/support/notes/1879414","1879414")</f>
        <v>1879414</v>
      </c>
      <c r="E4771">
        <v>1</v>
      </c>
      <c r="F4771" t="s">
        <v>4885</v>
      </c>
    </row>
    <row r="4772" spans="1:6" x14ac:dyDescent="0.25">
      <c r="A4772" t="s">
        <v>4700</v>
      </c>
      <c r="B4772" t="s">
        <v>286</v>
      </c>
      <c r="C4772" t="s">
        <v>287</v>
      </c>
      <c r="D4772" t="str">
        <f>HYPERLINK("http://service.sap.com/sap/support/notes/1880859","1880859")</f>
        <v>1880859</v>
      </c>
      <c r="E4772">
        <v>1</v>
      </c>
      <c r="F4772" t="s">
        <v>4886</v>
      </c>
    </row>
    <row r="4773" spans="1:6" x14ac:dyDescent="0.25">
      <c r="A4773" t="s">
        <v>4700</v>
      </c>
      <c r="B4773" t="s">
        <v>286</v>
      </c>
      <c r="C4773" t="s">
        <v>287</v>
      </c>
      <c r="D4773" t="str">
        <f>HYPERLINK("http://service.sap.com/sap/support/notes/1881242","1881242")</f>
        <v>1881242</v>
      </c>
      <c r="E4773">
        <v>3</v>
      </c>
      <c r="F4773" t="s">
        <v>4887</v>
      </c>
    </row>
    <row r="4774" spans="1:6" x14ac:dyDescent="0.25">
      <c r="A4774" t="s">
        <v>4700</v>
      </c>
      <c r="B4774" t="s">
        <v>286</v>
      </c>
      <c r="C4774" t="s">
        <v>287</v>
      </c>
      <c r="D4774" t="str">
        <f>HYPERLINK("http://service.sap.com/sap/support/notes/1882311","1882311")</f>
        <v>1882311</v>
      </c>
      <c r="E4774">
        <v>1</v>
      </c>
      <c r="F4774" t="s">
        <v>4888</v>
      </c>
    </row>
    <row r="4775" spans="1:6" x14ac:dyDescent="0.25">
      <c r="A4775" t="s">
        <v>4700</v>
      </c>
      <c r="B4775" t="s">
        <v>286</v>
      </c>
      <c r="C4775" t="s">
        <v>287</v>
      </c>
      <c r="D4775" t="str">
        <f>HYPERLINK("http://service.sap.com/sap/support/notes/1882791","1882791")</f>
        <v>1882791</v>
      </c>
      <c r="E4775">
        <v>1</v>
      </c>
      <c r="F4775" t="s">
        <v>4889</v>
      </c>
    </row>
    <row r="4776" spans="1:6" x14ac:dyDescent="0.25">
      <c r="A4776" t="s">
        <v>4700</v>
      </c>
      <c r="B4776" t="s">
        <v>286</v>
      </c>
      <c r="C4776" t="s">
        <v>287</v>
      </c>
      <c r="D4776" t="str">
        <f>HYPERLINK("http://service.sap.com/sap/support/notes/1883040","1883040")</f>
        <v>1883040</v>
      </c>
      <c r="E4776">
        <v>1</v>
      </c>
      <c r="F4776" t="s">
        <v>4890</v>
      </c>
    </row>
    <row r="4777" spans="1:6" x14ac:dyDescent="0.25">
      <c r="A4777" t="s">
        <v>4700</v>
      </c>
      <c r="B4777" t="s">
        <v>286</v>
      </c>
      <c r="C4777" t="s">
        <v>287</v>
      </c>
      <c r="D4777" t="str">
        <f>HYPERLINK("http://service.sap.com/sap/support/notes/1883481","1883481")</f>
        <v>1883481</v>
      </c>
      <c r="E4777">
        <v>1</v>
      </c>
      <c r="F4777" t="s">
        <v>4891</v>
      </c>
    </row>
    <row r="4778" spans="1:6" x14ac:dyDescent="0.25">
      <c r="A4778" t="s">
        <v>4700</v>
      </c>
      <c r="B4778" t="s">
        <v>286</v>
      </c>
      <c r="C4778" t="s">
        <v>287</v>
      </c>
      <c r="D4778" t="str">
        <f>HYPERLINK("http://service.sap.com/sap/support/notes/1883653","1883653")</f>
        <v>1883653</v>
      </c>
      <c r="E4778">
        <v>1</v>
      </c>
      <c r="F4778" t="s">
        <v>4892</v>
      </c>
    </row>
    <row r="4779" spans="1:6" x14ac:dyDescent="0.25">
      <c r="A4779" t="s">
        <v>4700</v>
      </c>
      <c r="B4779" t="s">
        <v>286</v>
      </c>
      <c r="C4779" t="s">
        <v>287</v>
      </c>
      <c r="D4779" t="str">
        <f>HYPERLINK("http://service.sap.com/sap/support/notes/1884416","1884416")</f>
        <v>1884416</v>
      </c>
      <c r="E4779">
        <v>1</v>
      </c>
      <c r="F4779" t="s">
        <v>4893</v>
      </c>
    </row>
    <row r="4780" spans="1:6" x14ac:dyDescent="0.25">
      <c r="A4780" t="s">
        <v>4700</v>
      </c>
      <c r="B4780" t="s">
        <v>286</v>
      </c>
      <c r="C4780" t="s">
        <v>287</v>
      </c>
      <c r="D4780" t="str">
        <f>HYPERLINK("http://service.sap.com/sap/support/notes/1885035","1885035")</f>
        <v>1885035</v>
      </c>
      <c r="E4780">
        <v>1</v>
      </c>
      <c r="F4780" t="s">
        <v>4894</v>
      </c>
    </row>
    <row r="4781" spans="1:6" x14ac:dyDescent="0.25">
      <c r="A4781" t="s">
        <v>4700</v>
      </c>
      <c r="B4781" t="s">
        <v>286</v>
      </c>
      <c r="C4781" t="s">
        <v>287</v>
      </c>
      <c r="D4781" t="str">
        <f>HYPERLINK("http://service.sap.com/sap/support/notes/1886496","1886496")</f>
        <v>1886496</v>
      </c>
      <c r="E4781">
        <v>1</v>
      </c>
      <c r="F4781" t="s">
        <v>4895</v>
      </c>
    </row>
    <row r="4782" spans="1:6" x14ac:dyDescent="0.25">
      <c r="A4782" t="s">
        <v>4700</v>
      </c>
      <c r="B4782" t="s">
        <v>286</v>
      </c>
      <c r="C4782" t="s">
        <v>287</v>
      </c>
      <c r="D4782" t="str">
        <f>HYPERLINK("http://service.sap.com/sap/support/notes/1887471","1887471")</f>
        <v>1887471</v>
      </c>
      <c r="E4782">
        <v>1</v>
      </c>
      <c r="F4782" t="s">
        <v>4896</v>
      </c>
    </row>
    <row r="4783" spans="1:6" x14ac:dyDescent="0.25">
      <c r="A4783" t="s">
        <v>4700</v>
      </c>
      <c r="B4783" t="s">
        <v>286</v>
      </c>
      <c r="C4783" t="s">
        <v>287</v>
      </c>
      <c r="D4783" t="str">
        <f>HYPERLINK("http://service.sap.com/sap/support/notes/1888177","1888177")</f>
        <v>1888177</v>
      </c>
      <c r="E4783">
        <v>1</v>
      </c>
      <c r="F4783" t="s">
        <v>4897</v>
      </c>
    </row>
    <row r="4784" spans="1:6" x14ac:dyDescent="0.25">
      <c r="A4784" t="s">
        <v>4700</v>
      </c>
      <c r="B4784" t="s">
        <v>286</v>
      </c>
      <c r="C4784" t="s">
        <v>287</v>
      </c>
      <c r="D4784" t="str">
        <f>HYPERLINK("http://service.sap.com/sap/support/notes/1888294","1888294")</f>
        <v>1888294</v>
      </c>
      <c r="E4784">
        <v>1</v>
      </c>
      <c r="F4784" t="s">
        <v>4898</v>
      </c>
    </row>
    <row r="4785" spans="1:6" x14ac:dyDescent="0.25">
      <c r="A4785" t="s">
        <v>4700</v>
      </c>
      <c r="B4785" t="s">
        <v>286</v>
      </c>
      <c r="C4785" t="s">
        <v>287</v>
      </c>
      <c r="D4785" t="str">
        <f>HYPERLINK("http://service.sap.com/sap/support/notes/1888599","1888599")</f>
        <v>1888599</v>
      </c>
      <c r="E4785">
        <v>1</v>
      </c>
      <c r="F4785" t="s">
        <v>4899</v>
      </c>
    </row>
    <row r="4786" spans="1:6" x14ac:dyDescent="0.25">
      <c r="A4786" t="s">
        <v>4700</v>
      </c>
      <c r="B4786" t="s">
        <v>286</v>
      </c>
      <c r="C4786" t="s">
        <v>287</v>
      </c>
      <c r="D4786" t="str">
        <f>HYPERLINK("http://service.sap.com/sap/support/notes/1889023","1889023")</f>
        <v>1889023</v>
      </c>
      <c r="E4786">
        <v>1</v>
      </c>
      <c r="F4786" t="s">
        <v>4900</v>
      </c>
    </row>
    <row r="4787" spans="1:6" x14ac:dyDescent="0.25">
      <c r="A4787" t="s">
        <v>4700</v>
      </c>
      <c r="B4787" t="s">
        <v>286</v>
      </c>
      <c r="C4787" t="s">
        <v>287</v>
      </c>
      <c r="D4787" t="str">
        <f>HYPERLINK("http://service.sap.com/sap/support/notes/1889708","1889708")</f>
        <v>1889708</v>
      </c>
      <c r="E4787">
        <v>2</v>
      </c>
      <c r="F4787" t="s">
        <v>4901</v>
      </c>
    </row>
    <row r="4788" spans="1:6" x14ac:dyDescent="0.25">
      <c r="A4788" t="s">
        <v>4700</v>
      </c>
      <c r="B4788" t="s">
        <v>286</v>
      </c>
      <c r="C4788" t="s">
        <v>287</v>
      </c>
      <c r="D4788" t="str">
        <f>HYPERLINK("http://service.sap.com/sap/support/notes/1889877","1889877")</f>
        <v>1889877</v>
      </c>
      <c r="E4788">
        <v>1</v>
      </c>
      <c r="F4788" t="s">
        <v>4902</v>
      </c>
    </row>
    <row r="4789" spans="1:6" x14ac:dyDescent="0.25">
      <c r="A4789" t="s">
        <v>4700</v>
      </c>
      <c r="B4789" t="s">
        <v>299</v>
      </c>
      <c r="C4789" t="s">
        <v>128</v>
      </c>
      <c r="D4789" t="str">
        <f>HYPERLINK("http://service.sap.com/sap/support/notes/1875585","1875585")</f>
        <v>1875585</v>
      </c>
      <c r="E4789">
        <v>3</v>
      </c>
      <c r="F4789" t="s">
        <v>4903</v>
      </c>
    </row>
    <row r="4790" spans="1:6" x14ac:dyDescent="0.25">
      <c r="A4790" t="s">
        <v>4700</v>
      </c>
      <c r="B4790" t="s">
        <v>299</v>
      </c>
      <c r="C4790" t="s">
        <v>128</v>
      </c>
      <c r="D4790" t="str">
        <f>HYPERLINK("http://service.sap.com/sap/support/notes/1884375","1884375")</f>
        <v>1884375</v>
      </c>
      <c r="E4790">
        <v>1</v>
      </c>
      <c r="F4790" t="s">
        <v>4904</v>
      </c>
    </row>
    <row r="4791" spans="1:6" x14ac:dyDescent="0.25">
      <c r="A4791" t="s">
        <v>4700</v>
      </c>
      <c r="B4791" t="s">
        <v>306</v>
      </c>
      <c r="C4791" t="s">
        <v>307</v>
      </c>
      <c r="D4791" t="str">
        <f>HYPERLINK("http://service.sap.com/sap/support/notes/1868386","1868386")</f>
        <v>1868386</v>
      </c>
      <c r="E4791">
        <v>2</v>
      </c>
      <c r="F4791" t="s">
        <v>4905</v>
      </c>
    </row>
    <row r="4792" spans="1:6" x14ac:dyDescent="0.25">
      <c r="A4792" t="s">
        <v>4700</v>
      </c>
      <c r="B4792" t="s">
        <v>306</v>
      </c>
      <c r="C4792" t="s">
        <v>307</v>
      </c>
      <c r="D4792" t="str">
        <f>HYPERLINK("http://service.sap.com/sap/support/notes/1874755","1874755")</f>
        <v>1874755</v>
      </c>
      <c r="E4792">
        <v>3</v>
      </c>
      <c r="F4792" t="s">
        <v>4906</v>
      </c>
    </row>
    <row r="4793" spans="1:6" x14ac:dyDescent="0.25">
      <c r="A4793" t="s">
        <v>4700</v>
      </c>
      <c r="B4793" t="s">
        <v>306</v>
      </c>
      <c r="C4793" t="s">
        <v>307</v>
      </c>
      <c r="D4793" t="str">
        <f>HYPERLINK("http://service.sap.com/sap/support/notes/1874775","1874775")</f>
        <v>1874775</v>
      </c>
      <c r="E4793">
        <v>1</v>
      </c>
      <c r="F4793" t="s">
        <v>4907</v>
      </c>
    </row>
    <row r="4794" spans="1:6" x14ac:dyDescent="0.25">
      <c r="A4794" t="s">
        <v>4700</v>
      </c>
      <c r="B4794" t="s">
        <v>306</v>
      </c>
      <c r="C4794" t="s">
        <v>307</v>
      </c>
      <c r="D4794" t="str">
        <f>HYPERLINK("http://service.sap.com/sap/support/notes/1877941","1877941")</f>
        <v>1877941</v>
      </c>
      <c r="E4794">
        <v>1</v>
      </c>
      <c r="F4794" t="s">
        <v>4908</v>
      </c>
    </row>
    <row r="4795" spans="1:6" x14ac:dyDescent="0.25">
      <c r="A4795" t="s">
        <v>4700</v>
      </c>
      <c r="B4795" t="s">
        <v>306</v>
      </c>
      <c r="C4795" t="s">
        <v>307</v>
      </c>
      <c r="D4795" t="str">
        <f>HYPERLINK("http://service.sap.com/sap/support/notes/1879679","1879679")</f>
        <v>1879679</v>
      </c>
      <c r="E4795">
        <v>2</v>
      </c>
      <c r="F4795" t="s">
        <v>4909</v>
      </c>
    </row>
    <row r="4796" spans="1:6" x14ac:dyDescent="0.25">
      <c r="A4796" t="s">
        <v>4700</v>
      </c>
      <c r="B4796" t="s">
        <v>306</v>
      </c>
      <c r="C4796" t="s">
        <v>307</v>
      </c>
      <c r="D4796" t="str">
        <f>HYPERLINK("http://service.sap.com/sap/support/notes/1883771","1883771")</f>
        <v>1883771</v>
      </c>
      <c r="E4796">
        <v>1</v>
      </c>
      <c r="F4796" t="s">
        <v>4910</v>
      </c>
    </row>
    <row r="4797" spans="1:6" x14ac:dyDescent="0.25">
      <c r="A4797" t="s">
        <v>4700</v>
      </c>
      <c r="B4797" t="s">
        <v>310</v>
      </c>
      <c r="C4797" t="s">
        <v>311</v>
      </c>
      <c r="D4797" t="str">
        <f>HYPERLINK("http://service.sap.com/sap/support/notes/1884453","1884453")</f>
        <v>1884453</v>
      </c>
      <c r="E4797">
        <v>2</v>
      </c>
      <c r="F4797" t="s">
        <v>4911</v>
      </c>
    </row>
    <row r="4798" spans="1:6" x14ac:dyDescent="0.25">
      <c r="A4798" t="s">
        <v>4700</v>
      </c>
      <c r="B4798" t="s">
        <v>313</v>
      </c>
      <c r="C4798" t="s">
        <v>314</v>
      </c>
      <c r="D4798" t="str">
        <f>HYPERLINK("http://service.sap.com/sap/support/notes/1661359","1661359")</f>
        <v>1661359</v>
      </c>
      <c r="E4798">
        <v>1</v>
      </c>
      <c r="F4798" t="s">
        <v>4912</v>
      </c>
    </row>
    <row r="4799" spans="1:6" x14ac:dyDescent="0.25">
      <c r="A4799" t="s">
        <v>4700</v>
      </c>
      <c r="B4799" t="s">
        <v>313</v>
      </c>
      <c r="C4799" t="s">
        <v>314</v>
      </c>
      <c r="D4799" t="str">
        <f>HYPERLINK("http://service.sap.com/sap/support/notes/1807603","1807603")</f>
        <v>1807603</v>
      </c>
      <c r="E4799">
        <v>2</v>
      </c>
      <c r="F4799" t="s">
        <v>4913</v>
      </c>
    </row>
    <row r="4800" spans="1:6" x14ac:dyDescent="0.25">
      <c r="A4800" t="s">
        <v>4700</v>
      </c>
      <c r="B4800" t="s">
        <v>313</v>
      </c>
      <c r="C4800" t="s">
        <v>314</v>
      </c>
      <c r="D4800" t="str">
        <f>HYPERLINK("http://service.sap.com/sap/support/notes/1879800","1879800")</f>
        <v>1879800</v>
      </c>
      <c r="E4800">
        <v>1</v>
      </c>
      <c r="F4800" t="s">
        <v>4914</v>
      </c>
    </row>
    <row r="4801" spans="1:6" x14ac:dyDescent="0.25">
      <c r="A4801" t="s">
        <v>4700</v>
      </c>
      <c r="B4801" t="s">
        <v>313</v>
      </c>
      <c r="C4801" t="s">
        <v>314</v>
      </c>
      <c r="D4801" t="str">
        <f>HYPERLINK("http://service.sap.com/sap/support/notes/1881102","1881102")</f>
        <v>1881102</v>
      </c>
      <c r="E4801">
        <v>2</v>
      </c>
      <c r="F4801" t="s">
        <v>4915</v>
      </c>
    </row>
    <row r="4802" spans="1:6" x14ac:dyDescent="0.25">
      <c r="A4802" t="s">
        <v>4700</v>
      </c>
      <c r="B4802" t="s">
        <v>313</v>
      </c>
      <c r="C4802" t="s">
        <v>314</v>
      </c>
      <c r="D4802" t="str">
        <f>HYPERLINK("http://service.sap.com/sap/support/notes/1882647","1882647")</f>
        <v>1882647</v>
      </c>
      <c r="E4802">
        <v>2</v>
      </c>
      <c r="F4802" t="s">
        <v>4916</v>
      </c>
    </row>
    <row r="4803" spans="1:6" x14ac:dyDescent="0.25">
      <c r="A4803" t="s">
        <v>4700</v>
      </c>
      <c r="B4803" t="s">
        <v>313</v>
      </c>
      <c r="C4803" t="s">
        <v>314</v>
      </c>
      <c r="D4803" t="str">
        <f>HYPERLINK("http://service.sap.com/sap/support/notes/1883563","1883563")</f>
        <v>1883563</v>
      </c>
      <c r="E4803">
        <v>3</v>
      </c>
      <c r="F4803" t="s">
        <v>4917</v>
      </c>
    </row>
    <row r="4804" spans="1:6" x14ac:dyDescent="0.25">
      <c r="A4804" t="s">
        <v>4700</v>
      </c>
      <c r="B4804" t="s">
        <v>313</v>
      </c>
      <c r="C4804" t="s">
        <v>314</v>
      </c>
      <c r="D4804" t="str">
        <f>HYPERLINK("http://service.sap.com/sap/support/notes/1889520","1889520")</f>
        <v>1889520</v>
      </c>
      <c r="E4804">
        <v>1</v>
      </c>
      <c r="F4804" t="s">
        <v>4918</v>
      </c>
    </row>
    <row r="4805" spans="1:6" x14ac:dyDescent="0.25">
      <c r="A4805" t="s">
        <v>4700</v>
      </c>
      <c r="B4805" t="s">
        <v>668</v>
      </c>
      <c r="C4805" t="s">
        <v>156</v>
      </c>
      <c r="D4805" t="str">
        <f>HYPERLINK("http://service.sap.com/sap/support/notes/1889875","1889875")</f>
        <v>1889875</v>
      </c>
      <c r="E4805">
        <v>1</v>
      </c>
      <c r="F4805" t="s">
        <v>4919</v>
      </c>
    </row>
    <row r="4806" spans="1:6" x14ac:dyDescent="0.25">
      <c r="A4806" t="s">
        <v>4700</v>
      </c>
      <c r="B4806" t="s">
        <v>319</v>
      </c>
      <c r="C4806" t="s">
        <v>320</v>
      </c>
      <c r="D4806" t="str">
        <f>HYPERLINK("http://service.sap.com/sap/support/notes/1866328","1866328")</f>
        <v>1866328</v>
      </c>
      <c r="E4806">
        <v>2</v>
      </c>
      <c r="F4806" t="s">
        <v>4920</v>
      </c>
    </row>
    <row r="4807" spans="1:6" x14ac:dyDescent="0.25">
      <c r="A4807" t="s">
        <v>4700</v>
      </c>
      <c r="B4807" t="s">
        <v>319</v>
      </c>
      <c r="C4807" t="s">
        <v>320</v>
      </c>
      <c r="D4807" t="str">
        <f>HYPERLINK("http://service.sap.com/sap/support/notes/1871365","1871365")</f>
        <v>1871365</v>
      </c>
      <c r="E4807">
        <v>2</v>
      </c>
      <c r="F4807" t="s">
        <v>4921</v>
      </c>
    </row>
    <row r="4808" spans="1:6" x14ac:dyDescent="0.25">
      <c r="A4808" t="s">
        <v>4700</v>
      </c>
      <c r="B4808" t="s">
        <v>319</v>
      </c>
      <c r="C4808" t="s">
        <v>320</v>
      </c>
      <c r="D4808" t="str">
        <f>HYPERLINK("http://service.sap.com/sap/support/notes/1876907","1876907")</f>
        <v>1876907</v>
      </c>
      <c r="E4808">
        <v>1</v>
      </c>
      <c r="F4808" t="s">
        <v>4922</v>
      </c>
    </row>
    <row r="4809" spans="1:6" x14ac:dyDescent="0.25">
      <c r="A4809" t="s">
        <v>4700</v>
      </c>
      <c r="B4809" t="s">
        <v>319</v>
      </c>
      <c r="C4809" t="s">
        <v>320</v>
      </c>
      <c r="D4809" t="str">
        <f>HYPERLINK("http://service.sap.com/sap/support/notes/1878839","1878839")</f>
        <v>1878839</v>
      </c>
      <c r="E4809">
        <v>1</v>
      </c>
      <c r="F4809" t="s">
        <v>4923</v>
      </c>
    </row>
    <row r="4810" spans="1:6" x14ac:dyDescent="0.25">
      <c r="A4810" t="s">
        <v>4700</v>
      </c>
      <c r="B4810" t="s">
        <v>319</v>
      </c>
      <c r="C4810" t="s">
        <v>320</v>
      </c>
      <c r="D4810" t="str">
        <f>HYPERLINK("http://service.sap.com/sap/support/notes/1879500","1879500")</f>
        <v>1879500</v>
      </c>
      <c r="E4810">
        <v>1</v>
      </c>
      <c r="F4810" t="s">
        <v>4924</v>
      </c>
    </row>
    <row r="4811" spans="1:6" x14ac:dyDescent="0.25">
      <c r="A4811" t="s">
        <v>4700</v>
      </c>
      <c r="B4811" t="s">
        <v>319</v>
      </c>
      <c r="C4811" t="s">
        <v>320</v>
      </c>
      <c r="D4811" t="str">
        <f>HYPERLINK("http://service.sap.com/sap/support/notes/1884503","1884503")</f>
        <v>1884503</v>
      </c>
      <c r="E4811">
        <v>2</v>
      </c>
      <c r="F4811" t="s">
        <v>4925</v>
      </c>
    </row>
    <row r="4812" spans="1:6" x14ac:dyDescent="0.25">
      <c r="A4812" t="s">
        <v>4700</v>
      </c>
      <c r="B4812" t="s">
        <v>319</v>
      </c>
      <c r="C4812" t="s">
        <v>320</v>
      </c>
      <c r="D4812" t="str">
        <f>HYPERLINK("http://service.sap.com/sap/support/notes/1884610","1884610")</f>
        <v>1884610</v>
      </c>
      <c r="E4812">
        <v>2</v>
      </c>
      <c r="F4812" t="s">
        <v>4926</v>
      </c>
    </row>
    <row r="4813" spans="1:6" x14ac:dyDescent="0.25">
      <c r="A4813" t="s">
        <v>4700</v>
      </c>
      <c r="B4813" t="s">
        <v>319</v>
      </c>
      <c r="C4813" t="s">
        <v>320</v>
      </c>
      <c r="D4813" t="str">
        <f>HYPERLINK("http://service.sap.com/sap/support/notes/1887039","1887039")</f>
        <v>1887039</v>
      </c>
      <c r="E4813">
        <v>2</v>
      </c>
      <c r="F4813" t="s">
        <v>4927</v>
      </c>
    </row>
    <row r="4814" spans="1:6" x14ac:dyDescent="0.25">
      <c r="A4814" t="s">
        <v>4700</v>
      </c>
      <c r="B4814" t="s">
        <v>319</v>
      </c>
      <c r="C4814" t="s">
        <v>320</v>
      </c>
      <c r="D4814" t="str">
        <f>HYPERLINK("http://service.sap.com/sap/support/notes/1888029","1888029")</f>
        <v>1888029</v>
      </c>
      <c r="E4814">
        <v>2</v>
      </c>
      <c r="F4814" t="s">
        <v>4928</v>
      </c>
    </row>
    <row r="4815" spans="1:6" x14ac:dyDescent="0.25">
      <c r="A4815" t="s">
        <v>4700</v>
      </c>
      <c r="B4815" t="s">
        <v>327</v>
      </c>
      <c r="C4815" t="s">
        <v>328</v>
      </c>
      <c r="D4815" t="str">
        <f>HYPERLINK("http://service.sap.com/sap/support/notes/1806147","1806147")</f>
        <v>1806147</v>
      </c>
      <c r="E4815">
        <v>6</v>
      </c>
      <c r="F4815" t="s">
        <v>4929</v>
      </c>
    </row>
    <row r="4816" spans="1:6" x14ac:dyDescent="0.25">
      <c r="A4816" t="s">
        <v>4700</v>
      </c>
      <c r="B4816" t="s">
        <v>327</v>
      </c>
      <c r="C4816" t="s">
        <v>328</v>
      </c>
      <c r="D4816" t="str">
        <f>HYPERLINK("http://service.sap.com/sap/support/notes/1839124","1839124")</f>
        <v>1839124</v>
      </c>
      <c r="E4816">
        <v>3</v>
      </c>
      <c r="F4816" t="s">
        <v>4930</v>
      </c>
    </row>
    <row r="4817" spans="1:6" x14ac:dyDescent="0.25">
      <c r="A4817" t="s">
        <v>4700</v>
      </c>
      <c r="B4817" t="s">
        <v>327</v>
      </c>
      <c r="C4817" t="s">
        <v>328</v>
      </c>
      <c r="D4817" t="str">
        <f>HYPERLINK("http://service.sap.com/sap/support/notes/1852609","1852609")</f>
        <v>1852609</v>
      </c>
      <c r="E4817">
        <v>2</v>
      </c>
      <c r="F4817" t="s">
        <v>4931</v>
      </c>
    </row>
    <row r="4818" spans="1:6" x14ac:dyDescent="0.25">
      <c r="A4818" t="s">
        <v>4700</v>
      </c>
      <c r="B4818" t="s">
        <v>327</v>
      </c>
      <c r="C4818" t="s">
        <v>328</v>
      </c>
      <c r="D4818" t="str">
        <f>HYPERLINK("http://service.sap.com/sap/support/notes/1866735","1866735")</f>
        <v>1866735</v>
      </c>
      <c r="E4818">
        <v>3</v>
      </c>
      <c r="F4818" t="s">
        <v>4932</v>
      </c>
    </row>
    <row r="4819" spans="1:6" x14ac:dyDescent="0.25">
      <c r="A4819" t="s">
        <v>4700</v>
      </c>
      <c r="B4819" t="s">
        <v>327</v>
      </c>
      <c r="C4819" t="s">
        <v>328</v>
      </c>
      <c r="D4819" t="str">
        <f>HYPERLINK("http://service.sap.com/sap/support/notes/1873249","1873249")</f>
        <v>1873249</v>
      </c>
      <c r="E4819">
        <v>2</v>
      </c>
      <c r="F4819" t="s">
        <v>4933</v>
      </c>
    </row>
    <row r="4820" spans="1:6" x14ac:dyDescent="0.25">
      <c r="A4820" t="s">
        <v>4700</v>
      </c>
      <c r="B4820" t="s">
        <v>327</v>
      </c>
      <c r="C4820" t="s">
        <v>328</v>
      </c>
      <c r="D4820" t="str">
        <f>HYPERLINK("http://service.sap.com/sap/support/notes/1875115","1875115")</f>
        <v>1875115</v>
      </c>
      <c r="E4820">
        <v>5</v>
      </c>
      <c r="F4820" t="s">
        <v>4934</v>
      </c>
    </row>
    <row r="4821" spans="1:6" x14ac:dyDescent="0.25">
      <c r="A4821" t="s">
        <v>4700</v>
      </c>
      <c r="B4821" t="s">
        <v>327</v>
      </c>
      <c r="C4821" t="s">
        <v>328</v>
      </c>
      <c r="D4821" t="str">
        <f>HYPERLINK("http://service.sap.com/sap/support/notes/1875171","1875171")</f>
        <v>1875171</v>
      </c>
      <c r="E4821">
        <v>2</v>
      </c>
      <c r="F4821" t="s">
        <v>4935</v>
      </c>
    </row>
    <row r="4822" spans="1:6" x14ac:dyDescent="0.25">
      <c r="A4822" t="s">
        <v>4700</v>
      </c>
      <c r="B4822" t="s">
        <v>327</v>
      </c>
      <c r="C4822" t="s">
        <v>328</v>
      </c>
      <c r="D4822" t="str">
        <f>HYPERLINK("http://service.sap.com/sap/support/notes/1878643","1878643")</f>
        <v>1878643</v>
      </c>
      <c r="E4822">
        <v>1</v>
      </c>
      <c r="F4822" t="s">
        <v>4936</v>
      </c>
    </row>
    <row r="4823" spans="1:6" x14ac:dyDescent="0.25">
      <c r="A4823" t="s">
        <v>4700</v>
      </c>
      <c r="B4823" t="s">
        <v>327</v>
      </c>
      <c r="C4823" t="s">
        <v>328</v>
      </c>
      <c r="D4823" t="str">
        <f>HYPERLINK("http://service.sap.com/sap/support/notes/1883577","1883577")</f>
        <v>1883577</v>
      </c>
      <c r="E4823">
        <v>8</v>
      </c>
      <c r="F4823" t="s">
        <v>4937</v>
      </c>
    </row>
    <row r="4824" spans="1:6" x14ac:dyDescent="0.25">
      <c r="A4824" t="s">
        <v>4700</v>
      </c>
      <c r="B4824" t="s">
        <v>327</v>
      </c>
      <c r="C4824" t="s">
        <v>328</v>
      </c>
      <c r="D4824" t="str">
        <f>HYPERLINK("http://service.sap.com/sap/support/notes/1887290","1887290")</f>
        <v>1887290</v>
      </c>
      <c r="E4824">
        <v>1</v>
      </c>
      <c r="F4824" t="s">
        <v>4938</v>
      </c>
    </row>
    <row r="4825" spans="1:6" x14ac:dyDescent="0.25">
      <c r="A4825" t="s">
        <v>4700</v>
      </c>
      <c r="B4825" t="s">
        <v>337</v>
      </c>
      <c r="C4825" t="s">
        <v>48</v>
      </c>
      <c r="D4825" t="str">
        <f>HYPERLINK("http://service.sap.com/sap/support/notes/1876714","1876714")</f>
        <v>1876714</v>
      </c>
      <c r="E4825">
        <v>1</v>
      </c>
      <c r="F4825" t="s">
        <v>4939</v>
      </c>
    </row>
    <row r="4826" spans="1:6" x14ac:dyDescent="0.25">
      <c r="A4826" t="s">
        <v>4700</v>
      </c>
      <c r="B4826" t="s">
        <v>337</v>
      </c>
      <c r="C4826" t="s">
        <v>48</v>
      </c>
      <c r="D4826" t="str">
        <f>HYPERLINK("http://service.sap.com/sap/support/notes/1883672","1883672")</f>
        <v>1883672</v>
      </c>
      <c r="E4826">
        <v>1</v>
      </c>
      <c r="F4826" t="s">
        <v>4940</v>
      </c>
    </row>
    <row r="4827" spans="1:6" x14ac:dyDescent="0.25">
      <c r="A4827" t="s">
        <v>4700</v>
      </c>
      <c r="B4827" t="s">
        <v>337</v>
      </c>
      <c r="C4827" t="s">
        <v>48</v>
      </c>
      <c r="D4827" t="str">
        <f>HYPERLINK("http://service.sap.com/sap/support/notes/1886430","1886430")</f>
        <v>1886430</v>
      </c>
      <c r="E4827">
        <v>3</v>
      </c>
      <c r="F4827" t="s">
        <v>4941</v>
      </c>
    </row>
    <row r="4828" spans="1:6" x14ac:dyDescent="0.25">
      <c r="A4828" t="s">
        <v>4700</v>
      </c>
      <c r="B4828" t="s">
        <v>4942</v>
      </c>
      <c r="C4828" t="s">
        <v>4943</v>
      </c>
      <c r="D4828" t="str">
        <f>HYPERLINK("http://service.sap.com/sap/support/notes/1875458","1875458")</f>
        <v>1875458</v>
      </c>
      <c r="E4828">
        <v>2</v>
      </c>
      <c r="F4828" t="s">
        <v>4944</v>
      </c>
    </row>
    <row r="4829" spans="1:6" x14ac:dyDescent="0.25">
      <c r="A4829" t="s">
        <v>4700</v>
      </c>
      <c r="B4829" t="s">
        <v>340</v>
      </c>
      <c r="C4829" t="s">
        <v>52</v>
      </c>
      <c r="D4829" t="str">
        <f>HYPERLINK("http://service.sap.com/sap/support/notes/1867242","1867242")</f>
        <v>1867242</v>
      </c>
      <c r="E4829">
        <v>8</v>
      </c>
      <c r="F4829" t="s">
        <v>4609</v>
      </c>
    </row>
    <row r="4830" spans="1:6" x14ac:dyDescent="0.25">
      <c r="A4830" t="s">
        <v>4700</v>
      </c>
      <c r="B4830" t="s">
        <v>340</v>
      </c>
      <c r="C4830" t="s">
        <v>52</v>
      </c>
      <c r="D4830" t="str">
        <f>HYPERLINK("http://service.sap.com/sap/support/notes/1877959","1877959")</f>
        <v>1877959</v>
      </c>
      <c r="E4830">
        <v>2</v>
      </c>
      <c r="F4830" t="s">
        <v>4612</v>
      </c>
    </row>
    <row r="4831" spans="1:6" x14ac:dyDescent="0.25">
      <c r="A4831" t="s">
        <v>4700</v>
      </c>
      <c r="B4831" t="s">
        <v>340</v>
      </c>
      <c r="C4831" t="s">
        <v>52</v>
      </c>
      <c r="D4831" t="str">
        <f>HYPERLINK("http://service.sap.com/sap/support/notes/1880822","1880822")</f>
        <v>1880822</v>
      </c>
      <c r="E4831">
        <v>1</v>
      </c>
      <c r="F4831" t="s">
        <v>4945</v>
      </c>
    </row>
    <row r="4832" spans="1:6" x14ac:dyDescent="0.25">
      <c r="A4832" t="s">
        <v>4700</v>
      </c>
      <c r="B4832" t="s">
        <v>340</v>
      </c>
      <c r="C4832" t="s">
        <v>52</v>
      </c>
      <c r="D4832" t="str">
        <f>HYPERLINK("http://service.sap.com/sap/support/notes/1882115","1882115")</f>
        <v>1882115</v>
      </c>
      <c r="E4832">
        <v>5</v>
      </c>
      <c r="F4832" t="s">
        <v>4946</v>
      </c>
    </row>
    <row r="4833" spans="1:6" x14ac:dyDescent="0.25">
      <c r="A4833" t="s">
        <v>4700</v>
      </c>
      <c r="B4833" t="s">
        <v>340</v>
      </c>
      <c r="C4833" t="s">
        <v>52</v>
      </c>
      <c r="D4833" t="str">
        <f>HYPERLINK("http://service.sap.com/sap/support/notes/1884444","1884444")</f>
        <v>1884444</v>
      </c>
      <c r="E4833">
        <v>1</v>
      </c>
      <c r="F4833" t="s">
        <v>4947</v>
      </c>
    </row>
    <row r="4834" spans="1:6" x14ac:dyDescent="0.25">
      <c r="A4834" t="s">
        <v>4700</v>
      </c>
      <c r="B4834" t="s">
        <v>344</v>
      </c>
      <c r="C4834" t="s">
        <v>345</v>
      </c>
      <c r="D4834" t="str">
        <f>HYPERLINK("http://service.sap.com/sap/support/notes/1872520","1872520")</f>
        <v>1872520</v>
      </c>
      <c r="E4834">
        <v>3</v>
      </c>
      <c r="F4834" t="s">
        <v>4948</v>
      </c>
    </row>
    <row r="4835" spans="1:6" x14ac:dyDescent="0.25">
      <c r="A4835" t="s">
        <v>4700</v>
      </c>
      <c r="B4835" t="s">
        <v>344</v>
      </c>
      <c r="C4835" t="s">
        <v>345</v>
      </c>
      <c r="D4835" t="str">
        <f>HYPERLINK("http://service.sap.com/sap/support/notes/1875874","1875874")</f>
        <v>1875874</v>
      </c>
      <c r="E4835">
        <v>2</v>
      </c>
      <c r="F4835" t="s">
        <v>4949</v>
      </c>
    </row>
    <row r="4836" spans="1:6" x14ac:dyDescent="0.25">
      <c r="A4836" t="s">
        <v>4700</v>
      </c>
      <c r="B4836" t="s">
        <v>344</v>
      </c>
      <c r="C4836" t="s">
        <v>345</v>
      </c>
      <c r="D4836" t="str">
        <f>HYPERLINK("http://service.sap.com/sap/support/notes/1882381","1882381")</f>
        <v>1882381</v>
      </c>
      <c r="E4836">
        <v>1</v>
      </c>
      <c r="F4836" t="s">
        <v>4950</v>
      </c>
    </row>
    <row r="4837" spans="1:6" x14ac:dyDescent="0.25">
      <c r="A4837" t="s">
        <v>4700</v>
      </c>
      <c r="B4837" t="s">
        <v>350</v>
      </c>
      <c r="C4837" t="s">
        <v>351</v>
      </c>
      <c r="D4837" t="str">
        <f>HYPERLINK("http://service.sap.com/sap/support/notes/1869794","1869794")</f>
        <v>1869794</v>
      </c>
      <c r="E4837">
        <v>3</v>
      </c>
      <c r="F4837" t="s">
        <v>4951</v>
      </c>
    </row>
    <row r="4838" spans="1:6" x14ac:dyDescent="0.25">
      <c r="A4838" t="s">
        <v>4700</v>
      </c>
      <c r="B4838" t="s">
        <v>350</v>
      </c>
      <c r="C4838" t="s">
        <v>351</v>
      </c>
      <c r="D4838" t="str">
        <f>HYPERLINK("http://service.sap.com/sap/support/notes/1873975","1873975")</f>
        <v>1873975</v>
      </c>
      <c r="E4838">
        <v>2</v>
      </c>
      <c r="F4838" t="s">
        <v>4952</v>
      </c>
    </row>
    <row r="4839" spans="1:6" x14ac:dyDescent="0.25">
      <c r="A4839" t="s">
        <v>4700</v>
      </c>
      <c r="B4839" t="s">
        <v>350</v>
      </c>
      <c r="C4839" t="s">
        <v>351</v>
      </c>
      <c r="D4839" t="str">
        <f>HYPERLINK("http://service.sap.com/sap/support/notes/1881340","1881340")</f>
        <v>1881340</v>
      </c>
      <c r="E4839">
        <v>3</v>
      </c>
      <c r="F4839" t="s">
        <v>4953</v>
      </c>
    </row>
    <row r="4840" spans="1:6" x14ac:dyDescent="0.25">
      <c r="A4840" t="s">
        <v>4700</v>
      </c>
      <c r="B4840" t="s">
        <v>350</v>
      </c>
      <c r="C4840" t="s">
        <v>351</v>
      </c>
      <c r="D4840" t="str">
        <f>HYPERLINK("http://service.sap.com/sap/support/notes/1881639","1881639")</f>
        <v>1881639</v>
      </c>
      <c r="E4840">
        <v>1</v>
      </c>
      <c r="F4840" t="s">
        <v>4954</v>
      </c>
    </row>
    <row r="4841" spans="1:6" x14ac:dyDescent="0.25">
      <c r="A4841" t="s">
        <v>4700</v>
      </c>
      <c r="B4841" t="s">
        <v>350</v>
      </c>
      <c r="C4841" t="s">
        <v>351</v>
      </c>
      <c r="D4841" t="str">
        <f>HYPERLINK("http://service.sap.com/sap/support/notes/1882263","1882263")</f>
        <v>1882263</v>
      </c>
      <c r="E4841">
        <v>1</v>
      </c>
      <c r="F4841" t="s">
        <v>4955</v>
      </c>
    </row>
    <row r="4842" spans="1:6" x14ac:dyDescent="0.25">
      <c r="A4842" t="s">
        <v>4700</v>
      </c>
      <c r="B4842" t="s">
        <v>356</v>
      </c>
      <c r="C4842" t="s">
        <v>55</v>
      </c>
      <c r="D4842" t="str">
        <f>HYPERLINK("http://service.sap.com/sap/support/notes/1843031","1843031")</f>
        <v>1843031</v>
      </c>
      <c r="E4842">
        <v>2</v>
      </c>
      <c r="F4842" t="s">
        <v>4956</v>
      </c>
    </row>
    <row r="4843" spans="1:6" x14ac:dyDescent="0.25">
      <c r="A4843" t="s">
        <v>4700</v>
      </c>
      <c r="B4843" t="s">
        <v>356</v>
      </c>
      <c r="C4843" t="s">
        <v>55</v>
      </c>
      <c r="D4843" t="str">
        <f>HYPERLINK("http://service.sap.com/sap/support/notes/1877130","1877130")</f>
        <v>1877130</v>
      </c>
      <c r="E4843">
        <v>1</v>
      </c>
      <c r="F4843" t="s">
        <v>4957</v>
      </c>
    </row>
    <row r="4844" spans="1:6" x14ac:dyDescent="0.25">
      <c r="A4844" t="s">
        <v>4700</v>
      </c>
      <c r="B4844" t="s">
        <v>356</v>
      </c>
      <c r="C4844" t="s">
        <v>55</v>
      </c>
      <c r="D4844" t="str">
        <f>HYPERLINK("http://service.sap.com/sap/support/notes/1878041","1878041")</f>
        <v>1878041</v>
      </c>
      <c r="E4844">
        <v>2</v>
      </c>
      <c r="F4844" t="s">
        <v>4958</v>
      </c>
    </row>
    <row r="4845" spans="1:6" x14ac:dyDescent="0.25">
      <c r="A4845" t="s">
        <v>4700</v>
      </c>
      <c r="B4845" t="s">
        <v>356</v>
      </c>
      <c r="C4845" t="s">
        <v>55</v>
      </c>
      <c r="D4845" t="str">
        <f>HYPERLINK("http://service.sap.com/sap/support/notes/1878302","1878302")</f>
        <v>1878302</v>
      </c>
      <c r="E4845">
        <v>1</v>
      </c>
      <c r="F4845" t="s">
        <v>4959</v>
      </c>
    </row>
    <row r="4846" spans="1:6" x14ac:dyDescent="0.25">
      <c r="A4846" t="s">
        <v>4700</v>
      </c>
      <c r="B4846" t="s">
        <v>356</v>
      </c>
      <c r="C4846" t="s">
        <v>55</v>
      </c>
      <c r="D4846" t="str">
        <f>HYPERLINK("http://service.sap.com/sap/support/notes/1880505","1880505")</f>
        <v>1880505</v>
      </c>
      <c r="E4846">
        <v>4</v>
      </c>
      <c r="F4846" t="s">
        <v>4960</v>
      </c>
    </row>
    <row r="4847" spans="1:6" x14ac:dyDescent="0.25">
      <c r="A4847" t="s">
        <v>4700</v>
      </c>
      <c r="B4847" t="s">
        <v>356</v>
      </c>
      <c r="C4847" t="s">
        <v>55</v>
      </c>
      <c r="D4847" t="str">
        <f>HYPERLINK("http://service.sap.com/sap/support/notes/1884736","1884736")</f>
        <v>1884736</v>
      </c>
      <c r="E4847">
        <v>2</v>
      </c>
      <c r="F4847" t="s">
        <v>4961</v>
      </c>
    </row>
    <row r="4848" spans="1:6" x14ac:dyDescent="0.25">
      <c r="A4848" t="s">
        <v>4700</v>
      </c>
      <c r="B4848" t="s">
        <v>356</v>
      </c>
      <c r="C4848" t="s">
        <v>55</v>
      </c>
      <c r="D4848" t="str">
        <f>HYPERLINK("http://service.sap.com/sap/support/notes/1886433","1886433")</f>
        <v>1886433</v>
      </c>
      <c r="E4848">
        <v>1</v>
      </c>
      <c r="F4848" t="s">
        <v>4962</v>
      </c>
    </row>
    <row r="4849" spans="1:6" x14ac:dyDescent="0.25">
      <c r="A4849" t="s">
        <v>4700</v>
      </c>
      <c r="B4849" t="s">
        <v>362</v>
      </c>
      <c r="C4849" t="s">
        <v>363</v>
      </c>
      <c r="D4849" t="str">
        <f>HYPERLINK("http://service.sap.com/sap/support/notes/1847747","1847747")</f>
        <v>1847747</v>
      </c>
      <c r="E4849">
        <v>3</v>
      </c>
      <c r="F4849" t="s">
        <v>4963</v>
      </c>
    </row>
    <row r="4850" spans="1:6" x14ac:dyDescent="0.25">
      <c r="A4850" t="s">
        <v>4700</v>
      </c>
      <c r="B4850" t="s">
        <v>362</v>
      </c>
      <c r="C4850" t="s">
        <v>363</v>
      </c>
      <c r="D4850" t="str">
        <f>HYPERLINK("http://service.sap.com/sap/support/notes/1849595","1849595")</f>
        <v>1849595</v>
      </c>
      <c r="E4850">
        <v>2</v>
      </c>
      <c r="F4850" t="s">
        <v>4964</v>
      </c>
    </row>
    <row r="4851" spans="1:6" x14ac:dyDescent="0.25">
      <c r="A4851" t="s">
        <v>4700</v>
      </c>
      <c r="B4851" t="s">
        <v>362</v>
      </c>
      <c r="C4851" t="s">
        <v>363</v>
      </c>
      <c r="D4851" t="str">
        <f>HYPERLINK("http://service.sap.com/sap/support/notes/1868158","1868158")</f>
        <v>1868158</v>
      </c>
      <c r="E4851">
        <v>4</v>
      </c>
      <c r="F4851" t="s">
        <v>4965</v>
      </c>
    </row>
    <row r="4852" spans="1:6" x14ac:dyDescent="0.25">
      <c r="A4852" t="s">
        <v>4700</v>
      </c>
      <c r="B4852" t="s">
        <v>362</v>
      </c>
      <c r="C4852" t="s">
        <v>363</v>
      </c>
      <c r="D4852" t="str">
        <f>HYPERLINK("http://service.sap.com/sap/support/notes/1876401","1876401")</f>
        <v>1876401</v>
      </c>
      <c r="E4852">
        <v>2</v>
      </c>
      <c r="F4852" t="s">
        <v>4966</v>
      </c>
    </row>
    <row r="4853" spans="1:6" x14ac:dyDescent="0.25">
      <c r="A4853" t="s">
        <v>4700</v>
      </c>
      <c r="B4853" t="s">
        <v>362</v>
      </c>
      <c r="C4853" t="s">
        <v>363</v>
      </c>
      <c r="D4853" t="str">
        <f>HYPERLINK("http://service.sap.com/sap/support/notes/1878404","1878404")</f>
        <v>1878404</v>
      </c>
      <c r="E4853">
        <v>1</v>
      </c>
      <c r="F4853" t="s">
        <v>4967</v>
      </c>
    </row>
    <row r="4854" spans="1:6" x14ac:dyDescent="0.25">
      <c r="A4854" t="s">
        <v>4700</v>
      </c>
      <c r="B4854" t="s">
        <v>362</v>
      </c>
      <c r="C4854" t="s">
        <v>363</v>
      </c>
      <c r="D4854" t="str">
        <f>HYPERLINK("http://service.sap.com/sap/support/notes/1879318","1879318")</f>
        <v>1879318</v>
      </c>
      <c r="E4854">
        <v>1</v>
      </c>
      <c r="F4854" t="s">
        <v>4968</v>
      </c>
    </row>
    <row r="4855" spans="1:6" x14ac:dyDescent="0.25">
      <c r="A4855" t="s">
        <v>4700</v>
      </c>
      <c r="B4855" t="s">
        <v>362</v>
      </c>
      <c r="C4855" t="s">
        <v>363</v>
      </c>
      <c r="D4855" t="str">
        <f>HYPERLINK("http://service.sap.com/sap/support/notes/1882669","1882669")</f>
        <v>1882669</v>
      </c>
      <c r="E4855">
        <v>2</v>
      </c>
      <c r="F4855" t="s">
        <v>4969</v>
      </c>
    </row>
    <row r="4856" spans="1:6" x14ac:dyDescent="0.25">
      <c r="A4856" t="s">
        <v>4700</v>
      </c>
      <c r="B4856" t="s">
        <v>362</v>
      </c>
      <c r="C4856" t="s">
        <v>363</v>
      </c>
      <c r="D4856" t="str">
        <f>HYPERLINK("http://service.sap.com/sap/support/notes/1884880","1884880")</f>
        <v>1884880</v>
      </c>
      <c r="E4856">
        <v>2</v>
      </c>
      <c r="F4856" t="s">
        <v>4970</v>
      </c>
    </row>
    <row r="4857" spans="1:6" x14ac:dyDescent="0.25">
      <c r="A4857" t="s">
        <v>4700</v>
      </c>
      <c r="B4857" t="s">
        <v>362</v>
      </c>
      <c r="C4857" t="s">
        <v>363</v>
      </c>
      <c r="D4857" t="str">
        <f>HYPERLINK("http://service.sap.com/sap/support/notes/1886685","1886685")</f>
        <v>1886685</v>
      </c>
      <c r="E4857">
        <v>1</v>
      </c>
      <c r="F4857" t="s">
        <v>4971</v>
      </c>
    </row>
    <row r="4858" spans="1:6" x14ac:dyDescent="0.25">
      <c r="A4858" t="s">
        <v>4700</v>
      </c>
      <c r="B4858" t="s">
        <v>362</v>
      </c>
      <c r="C4858" t="s">
        <v>363</v>
      </c>
      <c r="D4858" t="str">
        <f>HYPERLINK("http://service.sap.com/sap/support/notes/1887106","1887106")</f>
        <v>1887106</v>
      </c>
      <c r="E4858">
        <v>1</v>
      </c>
      <c r="F4858" t="s">
        <v>4972</v>
      </c>
    </row>
    <row r="4859" spans="1:6" x14ac:dyDescent="0.25">
      <c r="A4859" t="s">
        <v>4700</v>
      </c>
      <c r="B4859" t="s">
        <v>379</v>
      </c>
      <c r="C4859" t="s">
        <v>380</v>
      </c>
      <c r="D4859" t="str">
        <f>HYPERLINK("http://service.sap.com/sap/support/notes/1878555","1878555")</f>
        <v>1878555</v>
      </c>
      <c r="E4859">
        <v>1</v>
      </c>
      <c r="F4859" t="s">
        <v>4973</v>
      </c>
    </row>
    <row r="4860" spans="1:6" x14ac:dyDescent="0.25">
      <c r="A4860" t="s">
        <v>4700</v>
      </c>
      <c r="B4860" t="s">
        <v>384</v>
      </c>
      <c r="C4860" t="s">
        <v>385</v>
      </c>
      <c r="D4860" t="str">
        <f>HYPERLINK("http://service.sap.com/sap/support/notes/1716770","1716770")</f>
        <v>1716770</v>
      </c>
      <c r="E4860">
        <v>4</v>
      </c>
      <c r="F4860" t="s">
        <v>4974</v>
      </c>
    </row>
    <row r="4861" spans="1:6" x14ac:dyDescent="0.25">
      <c r="A4861" t="s">
        <v>4700</v>
      </c>
      <c r="B4861" t="s">
        <v>384</v>
      </c>
      <c r="C4861" t="s">
        <v>385</v>
      </c>
      <c r="D4861" t="str">
        <f>HYPERLINK("http://service.sap.com/sap/support/notes/1858676","1858676")</f>
        <v>1858676</v>
      </c>
      <c r="E4861">
        <v>2</v>
      </c>
      <c r="F4861" t="s">
        <v>4975</v>
      </c>
    </row>
    <row r="4862" spans="1:6" x14ac:dyDescent="0.25">
      <c r="A4862" t="s">
        <v>4700</v>
      </c>
      <c r="B4862" t="s">
        <v>384</v>
      </c>
      <c r="C4862" t="s">
        <v>385</v>
      </c>
      <c r="D4862" t="str">
        <f>HYPERLINK("http://service.sap.com/sap/support/notes/1869897","1869897")</f>
        <v>1869897</v>
      </c>
      <c r="E4862">
        <v>1</v>
      </c>
      <c r="F4862" t="s">
        <v>4637</v>
      </c>
    </row>
    <row r="4863" spans="1:6" x14ac:dyDescent="0.25">
      <c r="A4863" t="s">
        <v>4700</v>
      </c>
      <c r="B4863" t="s">
        <v>384</v>
      </c>
      <c r="C4863" t="s">
        <v>385</v>
      </c>
      <c r="D4863" t="str">
        <f>HYPERLINK("http://service.sap.com/sap/support/notes/1873048","1873048")</f>
        <v>1873048</v>
      </c>
      <c r="E4863">
        <v>1</v>
      </c>
      <c r="F4863" t="s">
        <v>4976</v>
      </c>
    </row>
    <row r="4864" spans="1:6" x14ac:dyDescent="0.25">
      <c r="A4864" t="s">
        <v>4700</v>
      </c>
      <c r="B4864" t="s">
        <v>384</v>
      </c>
      <c r="C4864" t="s">
        <v>385</v>
      </c>
      <c r="D4864" t="str">
        <f>HYPERLINK("http://service.sap.com/sap/support/notes/1876630","1876630")</f>
        <v>1876630</v>
      </c>
      <c r="E4864">
        <v>1</v>
      </c>
      <c r="F4864" t="s">
        <v>4638</v>
      </c>
    </row>
    <row r="4865" spans="1:6" x14ac:dyDescent="0.25">
      <c r="A4865" t="s">
        <v>4700</v>
      </c>
      <c r="B4865" t="s">
        <v>384</v>
      </c>
      <c r="C4865" t="s">
        <v>385</v>
      </c>
      <c r="D4865" t="str">
        <f>HYPERLINK("http://service.sap.com/sap/support/notes/1878924","1878924")</f>
        <v>1878924</v>
      </c>
      <c r="E4865">
        <v>1</v>
      </c>
      <c r="F4865" t="s">
        <v>4977</v>
      </c>
    </row>
    <row r="4866" spans="1:6" x14ac:dyDescent="0.25">
      <c r="A4866" t="s">
        <v>4700</v>
      </c>
      <c r="B4866" t="s">
        <v>384</v>
      </c>
      <c r="C4866" t="s">
        <v>385</v>
      </c>
      <c r="D4866" t="str">
        <f>HYPERLINK("http://service.sap.com/sap/support/notes/1882806","1882806")</f>
        <v>1882806</v>
      </c>
      <c r="E4866">
        <v>1</v>
      </c>
      <c r="F4866" t="s">
        <v>4978</v>
      </c>
    </row>
    <row r="4867" spans="1:6" x14ac:dyDescent="0.25">
      <c r="A4867" t="s">
        <v>4700</v>
      </c>
      <c r="B4867" t="s">
        <v>384</v>
      </c>
      <c r="C4867" t="s">
        <v>385</v>
      </c>
      <c r="D4867" t="str">
        <f>HYPERLINK("http://service.sap.com/sap/support/notes/1883266","1883266")</f>
        <v>1883266</v>
      </c>
      <c r="E4867">
        <v>3</v>
      </c>
      <c r="F4867" t="s">
        <v>4979</v>
      </c>
    </row>
    <row r="4868" spans="1:6" x14ac:dyDescent="0.25">
      <c r="A4868" t="s">
        <v>4700</v>
      </c>
      <c r="B4868" t="s">
        <v>384</v>
      </c>
      <c r="C4868" t="s">
        <v>385</v>
      </c>
      <c r="D4868" t="str">
        <f>HYPERLINK("http://service.sap.com/sap/support/notes/1884571","1884571")</f>
        <v>1884571</v>
      </c>
      <c r="E4868">
        <v>1</v>
      </c>
      <c r="F4868" t="s">
        <v>4980</v>
      </c>
    </row>
    <row r="4869" spans="1:6" x14ac:dyDescent="0.25">
      <c r="A4869" t="s">
        <v>4700</v>
      </c>
      <c r="B4869" t="s">
        <v>384</v>
      </c>
      <c r="C4869" t="s">
        <v>385</v>
      </c>
      <c r="D4869" t="str">
        <f>HYPERLINK("http://service.sap.com/sap/support/notes/1887437","1887437")</f>
        <v>1887437</v>
      </c>
      <c r="E4869">
        <v>1</v>
      </c>
      <c r="F4869" t="s">
        <v>4981</v>
      </c>
    </row>
    <row r="4870" spans="1:6" x14ac:dyDescent="0.25">
      <c r="A4870" t="s">
        <v>4700</v>
      </c>
      <c r="B4870" t="s">
        <v>384</v>
      </c>
      <c r="C4870" t="s">
        <v>385</v>
      </c>
      <c r="D4870" t="str">
        <f>HYPERLINK("http://service.sap.com/sap/support/notes/1887509","1887509")</f>
        <v>1887509</v>
      </c>
      <c r="E4870">
        <v>1</v>
      </c>
      <c r="F4870" t="s">
        <v>4982</v>
      </c>
    </row>
    <row r="4871" spans="1:6" x14ac:dyDescent="0.25">
      <c r="A4871" t="s">
        <v>4700</v>
      </c>
      <c r="B4871" t="s">
        <v>384</v>
      </c>
      <c r="C4871" t="s">
        <v>385</v>
      </c>
      <c r="D4871" t="str">
        <f>HYPERLINK("http://service.sap.com/sap/support/notes/1889004","1889004")</f>
        <v>1889004</v>
      </c>
      <c r="E4871">
        <v>1</v>
      </c>
      <c r="F4871" t="s">
        <v>4983</v>
      </c>
    </row>
    <row r="4872" spans="1:6" x14ac:dyDescent="0.25">
      <c r="A4872" t="s">
        <v>4700</v>
      </c>
      <c r="B4872" t="s">
        <v>395</v>
      </c>
      <c r="C4872" t="s">
        <v>396</v>
      </c>
      <c r="D4872" t="str">
        <f>HYPERLINK("http://service.sap.com/sap/support/notes/1862717","1862717")</f>
        <v>1862717</v>
      </c>
      <c r="E4872">
        <v>2</v>
      </c>
      <c r="F4872" t="s">
        <v>4984</v>
      </c>
    </row>
    <row r="4873" spans="1:6" x14ac:dyDescent="0.25">
      <c r="A4873" t="s">
        <v>4700</v>
      </c>
      <c r="B4873" t="s">
        <v>395</v>
      </c>
      <c r="C4873" t="s">
        <v>396</v>
      </c>
      <c r="D4873" t="str">
        <f>HYPERLINK("http://service.sap.com/sap/support/notes/1869652","1869652")</f>
        <v>1869652</v>
      </c>
      <c r="E4873">
        <v>2</v>
      </c>
      <c r="F4873" t="s">
        <v>4985</v>
      </c>
    </row>
    <row r="4874" spans="1:6" x14ac:dyDescent="0.25">
      <c r="A4874" t="s">
        <v>4700</v>
      </c>
      <c r="B4874" t="s">
        <v>395</v>
      </c>
      <c r="C4874" t="s">
        <v>396</v>
      </c>
      <c r="D4874" t="str">
        <f>HYPERLINK("http://service.sap.com/sap/support/notes/1871047","1871047")</f>
        <v>1871047</v>
      </c>
      <c r="E4874">
        <v>2</v>
      </c>
      <c r="F4874" t="s">
        <v>4986</v>
      </c>
    </row>
    <row r="4875" spans="1:6" x14ac:dyDescent="0.25">
      <c r="A4875" t="s">
        <v>4700</v>
      </c>
      <c r="B4875" t="s">
        <v>402</v>
      </c>
      <c r="C4875" t="s">
        <v>403</v>
      </c>
      <c r="D4875" t="str">
        <f>HYPERLINK("http://service.sap.com/sap/support/notes/1869230","1869230")</f>
        <v>1869230</v>
      </c>
      <c r="E4875">
        <v>1</v>
      </c>
      <c r="F4875" t="s">
        <v>4987</v>
      </c>
    </row>
    <row r="4876" spans="1:6" x14ac:dyDescent="0.25">
      <c r="A4876" t="s">
        <v>4700</v>
      </c>
      <c r="B4876" t="s">
        <v>402</v>
      </c>
      <c r="C4876" t="s">
        <v>403</v>
      </c>
      <c r="D4876" t="str">
        <f>HYPERLINK("http://service.sap.com/sap/support/notes/1884597","1884597")</f>
        <v>1884597</v>
      </c>
      <c r="E4876">
        <v>1</v>
      </c>
      <c r="F4876" t="s">
        <v>4988</v>
      </c>
    </row>
    <row r="4877" spans="1:6" x14ac:dyDescent="0.25">
      <c r="A4877" t="s">
        <v>4700</v>
      </c>
      <c r="B4877" t="s">
        <v>402</v>
      </c>
      <c r="C4877" t="s">
        <v>403</v>
      </c>
      <c r="D4877" t="str">
        <f>HYPERLINK("http://service.sap.com/sap/support/notes/1886821","1886821")</f>
        <v>1886821</v>
      </c>
      <c r="E4877">
        <v>1</v>
      </c>
      <c r="F4877" t="s">
        <v>4989</v>
      </c>
    </row>
    <row r="4878" spans="1:6" x14ac:dyDescent="0.25">
      <c r="A4878" t="s">
        <v>4700</v>
      </c>
      <c r="B4878" t="s">
        <v>406</v>
      </c>
      <c r="C4878" t="s">
        <v>407</v>
      </c>
      <c r="D4878" t="str">
        <f>HYPERLINK("http://service.sap.com/sap/support/notes/1849947","1849947")</f>
        <v>1849947</v>
      </c>
      <c r="E4878">
        <v>10</v>
      </c>
      <c r="F4878" t="s">
        <v>4990</v>
      </c>
    </row>
    <row r="4879" spans="1:6" x14ac:dyDescent="0.25">
      <c r="A4879" t="s">
        <v>4700</v>
      </c>
      <c r="B4879" t="s">
        <v>406</v>
      </c>
      <c r="C4879" t="s">
        <v>407</v>
      </c>
      <c r="D4879" t="str">
        <f>HYPERLINK("http://service.sap.com/sap/support/notes/1856416","1856416")</f>
        <v>1856416</v>
      </c>
      <c r="E4879">
        <v>5</v>
      </c>
      <c r="F4879" t="s">
        <v>4991</v>
      </c>
    </row>
    <row r="4880" spans="1:6" x14ac:dyDescent="0.25">
      <c r="A4880" t="s">
        <v>4700</v>
      </c>
      <c r="B4880" t="s">
        <v>406</v>
      </c>
      <c r="C4880" t="s">
        <v>407</v>
      </c>
      <c r="D4880" t="str">
        <f>HYPERLINK("http://service.sap.com/sap/support/notes/1872032","1872032")</f>
        <v>1872032</v>
      </c>
      <c r="E4880">
        <v>5</v>
      </c>
      <c r="F4880" t="s">
        <v>4992</v>
      </c>
    </row>
    <row r="4881" spans="1:6" x14ac:dyDescent="0.25">
      <c r="A4881" t="s">
        <v>4700</v>
      </c>
      <c r="B4881" t="s">
        <v>406</v>
      </c>
      <c r="C4881" t="s">
        <v>407</v>
      </c>
      <c r="D4881" t="str">
        <f>HYPERLINK("http://service.sap.com/sap/support/notes/1875198","1875198")</f>
        <v>1875198</v>
      </c>
      <c r="E4881">
        <v>9</v>
      </c>
      <c r="F4881" t="s">
        <v>4993</v>
      </c>
    </row>
    <row r="4882" spans="1:6" x14ac:dyDescent="0.25">
      <c r="A4882" t="s">
        <v>4700</v>
      </c>
      <c r="B4882" t="s">
        <v>409</v>
      </c>
      <c r="C4882" t="s">
        <v>410</v>
      </c>
      <c r="D4882" t="str">
        <f>HYPERLINK("http://service.sap.com/sap/support/notes/1850585","1850585")</f>
        <v>1850585</v>
      </c>
      <c r="E4882">
        <v>4</v>
      </c>
      <c r="F4882" t="s">
        <v>4994</v>
      </c>
    </row>
    <row r="4883" spans="1:6" x14ac:dyDescent="0.25">
      <c r="A4883" t="s">
        <v>4700</v>
      </c>
      <c r="B4883" t="s">
        <v>409</v>
      </c>
      <c r="C4883" t="s">
        <v>410</v>
      </c>
      <c r="D4883" t="str">
        <f>HYPERLINK("http://service.sap.com/sap/support/notes/1862383","1862383")</f>
        <v>1862383</v>
      </c>
      <c r="E4883">
        <v>5</v>
      </c>
      <c r="F4883" t="s">
        <v>4995</v>
      </c>
    </row>
    <row r="4884" spans="1:6" x14ac:dyDescent="0.25">
      <c r="A4884" t="s">
        <v>4700</v>
      </c>
      <c r="B4884" t="s">
        <v>409</v>
      </c>
      <c r="C4884" t="s">
        <v>410</v>
      </c>
      <c r="D4884" t="str">
        <f>HYPERLINK("http://service.sap.com/sap/support/notes/1864799","1864799")</f>
        <v>1864799</v>
      </c>
      <c r="E4884">
        <v>4</v>
      </c>
      <c r="F4884" t="s">
        <v>4996</v>
      </c>
    </row>
    <row r="4885" spans="1:6" x14ac:dyDescent="0.25">
      <c r="A4885" t="s">
        <v>4700</v>
      </c>
      <c r="B4885" t="s">
        <v>409</v>
      </c>
      <c r="C4885" t="s">
        <v>410</v>
      </c>
      <c r="D4885" t="str">
        <f>HYPERLINK("http://service.sap.com/sap/support/notes/1864862","1864862")</f>
        <v>1864862</v>
      </c>
      <c r="E4885">
        <v>4</v>
      </c>
      <c r="F4885" t="s">
        <v>4997</v>
      </c>
    </row>
    <row r="4886" spans="1:6" x14ac:dyDescent="0.25">
      <c r="A4886" t="s">
        <v>4700</v>
      </c>
      <c r="B4886" t="s">
        <v>409</v>
      </c>
      <c r="C4886" t="s">
        <v>410</v>
      </c>
      <c r="D4886" t="str">
        <f>HYPERLINK("http://service.sap.com/sap/support/notes/1868763","1868763")</f>
        <v>1868763</v>
      </c>
      <c r="E4886">
        <v>10</v>
      </c>
      <c r="F4886" t="s">
        <v>4998</v>
      </c>
    </row>
    <row r="4887" spans="1:6" x14ac:dyDescent="0.25">
      <c r="A4887" t="s">
        <v>4700</v>
      </c>
      <c r="B4887" t="s">
        <v>409</v>
      </c>
      <c r="C4887" t="s">
        <v>410</v>
      </c>
      <c r="D4887" t="str">
        <f>HYPERLINK("http://service.sap.com/sap/support/notes/1869520","1869520")</f>
        <v>1869520</v>
      </c>
      <c r="E4887">
        <v>2</v>
      </c>
      <c r="F4887" t="s">
        <v>4999</v>
      </c>
    </row>
    <row r="4888" spans="1:6" x14ac:dyDescent="0.25">
      <c r="A4888" t="s">
        <v>4700</v>
      </c>
      <c r="B4888" t="s">
        <v>409</v>
      </c>
      <c r="C4888" t="s">
        <v>410</v>
      </c>
      <c r="D4888" t="str">
        <f>HYPERLINK("http://service.sap.com/sap/support/notes/1884256","1884256")</f>
        <v>1884256</v>
      </c>
      <c r="E4888">
        <v>4</v>
      </c>
      <c r="F4888" t="s">
        <v>5000</v>
      </c>
    </row>
    <row r="4889" spans="1:6" x14ac:dyDescent="0.25">
      <c r="A4889" t="s">
        <v>4700</v>
      </c>
      <c r="B4889" t="s">
        <v>423</v>
      </c>
      <c r="C4889" t="s">
        <v>424</v>
      </c>
      <c r="D4889" t="str">
        <f>HYPERLINK("http://service.sap.com/sap/support/notes/1869581","1869581")</f>
        <v>1869581</v>
      </c>
      <c r="E4889">
        <v>1</v>
      </c>
      <c r="F4889" t="s">
        <v>4652</v>
      </c>
    </row>
    <row r="4890" spans="1:6" x14ac:dyDescent="0.25">
      <c r="A4890" t="s">
        <v>4700</v>
      </c>
      <c r="B4890" t="s">
        <v>423</v>
      </c>
      <c r="C4890" t="s">
        <v>424</v>
      </c>
      <c r="D4890" t="str">
        <f>HYPERLINK("http://service.sap.com/sap/support/notes/1872280","1872280")</f>
        <v>1872280</v>
      </c>
      <c r="E4890">
        <v>2</v>
      </c>
      <c r="F4890" t="s">
        <v>5001</v>
      </c>
    </row>
    <row r="4891" spans="1:6" x14ac:dyDescent="0.25">
      <c r="A4891" t="s">
        <v>4700</v>
      </c>
      <c r="B4891" t="s">
        <v>423</v>
      </c>
      <c r="C4891" t="s">
        <v>424</v>
      </c>
      <c r="D4891" t="str">
        <f>HYPERLINK("http://service.sap.com/sap/support/notes/1876168","1876168")</f>
        <v>1876168</v>
      </c>
      <c r="E4891">
        <v>1</v>
      </c>
      <c r="F4891" t="s">
        <v>4653</v>
      </c>
    </row>
    <row r="4892" spans="1:6" x14ac:dyDescent="0.25">
      <c r="A4892" t="s">
        <v>4700</v>
      </c>
      <c r="B4892" t="s">
        <v>423</v>
      </c>
      <c r="C4892" t="s">
        <v>424</v>
      </c>
      <c r="D4892" t="str">
        <f>HYPERLINK("http://service.sap.com/sap/support/notes/1877169","1877169")</f>
        <v>1877169</v>
      </c>
      <c r="E4892">
        <v>1</v>
      </c>
      <c r="F4892" t="s">
        <v>4655</v>
      </c>
    </row>
    <row r="4893" spans="1:6" x14ac:dyDescent="0.25">
      <c r="A4893" t="s">
        <v>4700</v>
      </c>
      <c r="B4893" t="s">
        <v>423</v>
      </c>
      <c r="C4893" t="s">
        <v>424</v>
      </c>
      <c r="D4893" t="str">
        <f>HYPERLINK("http://service.sap.com/sap/support/notes/1878373","1878373")</f>
        <v>1878373</v>
      </c>
      <c r="E4893">
        <v>3</v>
      </c>
      <c r="F4893" t="s">
        <v>5002</v>
      </c>
    </row>
    <row r="4894" spans="1:6" x14ac:dyDescent="0.25">
      <c r="A4894" t="s">
        <v>4700</v>
      </c>
      <c r="B4894" t="s">
        <v>423</v>
      </c>
      <c r="C4894" t="s">
        <v>424</v>
      </c>
      <c r="D4894" t="str">
        <f>HYPERLINK("http://service.sap.com/sap/support/notes/1879479","1879479")</f>
        <v>1879479</v>
      </c>
      <c r="E4894">
        <v>1</v>
      </c>
      <c r="F4894" t="s">
        <v>5003</v>
      </c>
    </row>
    <row r="4895" spans="1:6" x14ac:dyDescent="0.25">
      <c r="A4895" t="s">
        <v>4700</v>
      </c>
      <c r="B4895" t="s">
        <v>423</v>
      </c>
      <c r="C4895" t="s">
        <v>424</v>
      </c>
      <c r="D4895" t="str">
        <f>HYPERLINK("http://service.sap.com/sap/support/notes/1881819","1881819")</f>
        <v>1881819</v>
      </c>
      <c r="E4895">
        <v>3</v>
      </c>
      <c r="F4895" t="s">
        <v>5004</v>
      </c>
    </row>
    <row r="4896" spans="1:6" x14ac:dyDescent="0.25">
      <c r="A4896" t="s">
        <v>4700</v>
      </c>
      <c r="B4896" t="s">
        <v>423</v>
      </c>
      <c r="C4896" t="s">
        <v>424</v>
      </c>
      <c r="D4896" t="str">
        <f>HYPERLINK("http://service.sap.com/sap/support/notes/1882389","1882389")</f>
        <v>1882389</v>
      </c>
      <c r="E4896">
        <v>2</v>
      </c>
      <c r="F4896" t="s">
        <v>5005</v>
      </c>
    </row>
    <row r="4897" spans="1:6" x14ac:dyDescent="0.25">
      <c r="A4897" t="s">
        <v>4700</v>
      </c>
      <c r="B4897" t="s">
        <v>423</v>
      </c>
      <c r="C4897" t="s">
        <v>424</v>
      </c>
      <c r="D4897" t="str">
        <f>HYPERLINK("http://service.sap.com/sap/support/notes/1882754","1882754")</f>
        <v>1882754</v>
      </c>
      <c r="E4897">
        <v>2</v>
      </c>
      <c r="F4897" t="s">
        <v>5006</v>
      </c>
    </row>
    <row r="4898" spans="1:6" x14ac:dyDescent="0.25">
      <c r="A4898" t="s">
        <v>4700</v>
      </c>
      <c r="B4898" t="s">
        <v>423</v>
      </c>
      <c r="C4898" t="s">
        <v>424</v>
      </c>
      <c r="D4898" t="str">
        <f>HYPERLINK("http://service.sap.com/sap/support/notes/1882952","1882952")</f>
        <v>1882952</v>
      </c>
      <c r="E4898">
        <v>2</v>
      </c>
      <c r="F4898" t="s">
        <v>5007</v>
      </c>
    </row>
    <row r="4899" spans="1:6" x14ac:dyDescent="0.25">
      <c r="A4899" t="s">
        <v>4700</v>
      </c>
      <c r="B4899" t="s">
        <v>423</v>
      </c>
      <c r="C4899" t="s">
        <v>424</v>
      </c>
      <c r="D4899" t="str">
        <f>HYPERLINK("http://service.sap.com/sap/support/notes/1885209","1885209")</f>
        <v>1885209</v>
      </c>
      <c r="E4899">
        <v>2</v>
      </c>
      <c r="F4899" t="s">
        <v>5008</v>
      </c>
    </row>
    <row r="4900" spans="1:6" x14ac:dyDescent="0.25">
      <c r="A4900" t="s">
        <v>4700</v>
      </c>
      <c r="B4900" t="s">
        <v>423</v>
      </c>
      <c r="C4900" t="s">
        <v>424</v>
      </c>
      <c r="D4900" t="str">
        <f>HYPERLINK("http://service.sap.com/sap/support/notes/1886688","1886688")</f>
        <v>1886688</v>
      </c>
      <c r="E4900">
        <v>1</v>
      </c>
      <c r="F4900" t="s">
        <v>5009</v>
      </c>
    </row>
    <row r="4901" spans="1:6" x14ac:dyDescent="0.25">
      <c r="A4901" t="s">
        <v>4700</v>
      </c>
      <c r="B4901" t="s">
        <v>423</v>
      </c>
      <c r="C4901" t="s">
        <v>424</v>
      </c>
      <c r="D4901" t="str">
        <f>HYPERLINK("http://service.sap.com/sap/support/notes/1887018","1887018")</f>
        <v>1887018</v>
      </c>
      <c r="E4901">
        <v>2</v>
      </c>
      <c r="F4901" t="s">
        <v>5010</v>
      </c>
    </row>
    <row r="4902" spans="1:6" x14ac:dyDescent="0.25">
      <c r="A4902" t="s">
        <v>4700</v>
      </c>
      <c r="B4902" t="s">
        <v>423</v>
      </c>
      <c r="C4902" t="s">
        <v>424</v>
      </c>
      <c r="D4902" t="str">
        <f>HYPERLINK("http://service.sap.com/sap/support/notes/1887739","1887739")</f>
        <v>1887739</v>
      </c>
      <c r="E4902">
        <v>1</v>
      </c>
      <c r="F4902" t="s">
        <v>5011</v>
      </c>
    </row>
    <row r="4903" spans="1:6" x14ac:dyDescent="0.25">
      <c r="A4903" t="s">
        <v>4700</v>
      </c>
      <c r="B4903" t="s">
        <v>423</v>
      </c>
      <c r="C4903" t="s">
        <v>424</v>
      </c>
      <c r="D4903" t="str">
        <f>HYPERLINK("http://service.sap.com/sap/support/notes/1888241","1888241")</f>
        <v>1888241</v>
      </c>
      <c r="E4903">
        <v>1</v>
      </c>
      <c r="F4903" t="s">
        <v>5012</v>
      </c>
    </row>
    <row r="4904" spans="1:6" x14ac:dyDescent="0.25">
      <c r="A4904" t="s">
        <v>4700</v>
      </c>
      <c r="B4904" t="s">
        <v>423</v>
      </c>
      <c r="C4904" t="s">
        <v>424</v>
      </c>
      <c r="D4904" t="str">
        <f>HYPERLINK("http://service.sap.com/sap/support/notes/1889480","1889480")</f>
        <v>1889480</v>
      </c>
      <c r="E4904">
        <v>1</v>
      </c>
      <c r="F4904" t="s">
        <v>5013</v>
      </c>
    </row>
    <row r="4905" spans="1:6" x14ac:dyDescent="0.25">
      <c r="A4905" t="s">
        <v>4700</v>
      </c>
      <c r="B4905" t="s">
        <v>430</v>
      </c>
      <c r="C4905" t="s">
        <v>431</v>
      </c>
      <c r="D4905" t="str">
        <f>HYPERLINK("http://service.sap.com/sap/support/notes/1733186","1733186")</f>
        <v>1733186</v>
      </c>
      <c r="E4905">
        <v>2</v>
      </c>
      <c r="F4905" t="s">
        <v>5014</v>
      </c>
    </row>
    <row r="4906" spans="1:6" x14ac:dyDescent="0.25">
      <c r="A4906" t="s">
        <v>4700</v>
      </c>
      <c r="B4906" t="s">
        <v>430</v>
      </c>
      <c r="C4906" t="s">
        <v>431</v>
      </c>
      <c r="D4906" t="str">
        <f>HYPERLINK("http://service.sap.com/sap/support/notes/1777071","1777071")</f>
        <v>1777071</v>
      </c>
      <c r="E4906">
        <v>4</v>
      </c>
      <c r="F4906" t="s">
        <v>5015</v>
      </c>
    </row>
    <row r="4907" spans="1:6" x14ac:dyDescent="0.25">
      <c r="A4907" t="s">
        <v>4700</v>
      </c>
      <c r="B4907" t="s">
        <v>430</v>
      </c>
      <c r="C4907" t="s">
        <v>431</v>
      </c>
      <c r="D4907" t="str">
        <f>HYPERLINK("http://service.sap.com/sap/support/notes/1779267","1779267")</f>
        <v>1779267</v>
      </c>
      <c r="E4907">
        <v>7</v>
      </c>
      <c r="F4907" t="s">
        <v>5016</v>
      </c>
    </row>
    <row r="4908" spans="1:6" x14ac:dyDescent="0.25">
      <c r="A4908" t="s">
        <v>4700</v>
      </c>
      <c r="B4908" t="s">
        <v>430</v>
      </c>
      <c r="C4908" t="s">
        <v>431</v>
      </c>
      <c r="D4908" t="str">
        <f>HYPERLINK("http://service.sap.com/sap/support/notes/1785238","1785238")</f>
        <v>1785238</v>
      </c>
      <c r="E4908">
        <v>3</v>
      </c>
      <c r="F4908" t="s">
        <v>5017</v>
      </c>
    </row>
    <row r="4909" spans="1:6" x14ac:dyDescent="0.25">
      <c r="A4909" t="s">
        <v>4700</v>
      </c>
      <c r="B4909" t="s">
        <v>430</v>
      </c>
      <c r="C4909" t="s">
        <v>431</v>
      </c>
      <c r="D4909" t="str">
        <f>HYPERLINK("http://service.sap.com/sap/support/notes/1815334","1815334")</f>
        <v>1815334</v>
      </c>
      <c r="E4909">
        <v>2</v>
      </c>
      <c r="F4909" t="s">
        <v>5018</v>
      </c>
    </row>
    <row r="4910" spans="1:6" x14ac:dyDescent="0.25">
      <c r="A4910" t="s">
        <v>4700</v>
      </c>
      <c r="B4910" t="s">
        <v>430</v>
      </c>
      <c r="C4910" t="s">
        <v>431</v>
      </c>
      <c r="D4910" t="str">
        <f>HYPERLINK("http://service.sap.com/sap/support/notes/1827606","1827606")</f>
        <v>1827606</v>
      </c>
      <c r="E4910">
        <v>2</v>
      </c>
      <c r="F4910" t="s">
        <v>5019</v>
      </c>
    </row>
    <row r="4911" spans="1:6" x14ac:dyDescent="0.25">
      <c r="A4911" t="s">
        <v>4700</v>
      </c>
      <c r="B4911" t="s">
        <v>430</v>
      </c>
      <c r="C4911" t="s">
        <v>431</v>
      </c>
      <c r="D4911" t="str">
        <f>HYPERLINK("http://service.sap.com/sap/support/notes/1853779","1853779")</f>
        <v>1853779</v>
      </c>
      <c r="E4911">
        <v>3</v>
      </c>
      <c r="F4911" t="s">
        <v>5020</v>
      </c>
    </row>
    <row r="4912" spans="1:6" x14ac:dyDescent="0.25">
      <c r="A4912" t="s">
        <v>4700</v>
      </c>
      <c r="B4912" t="s">
        <v>430</v>
      </c>
      <c r="C4912" t="s">
        <v>431</v>
      </c>
      <c r="D4912" t="str">
        <f>HYPERLINK("http://service.sap.com/sap/support/notes/1854425","1854425")</f>
        <v>1854425</v>
      </c>
      <c r="E4912">
        <v>2</v>
      </c>
      <c r="F4912" t="s">
        <v>5021</v>
      </c>
    </row>
    <row r="4913" spans="1:6" x14ac:dyDescent="0.25">
      <c r="A4913" t="s">
        <v>4700</v>
      </c>
      <c r="B4913" t="s">
        <v>430</v>
      </c>
      <c r="C4913" t="s">
        <v>431</v>
      </c>
      <c r="D4913" t="str">
        <f>HYPERLINK("http://service.sap.com/sap/support/notes/1876242","1876242")</f>
        <v>1876242</v>
      </c>
      <c r="E4913">
        <v>2</v>
      </c>
      <c r="F4913" t="s">
        <v>5022</v>
      </c>
    </row>
    <row r="4914" spans="1:6" x14ac:dyDescent="0.25">
      <c r="A4914" t="s">
        <v>4700</v>
      </c>
      <c r="B4914" t="s">
        <v>430</v>
      </c>
      <c r="C4914" t="s">
        <v>431</v>
      </c>
      <c r="D4914" t="str">
        <f>HYPERLINK("http://service.sap.com/sap/support/notes/1880284","1880284")</f>
        <v>1880284</v>
      </c>
      <c r="E4914">
        <v>1</v>
      </c>
      <c r="F4914" t="s">
        <v>5023</v>
      </c>
    </row>
    <row r="4915" spans="1:6" x14ac:dyDescent="0.25">
      <c r="A4915" t="s">
        <v>4700</v>
      </c>
      <c r="B4915" t="s">
        <v>430</v>
      </c>
      <c r="C4915" t="s">
        <v>431</v>
      </c>
      <c r="D4915" t="str">
        <f>HYPERLINK("http://service.sap.com/sap/support/notes/1886299","1886299")</f>
        <v>1886299</v>
      </c>
      <c r="E4915">
        <v>1</v>
      </c>
      <c r="F4915" t="s">
        <v>5024</v>
      </c>
    </row>
    <row r="4916" spans="1:6" x14ac:dyDescent="0.25">
      <c r="A4916" t="s">
        <v>4700</v>
      </c>
      <c r="B4916" t="s">
        <v>437</v>
      </c>
      <c r="C4916" t="s">
        <v>438</v>
      </c>
      <c r="D4916" t="str">
        <f>HYPERLINK("http://service.sap.com/sap/support/notes/1866857","1866857")</f>
        <v>1866857</v>
      </c>
      <c r="E4916">
        <v>2</v>
      </c>
      <c r="F4916" t="s">
        <v>5025</v>
      </c>
    </row>
    <row r="4917" spans="1:6" x14ac:dyDescent="0.25">
      <c r="A4917" t="s">
        <v>4700</v>
      </c>
      <c r="B4917" t="s">
        <v>437</v>
      </c>
      <c r="C4917" t="s">
        <v>438</v>
      </c>
      <c r="D4917" t="str">
        <f>HYPERLINK("http://service.sap.com/sap/support/notes/1880291","1880291")</f>
        <v>1880291</v>
      </c>
      <c r="E4917">
        <v>1</v>
      </c>
      <c r="F4917" t="s">
        <v>5026</v>
      </c>
    </row>
    <row r="4918" spans="1:6" x14ac:dyDescent="0.25">
      <c r="A4918" t="s">
        <v>4700</v>
      </c>
      <c r="B4918" t="s">
        <v>437</v>
      </c>
      <c r="C4918" t="s">
        <v>438</v>
      </c>
      <c r="D4918" t="str">
        <f>HYPERLINK("http://service.sap.com/sap/support/notes/1884382","1884382")</f>
        <v>1884382</v>
      </c>
      <c r="E4918">
        <v>1</v>
      </c>
      <c r="F4918" t="s">
        <v>5027</v>
      </c>
    </row>
    <row r="4919" spans="1:6" x14ac:dyDescent="0.25">
      <c r="A4919" t="s">
        <v>4700</v>
      </c>
      <c r="B4919" t="s">
        <v>440</v>
      </c>
      <c r="C4919" t="s">
        <v>128</v>
      </c>
      <c r="D4919" t="str">
        <f>HYPERLINK("http://service.sap.com/sap/support/notes/1869129","1869129")</f>
        <v>1869129</v>
      </c>
      <c r="E4919">
        <v>1</v>
      </c>
      <c r="F4919" t="s">
        <v>5028</v>
      </c>
    </row>
    <row r="4920" spans="1:6" x14ac:dyDescent="0.25">
      <c r="A4920" t="s">
        <v>4700</v>
      </c>
      <c r="B4920" t="s">
        <v>443</v>
      </c>
      <c r="C4920" t="s">
        <v>444</v>
      </c>
      <c r="D4920" t="str">
        <f>HYPERLINK("http://service.sap.com/sap/support/notes/1889904","1889904")</f>
        <v>1889904</v>
      </c>
      <c r="E4920">
        <v>1</v>
      </c>
      <c r="F4920" t="s">
        <v>5029</v>
      </c>
    </row>
    <row r="4921" spans="1:6" x14ac:dyDescent="0.25">
      <c r="A4921" t="s">
        <v>4700</v>
      </c>
      <c r="B4921" t="s">
        <v>450</v>
      </c>
      <c r="C4921" t="s">
        <v>451</v>
      </c>
      <c r="D4921" t="str">
        <f>HYPERLINK("http://service.sap.com/sap/support/notes/1878072","1878072")</f>
        <v>1878072</v>
      </c>
      <c r="E4921">
        <v>1</v>
      </c>
      <c r="F4921" t="s">
        <v>5030</v>
      </c>
    </row>
    <row r="4922" spans="1:6" x14ac:dyDescent="0.25">
      <c r="A4922" t="s">
        <v>4700</v>
      </c>
      <c r="B4922" t="s">
        <v>450</v>
      </c>
      <c r="C4922" t="s">
        <v>451</v>
      </c>
      <c r="D4922" t="str">
        <f>HYPERLINK("http://service.sap.com/sap/support/notes/1878834","1878834")</f>
        <v>1878834</v>
      </c>
      <c r="E4922">
        <v>1</v>
      </c>
      <c r="F4922" t="s">
        <v>5031</v>
      </c>
    </row>
    <row r="4923" spans="1:6" x14ac:dyDescent="0.25">
      <c r="A4923" t="s">
        <v>4700</v>
      </c>
      <c r="B4923" t="s">
        <v>450</v>
      </c>
      <c r="C4923" t="s">
        <v>451</v>
      </c>
      <c r="D4923" t="str">
        <f>HYPERLINK("http://service.sap.com/sap/support/notes/1878836","1878836")</f>
        <v>1878836</v>
      </c>
      <c r="E4923">
        <v>1</v>
      </c>
      <c r="F4923" t="s">
        <v>5032</v>
      </c>
    </row>
    <row r="4924" spans="1:6" x14ac:dyDescent="0.25">
      <c r="A4924" t="s">
        <v>4700</v>
      </c>
      <c r="B4924" t="s">
        <v>450</v>
      </c>
      <c r="C4924" t="s">
        <v>451</v>
      </c>
      <c r="D4924" t="str">
        <f>HYPERLINK("http://service.sap.com/sap/support/notes/1880841","1880841")</f>
        <v>1880841</v>
      </c>
      <c r="E4924">
        <v>1</v>
      </c>
      <c r="F4924" t="s">
        <v>5033</v>
      </c>
    </row>
    <row r="4925" spans="1:6" x14ac:dyDescent="0.25">
      <c r="A4925" t="s">
        <v>4700</v>
      </c>
      <c r="B4925" t="s">
        <v>450</v>
      </c>
      <c r="C4925" t="s">
        <v>451</v>
      </c>
      <c r="D4925" t="str">
        <f>HYPERLINK("http://service.sap.com/sap/support/notes/1885838","1885838")</f>
        <v>1885838</v>
      </c>
      <c r="E4925">
        <v>1</v>
      </c>
      <c r="F4925" t="s">
        <v>5034</v>
      </c>
    </row>
    <row r="4926" spans="1:6" x14ac:dyDescent="0.25">
      <c r="A4926" t="s">
        <v>4700</v>
      </c>
      <c r="B4926" t="s">
        <v>450</v>
      </c>
      <c r="C4926" t="s">
        <v>451</v>
      </c>
      <c r="D4926" t="str">
        <f>HYPERLINK("http://service.sap.com/sap/support/notes/1888828","1888828")</f>
        <v>1888828</v>
      </c>
      <c r="E4926">
        <v>1</v>
      </c>
      <c r="F4926" t="s">
        <v>5035</v>
      </c>
    </row>
    <row r="4927" spans="1:6" x14ac:dyDescent="0.25">
      <c r="A4927" t="s">
        <v>4700</v>
      </c>
      <c r="B4927" t="s">
        <v>453</v>
      </c>
      <c r="C4927" t="s">
        <v>74</v>
      </c>
    </row>
    <row r="4928" spans="1:6" x14ac:dyDescent="0.25">
      <c r="A4928" t="s">
        <v>4700</v>
      </c>
      <c r="B4928" t="s">
        <v>4316</v>
      </c>
      <c r="C4928" t="s">
        <v>5036</v>
      </c>
      <c r="D4928" t="str">
        <f>HYPERLINK("http://service.sap.com/sap/support/notes/1838192","1838192")</f>
        <v>1838192</v>
      </c>
      <c r="E4928">
        <v>2</v>
      </c>
      <c r="F4928" t="s">
        <v>4318</v>
      </c>
    </row>
    <row r="4929" spans="1:6" x14ac:dyDescent="0.25">
      <c r="A4929" t="s">
        <v>4700</v>
      </c>
      <c r="B4929" t="s">
        <v>4316</v>
      </c>
      <c r="C4929" t="s">
        <v>5036</v>
      </c>
      <c r="D4929" t="str">
        <f>HYPERLINK("http://service.sap.com/sap/support/notes/1887134","1887134")</f>
        <v>1887134</v>
      </c>
      <c r="E4929">
        <v>2</v>
      </c>
      <c r="F4929" t="s">
        <v>5037</v>
      </c>
    </row>
    <row r="4930" spans="1:6" x14ac:dyDescent="0.25">
      <c r="A4930" t="s">
        <v>4700</v>
      </c>
      <c r="B4930" t="s">
        <v>653</v>
      </c>
      <c r="C4930" t="s">
        <v>128</v>
      </c>
      <c r="D4930" t="str">
        <f>HYPERLINK("http://service.sap.com/sap/support/notes/1694206","1694206")</f>
        <v>1694206</v>
      </c>
      <c r="E4930">
        <v>2</v>
      </c>
      <c r="F4930" t="s">
        <v>5038</v>
      </c>
    </row>
    <row r="4931" spans="1:6" x14ac:dyDescent="0.25">
      <c r="A4931" t="s">
        <v>4700</v>
      </c>
      <c r="B4931" t="s">
        <v>653</v>
      </c>
      <c r="C4931" t="s">
        <v>128</v>
      </c>
      <c r="D4931" t="str">
        <f>HYPERLINK("http://service.sap.com/sap/support/notes/1829652","1829652")</f>
        <v>1829652</v>
      </c>
      <c r="E4931">
        <v>5</v>
      </c>
      <c r="F4931" t="s">
        <v>5039</v>
      </c>
    </row>
    <row r="4932" spans="1:6" x14ac:dyDescent="0.25">
      <c r="A4932" t="s">
        <v>4700</v>
      </c>
      <c r="B4932" t="s">
        <v>5040</v>
      </c>
      <c r="C4932" t="s">
        <v>5041</v>
      </c>
      <c r="D4932" t="str">
        <f>HYPERLINK("http://service.sap.com/sap/support/notes/1716009","1716009")</f>
        <v>1716009</v>
      </c>
      <c r="E4932">
        <v>4</v>
      </c>
      <c r="F4932" t="s">
        <v>5042</v>
      </c>
    </row>
    <row r="4933" spans="1:6" x14ac:dyDescent="0.25">
      <c r="A4933" t="s">
        <v>4700</v>
      </c>
      <c r="B4933" t="s">
        <v>607</v>
      </c>
      <c r="C4933" t="s">
        <v>156</v>
      </c>
      <c r="D4933" t="str">
        <f>HYPERLINK("http://service.sap.com/sap/support/notes/1787003","1787003")</f>
        <v>1787003</v>
      </c>
      <c r="E4933">
        <v>2</v>
      </c>
      <c r="F4933" t="s">
        <v>5043</v>
      </c>
    </row>
    <row r="4934" spans="1:6" x14ac:dyDescent="0.25">
      <c r="A4934" t="s">
        <v>4700</v>
      </c>
      <c r="B4934" t="s">
        <v>607</v>
      </c>
      <c r="C4934" t="s">
        <v>156</v>
      </c>
      <c r="D4934" t="str">
        <f>HYPERLINK("http://service.sap.com/sap/support/notes/1887983","1887983")</f>
        <v>1887983</v>
      </c>
      <c r="E4934">
        <v>1</v>
      </c>
      <c r="F4934" t="s">
        <v>5044</v>
      </c>
    </row>
    <row r="4935" spans="1:6" x14ac:dyDescent="0.25">
      <c r="A4935" t="s">
        <v>4700</v>
      </c>
      <c r="B4935" t="s">
        <v>457</v>
      </c>
      <c r="C4935" t="s">
        <v>458</v>
      </c>
      <c r="D4935" t="str">
        <f>HYPERLINK("http://service.sap.com/sap/support/notes/1846235","1846235")</f>
        <v>1846235</v>
      </c>
      <c r="E4935">
        <v>1</v>
      </c>
      <c r="F4935" t="s">
        <v>5045</v>
      </c>
    </row>
    <row r="4936" spans="1:6" x14ac:dyDescent="0.25">
      <c r="A4936" t="s">
        <v>4700</v>
      </c>
      <c r="B4936" t="s">
        <v>457</v>
      </c>
      <c r="C4936" t="s">
        <v>458</v>
      </c>
      <c r="D4936" t="str">
        <f>HYPERLINK("http://service.sap.com/sap/support/notes/1849340","1849340")</f>
        <v>1849340</v>
      </c>
      <c r="E4936">
        <v>3</v>
      </c>
      <c r="F4936" t="s">
        <v>5046</v>
      </c>
    </row>
    <row r="4937" spans="1:6" x14ac:dyDescent="0.25">
      <c r="A4937" t="s">
        <v>4700</v>
      </c>
      <c r="B4937" t="s">
        <v>457</v>
      </c>
      <c r="C4937" t="s">
        <v>458</v>
      </c>
      <c r="D4937" t="str">
        <f>HYPERLINK("http://service.sap.com/sap/support/notes/1862257","1862257")</f>
        <v>1862257</v>
      </c>
      <c r="E4937">
        <v>3</v>
      </c>
      <c r="F4937" t="s">
        <v>5047</v>
      </c>
    </row>
    <row r="4938" spans="1:6" x14ac:dyDescent="0.25">
      <c r="A4938" t="s">
        <v>4700</v>
      </c>
      <c r="B4938" t="s">
        <v>457</v>
      </c>
      <c r="C4938" t="s">
        <v>458</v>
      </c>
      <c r="D4938" t="str">
        <f>HYPERLINK("http://service.sap.com/sap/support/notes/1864393","1864393")</f>
        <v>1864393</v>
      </c>
      <c r="E4938">
        <v>2</v>
      </c>
      <c r="F4938" t="s">
        <v>5048</v>
      </c>
    </row>
    <row r="4939" spans="1:6" x14ac:dyDescent="0.25">
      <c r="A4939" t="s">
        <v>4700</v>
      </c>
      <c r="B4939" t="s">
        <v>457</v>
      </c>
      <c r="C4939" t="s">
        <v>458</v>
      </c>
      <c r="D4939" t="str">
        <f>HYPERLINK("http://service.sap.com/sap/support/notes/1870664","1870664")</f>
        <v>1870664</v>
      </c>
      <c r="E4939">
        <v>3</v>
      </c>
      <c r="F4939" t="s">
        <v>5049</v>
      </c>
    </row>
    <row r="4940" spans="1:6" x14ac:dyDescent="0.25">
      <c r="A4940" t="s">
        <v>4700</v>
      </c>
      <c r="B4940" t="s">
        <v>457</v>
      </c>
      <c r="C4940" t="s">
        <v>458</v>
      </c>
      <c r="D4940" t="str">
        <f>HYPERLINK("http://service.sap.com/sap/support/notes/1877805","1877805")</f>
        <v>1877805</v>
      </c>
      <c r="E4940">
        <v>2</v>
      </c>
      <c r="F4940" t="s">
        <v>5050</v>
      </c>
    </row>
    <row r="4941" spans="1:6" x14ac:dyDescent="0.25">
      <c r="A4941" t="s">
        <v>4700</v>
      </c>
      <c r="B4941" t="s">
        <v>608</v>
      </c>
      <c r="C4941" t="s">
        <v>609</v>
      </c>
      <c r="D4941" t="str">
        <f>HYPERLINK("http://service.sap.com/sap/support/notes/1647778","1647778")</f>
        <v>1647778</v>
      </c>
      <c r="E4941">
        <v>3</v>
      </c>
      <c r="F4941" t="s">
        <v>5051</v>
      </c>
    </row>
    <row r="4942" spans="1:6" x14ac:dyDescent="0.25">
      <c r="A4942" t="s">
        <v>4700</v>
      </c>
      <c r="B4942" t="s">
        <v>461</v>
      </c>
      <c r="C4942" t="s">
        <v>462</v>
      </c>
      <c r="D4942" t="str">
        <f>HYPERLINK("http://service.sap.com/sap/support/notes/1858073","1858073")</f>
        <v>1858073</v>
      </c>
      <c r="E4942">
        <v>3</v>
      </c>
      <c r="F4942" t="s">
        <v>5052</v>
      </c>
    </row>
    <row r="4943" spans="1:6" x14ac:dyDescent="0.25">
      <c r="A4943" t="s">
        <v>4700</v>
      </c>
      <c r="B4943" t="s">
        <v>461</v>
      </c>
      <c r="C4943" t="s">
        <v>462</v>
      </c>
      <c r="D4943" t="str">
        <f>HYPERLINK("http://service.sap.com/sap/support/notes/1869561","1869561")</f>
        <v>1869561</v>
      </c>
      <c r="E4943">
        <v>2</v>
      </c>
      <c r="F4943" t="s">
        <v>5053</v>
      </c>
    </row>
    <row r="4944" spans="1:6" x14ac:dyDescent="0.25">
      <c r="A4944" t="s">
        <v>4700</v>
      </c>
      <c r="B4944" t="s">
        <v>461</v>
      </c>
      <c r="C4944" t="s">
        <v>462</v>
      </c>
      <c r="D4944" t="str">
        <f>HYPERLINK("http://service.sap.com/sap/support/notes/1888568","1888568")</f>
        <v>1888568</v>
      </c>
      <c r="E4944">
        <v>1</v>
      </c>
      <c r="F4944" t="s">
        <v>5054</v>
      </c>
    </row>
    <row r="4945" spans="1:6" x14ac:dyDescent="0.25">
      <c r="A4945" t="s">
        <v>4700</v>
      </c>
      <c r="B4945" t="s">
        <v>464</v>
      </c>
      <c r="C4945" t="s">
        <v>465</v>
      </c>
      <c r="D4945" t="str">
        <f>HYPERLINK("http://service.sap.com/sap/support/notes/1845858","1845858")</f>
        <v>1845858</v>
      </c>
      <c r="E4945">
        <v>7</v>
      </c>
      <c r="F4945" t="s">
        <v>5055</v>
      </c>
    </row>
    <row r="4946" spans="1:6" x14ac:dyDescent="0.25">
      <c r="A4946" t="s">
        <v>4700</v>
      </c>
      <c r="B4946" t="s">
        <v>464</v>
      </c>
      <c r="C4946" t="s">
        <v>465</v>
      </c>
      <c r="D4946" t="str">
        <f>HYPERLINK("http://service.sap.com/sap/support/notes/1863110","1863110")</f>
        <v>1863110</v>
      </c>
      <c r="E4946">
        <v>2</v>
      </c>
      <c r="F4946" t="s">
        <v>5056</v>
      </c>
    </row>
    <row r="4947" spans="1:6" x14ac:dyDescent="0.25">
      <c r="A4947" t="s">
        <v>4700</v>
      </c>
      <c r="B4947" t="s">
        <v>670</v>
      </c>
      <c r="C4947" t="s">
        <v>671</v>
      </c>
    </row>
    <row r="4948" spans="1:6" x14ac:dyDescent="0.25">
      <c r="A4948" t="s">
        <v>4700</v>
      </c>
      <c r="B4948" t="s">
        <v>672</v>
      </c>
      <c r="C4948" t="s">
        <v>673</v>
      </c>
    </row>
    <row r="4949" spans="1:6" x14ac:dyDescent="0.25">
      <c r="A4949" t="s">
        <v>4700</v>
      </c>
      <c r="B4949" t="s">
        <v>674</v>
      </c>
      <c r="C4949" t="s">
        <v>230</v>
      </c>
    </row>
    <row r="4950" spans="1:6" x14ac:dyDescent="0.25">
      <c r="A4950" t="s">
        <v>4700</v>
      </c>
      <c r="B4950" t="s">
        <v>5057</v>
      </c>
      <c r="C4950" t="s">
        <v>128</v>
      </c>
    </row>
    <row r="4951" spans="1:6" x14ac:dyDescent="0.25">
      <c r="A4951" t="s">
        <v>4700</v>
      </c>
      <c r="B4951" t="s">
        <v>5058</v>
      </c>
      <c r="C4951" t="s">
        <v>631</v>
      </c>
      <c r="D4951" t="str">
        <f>HYPERLINK("http://service.sap.com/sap/support/notes/1842642","1842642")</f>
        <v>1842642</v>
      </c>
      <c r="E4951">
        <v>8</v>
      </c>
      <c r="F4951" t="s">
        <v>5059</v>
      </c>
    </row>
    <row r="4952" spans="1:6" x14ac:dyDescent="0.25">
      <c r="A4952" t="s">
        <v>5060</v>
      </c>
      <c r="B4952" t="s">
        <v>5</v>
      </c>
      <c r="C4952" t="s">
        <v>6</v>
      </c>
    </row>
    <row r="4953" spans="1:6" x14ac:dyDescent="0.25">
      <c r="A4953" t="s">
        <v>5060</v>
      </c>
      <c r="B4953" t="s">
        <v>7</v>
      </c>
      <c r="C4953" t="s">
        <v>8</v>
      </c>
    </row>
    <row r="4954" spans="1:6" x14ac:dyDescent="0.25">
      <c r="A4954" t="s">
        <v>5060</v>
      </c>
      <c r="B4954" t="s">
        <v>9</v>
      </c>
      <c r="C4954" t="s">
        <v>10</v>
      </c>
      <c r="D4954" t="str">
        <f>HYPERLINK("http://service.sap.com/sap/support/notes/1887800","1887800")</f>
        <v>1887800</v>
      </c>
      <c r="E4954">
        <v>2</v>
      </c>
      <c r="F4954" t="s">
        <v>5061</v>
      </c>
    </row>
    <row r="4955" spans="1:6" x14ac:dyDescent="0.25">
      <c r="A4955" t="s">
        <v>5060</v>
      </c>
      <c r="B4955" t="s">
        <v>12</v>
      </c>
      <c r="C4955" t="s">
        <v>13</v>
      </c>
      <c r="D4955" t="str">
        <f>HYPERLINK("http://service.sap.com/sap/support/notes/1899631","1899631")</f>
        <v>1899631</v>
      </c>
      <c r="E4955">
        <v>1</v>
      </c>
      <c r="F4955" t="s">
        <v>5062</v>
      </c>
    </row>
    <row r="4956" spans="1:6" x14ac:dyDescent="0.25">
      <c r="A4956" t="s">
        <v>5060</v>
      </c>
      <c r="B4956" t="s">
        <v>24</v>
      </c>
      <c r="C4956" t="s">
        <v>10</v>
      </c>
    </row>
    <row r="4957" spans="1:6" x14ac:dyDescent="0.25">
      <c r="A4957" t="s">
        <v>5060</v>
      </c>
      <c r="B4957" t="s">
        <v>25</v>
      </c>
      <c r="C4957" t="s">
        <v>26</v>
      </c>
    </row>
    <row r="4958" spans="1:6" x14ac:dyDescent="0.25">
      <c r="A4958" t="s">
        <v>5060</v>
      </c>
      <c r="B4958" t="s">
        <v>518</v>
      </c>
      <c r="C4958" t="s">
        <v>98</v>
      </c>
      <c r="D4958" t="str">
        <f>HYPERLINK("http://service.sap.com/sap/support/notes/1884735","1884735")</f>
        <v>1884735</v>
      </c>
      <c r="E4958">
        <v>3</v>
      </c>
      <c r="F4958" t="s">
        <v>5063</v>
      </c>
    </row>
    <row r="4959" spans="1:6" x14ac:dyDescent="0.25">
      <c r="A4959" t="s">
        <v>5060</v>
      </c>
      <c r="B4959" t="s">
        <v>518</v>
      </c>
      <c r="C4959" t="s">
        <v>98</v>
      </c>
      <c r="D4959" t="str">
        <f>HYPERLINK("http://service.sap.com/sap/support/notes/1893080","1893080")</f>
        <v>1893080</v>
      </c>
      <c r="E4959">
        <v>1</v>
      </c>
      <c r="F4959" t="s">
        <v>4703</v>
      </c>
    </row>
    <row r="4960" spans="1:6" x14ac:dyDescent="0.25">
      <c r="A4960" t="s">
        <v>5060</v>
      </c>
      <c r="B4960" t="s">
        <v>518</v>
      </c>
      <c r="C4960" t="s">
        <v>98</v>
      </c>
      <c r="D4960" t="str">
        <f>HYPERLINK("http://service.sap.com/sap/support/notes/1902571","1902571")</f>
        <v>1902571</v>
      </c>
      <c r="E4960">
        <v>1</v>
      </c>
      <c r="F4960" t="s">
        <v>5064</v>
      </c>
    </row>
    <row r="4961" spans="1:6" x14ac:dyDescent="0.25">
      <c r="A4961" t="s">
        <v>5060</v>
      </c>
      <c r="B4961" t="s">
        <v>642</v>
      </c>
      <c r="C4961" t="s">
        <v>145</v>
      </c>
      <c r="D4961" t="str">
        <f>HYPERLINK("http://service.sap.com/sap/support/notes/1839263","1839263")</f>
        <v>1839263</v>
      </c>
      <c r="E4961">
        <v>3</v>
      </c>
      <c r="F4961" t="s">
        <v>5065</v>
      </c>
    </row>
    <row r="4962" spans="1:6" x14ac:dyDescent="0.25">
      <c r="A4962" t="s">
        <v>5060</v>
      </c>
      <c r="B4962" t="s">
        <v>40</v>
      </c>
      <c r="C4962" t="s">
        <v>41</v>
      </c>
      <c r="D4962" t="str">
        <f>HYPERLINK("http://service.sap.com/sap/support/notes/700094","700094")</f>
        <v>700094</v>
      </c>
      <c r="E4962">
        <v>8</v>
      </c>
      <c r="F4962" t="s">
        <v>42</v>
      </c>
    </row>
    <row r="4963" spans="1:6" x14ac:dyDescent="0.25">
      <c r="A4963" t="s">
        <v>5060</v>
      </c>
      <c r="B4963" t="s">
        <v>40</v>
      </c>
      <c r="C4963" t="s">
        <v>41</v>
      </c>
      <c r="D4963" t="str">
        <f>HYPERLINK("http://service.sap.com/sap/support/notes/1874895","1874895")</f>
        <v>1874895</v>
      </c>
      <c r="E4963">
        <v>3</v>
      </c>
      <c r="F4963" t="s">
        <v>5066</v>
      </c>
    </row>
    <row r="4964" spans="1:6" x14ac:dyDescent="0.25">
      <c r="A4964" t="s">
        <v>5060</v>
      </c>
      <c r="B4964" t="s">
        <v>40</v>
      </c>
      <c r="C4964" t="s">
        <v>41</v>
      </c>
      <c r="D4964" t="str">
        <f>HYPERLINK("http://service.sap.com/sap/support/notes/1895349","1895349")</f>
        <v>1895349</v>
      </c>
      <c r="E4964">
        <v>1</v>
      </c>
      <c r="F4964" t="s">
        <v>5067</v>
      </c>
    </row>
    <row r="4965" spans="1:6" x14ac:dyDescent="0.25">
      <c r="A4965" t="s">
        <v>5060</v>
      </c>
      <c r="B4965" t="s">
        <v>522</v>
      </c>
      <c r="C4965" t="s">
        <v>523</v>
      </c>
      <c r="D4965" t="str">
        <f>HYPERLINK("http://service.sap.com/sap/support/notes/1892123","1892123")</f>
        <v>1892123</v>
      </c>
      <c r="E4965">
        <v>2</v>
      </c>
      <c r="F4965" t="s">
        <v>5068</v>
      </c>
    </row>
    <row r="4966" spans="1:6" x14ac:dyDescent="0.25">
      <c r="A4966" t="s">
        <v>5060</v>
      </c>
      <c r="B4966" t="s">
        <v>47</v>
      </c>
      <c r="C4966" t="s">
        <v>48</v>
      </c>
      <c r="D4966" t="str">
        <f>HYPERLINK("http://service.sap.com/sap/support/notes/1885019","1885019")</f>
        <v>1885019</v>
      </c>
      <c r="E4966">
        <v>2</v>
      </c>
      <c r="F4966" t="s">
        <v>5069</v>
      </c>
    </row>
    <row r="4967" spans="1:6" x14ac:dyDescent="0.25">
      <c r="A4967" t="s">
        <v>5060</v>
      </c>
      <c r="B4967" t="s">
        <v>47</v>
      </c>
      <c r="C4967" t="s">
        <v>48</v>
      </c>
      <c r="D4967" t="str">
        <f>HYPERLINK("http://service.sap.com/sap/support/notes/1888131","1888131")</f>
        <v>1888131</v>
      </c>
      <c r="E4967">
        <v>1</v>
      </c>
      <c r="F4967" t="s">
        <v>5070</v>
      </c>
    </row>
    <row r="4968" spans="1:6" x14ac:dyDescent="0.25">
      <c r="A4968" t="s">
        <v>5060</v>
      </c>
      <c r="B4968" t="s">
        <v>47</v>
      </c>
      <c r="C4968" t="s">
        <v>48</v>
      </c>
      <c r="D4968" t="str">
        <f>HYPERLINK("http://service.sap.com/sap/support/notes/1892995","1892995")</f>
        <v>1892995</v>
      </c>
      <c r="E4968">
        <v>1</v>
      </c>
      <c r="F4968" t="s">
        <v>5071</v>
      </c>
    </row>
    <row r="4969" spans="1:6" x14ac:dyDescent="0.25">
      <c r="A4969" t="s">
        <v>5060</v>
      </c>
      <c r="B4969" t="s">
        <v>47</v>
      </c>
      <c r="C4969" t="s">
        <v>48</v>
      </c>
      <c r="D4969" t="str">
        <f>HYPERLINK("http://service.sap.com/sap/support/notes/1894323","1894323")</f>
        <v>1894323</v>
      </c>
      <c r="E4969">
        <v>1</v>
      </c>
      <c r="F4969" t="s">
        <v>5072</v>
      </c>
    </row>
    <row r="4970" spans="1:6" x14ac:dyDescent="0.25">
      <c r="A4970" t="s">
        <v>5060</v>
      </c>
      <c r="B4970" t="s">
        <v>51</v>
      </c>
      <c r="C4970" t="s">
        <v>52</v>
      </c>
      <c r="D4970" t="str">
        <f>HYPERLINK("http://service.sap.com/sap/support/notes/1893015","1893015")</f>
        <v>1893015</v>
      </c>
      <c r="E4970">
        <v>2</v>
      </c>
      <c r="F4970" t="s">
        <v>5073</v>
      </c>
    </row>
    <row r="4971" spans="1:6" x14ac:dyDescent="0.25">
      <c r="A4971" t="s">
        <v>5060</v>
      </c>
      <c r="B4971" t="s">
        <v>2835</v>
      </c>
      <c r="C4971" t="s">
        <v>2836</v>
      </c>
      <c r="D4971" t="str">
        <f>HYPERLINK("http://service.sap.com/sap/support/notes/1825042","1825042")</f>
        <v>1825042</v>
      </c>
      <c r="E4971">
        <v>3</v>
      </c>
      <c r="F4971" t="s">
        <v>2837</v>
      </c>
    </row>
    <row r="4972" spans="1:6" x14ac:dyDescent="0.25">
      <c r="A4972" t="s">
        <v>5060</v>
      </c>
      <c r="B4972" t="s">
        <v>2835</v>
      </c>
      <c r="C4972" t="s">
        <v>2836</v>
      </c>
      <c r="D4972" t="str">
        <f>HYPERLINK("http://service.sap.com/sap/support/notes/1900165","1900165")</f>
        <v>1900165</v>
      </c>
      <c r="E4972">
        <v>1</v>
      </c>
      <c r="F4972" t="s">
        <v>5074</v>
      </c>
    </row>
    <row r="4973" spans="1:6" x14ac:dyDescent="0.25">
      <c r="A4973" t="s">
        <v>5060</v>
      </c>
      <c r="B4973" t="s">
        <v>5075</v>
      </c>
      <c r="C4973" t="s">
        <v>403</v>
      </c>
      <c r="D4973" t="str">
        <f>HYPERLINK("http://service.sap.com/sap/support/notes/1892368","1892368")</f>
        <v>1892368</v>
      </c>
      <c r="E4973">
        <v>2</v>
      </c>
      <c r="F4973" t="s">
        <v>5076</v>
      </c>
    </row>
    <row r="4974" spans="1:6" x14ac:dyDescent="0.25">
      <c r="A4974" t="s">
        <v>5060</v>
      </c>
      <c r="B4974" t="s">
        <v>5075</v>
      </c>
      <c r="C4974" t="s">
        <v>403</v>
      </c>
      <c r="D4974" t="str">
        <f>HYPERLINK("http://service.sap.com/sap/support/notes/1898992","1898992")</f>
        <v>1898992</v>
      </c>
      <c r="E4974">
        <v>1</v>
      </c>
      <c r="F4974" t="s">
        <v>5077</v>
      </c>
    </row>
    <row r="4975" spans="1:6" x14ac:dyDescent="0.25">
      <c r="A4975" t="s">
        <v>5060</v>
      </c>
      <c r="B4975" t="s">
        <v>63</v>
      </c>
      <c r="C4975" t="s">
        <v>64</v>
      </c>
      <c r="D4975" t="str">
        <f>HYPERLINK("http://service.sap.com/sap/support/notes/1892996","1892996")</f>
        <v>1892996</v>
      </c>
      <c r="E4975">
        <v>1</v>
      </c>
      <c r="F4975" t="s">
        <v>5078</v>
      </c>
    </row>
    <row r="4976" spans="1:6" x14ac:dyDescent="0.25">
      <c r="A4976" t="s">
        <v>5060</v>
      </c>
      <c r="B4976" t="s">
        <v>63</v>
      </c>
      <c r="C4976" t="s">
        <v>64</v>
      </c>
      <c r="D4976" t="str">
        <f>HYPERLINK("http://service.sap.com/sap/support/notes/1896860","1896860")</f>
        <v>1896860</v>
      </c>
      <c r="E4976">
        <v>2</v>
      </c>
      <c r="F4976" t="s">
        <v>5079</v>
      </c>
    </row>
    <row r="4977" spans="1:6" x14ac:dyDescent="0.25">
      <c r="A4977" t="s">
        <v>5060</v>
      </c>
      <c r="B4977" t="s">
        <v>661</v>
      </c>
      <c r="C4977" t="s">
        <v>438</v>
      </c>
      <c r="D4977" t="str">
        <f>HYPERLINK("http://service.sap.com/sap/support/notes/1876702","1876702")</f>
        <v>1876702</v>
      </c>
      <c r="E4977">
        <v>1</v>
      </c>
      <c r="F4977" t="s">
        <v>4719</v>
      </c>
    </row>
    <row r="4978" spans="1:6" x14ac:dyDescent="0.25">
      <c r="A4978" t="s">
        <v>5060</v>
      </c>
      <c r="B4978" t="s">
        <v>661</v>
      </c>
      <c r="C4978" t="s">
        <v>438</v>
      </c>
      <c r="D4978" t="str">
        <f>HYPERLINK("http://service.sap.com/sap/support/notes/1888161","1888161")</f>
        <v>1888161</v>
      </c>
      <c r="E4978">
        <v>2</v>
      </c>
      <c r="F4978" t="s">
        <v>4722</v>
      </c>
    </row>
    <row r="4979" spans="1:6" x14ac:dyDescent="0.25">
      <c r="A4979" t="s">
        <v>5060</v>
      </c>
      <c r="B4979" t="s">
        <v>661</v>
      </c>
      <c r="C4979" t="s">
        <v>438</v>
      </c>
      <c r="D4979" t="str">
        <f>HYPERLINK("http://service.sap.com/sap/support/notes/1893046","1893046")</f>
        <v>1893046</v>
      </c>
      <c r="E4979">
        <v>1</v>
      </c>
      <c r="F4979" t="s">
        <v>5080</v>
      </c>
    </row>
    <row r="4980" spans="1:6" x14ac:dyDescent="0.25">
      <c r="A4980" t="s">
        <v>5060</v>
      </c>
      <c r="B4980" t="s">
        <v>661</v>
      </c>
      <c r="C4980" t="s">
        <v>438</v>
      </c>
      <c r="D4980" t="str">
        <f>HYPERLINK("http://service.sap.com/sap/support/notes/1897786","1897786")</f>
        <v>1897786</v>
      </c>
      <c r="E4980">
        <v>1</v>
      </c>
      <c r="F4980" t="s">
        <v>5081</v>
      </c>
    </row>
    <row r="4981" spans="1:6" x14ac:dyDescent="0.25">
      <c r="A4981" t="s">
        <v>5060</v>
      </c>
      <c r="B4981" t="s">
        <v>73</v>
      </c>
      <c r="C4981" t="s">
        <v>74</v>
      </c>
      <c r="D4981" t="str">
        <f>HYPERLINK("http://service.sap.com/sap/support/notes/1552091","1552091")</f>
        <v>1552091</v>
      </c>
      <c r="E4981">
        <v>2</v>
      </c>
      <c r="F4981" t="s">
        <v>5082</v>
      </c>
    </row>
    <row r="4982" spans="1:6" x14ac:dyDescent="0.25">
      <c r="A4982" t="s">
        <v>5060</v>
      </c>
      <c r="B4982" t="s">
        <v>73</v>
      </c>
      <c r="C4982" t="s">
        <v>74</v>
      </c>
      <c r="D4982" t="str">
        <f>HYPERLINK("http://service.sap.com/sap/support/notes/1810767","1810767")</f>
        <v>1810767</v>
      </c>
      <c r="E4982">
        <v>2</v>
      </c>
      <c r="F4982" t="s">
        <v>5083</v>
      </c>
    </row>
    <row r="4983" spans="1:6" x14ac:dyDescent="0.25">
      <c r="A4983" t="s">
        <v>5060</v>
      </c>
      <c r="B4983" t="s">
        <v>529</v>
      </c>
      <c r="C4983" t="s">
        <v>530</v>
      </c>
      <c r="D4983" t="str">
        <f>HYPERLINK("http://service.sap.com/sap/support/notes/1857284","1857284")</f>
        <v>1857284</v>
      </c>
      <c r="E4983">
        <v>2</v>
      </c>
      <c r="F4983" t="s">
        <v>5084</v>
      </c>
    </row>
    <row r="4984" spans="1:6" x14ac:dyDescent="0.25">
      <c r="A4984" t="s">
        <v>5060</v>
      </c>
      <c r="B4984" t="s">
        <v>529</v>
      </c>
      <c r="C4984" t="s">
        <v>530</v>
      </c>
      <c r="D4984" t="str">
        <f>HYPERLINK("http://service.sap.com/sap/support/notes/1894129","1894129")</f>
        <v>1894129</v>
      </c>
      <c r="E4984">
        <v>1</v>
      </c>
      <c r="F4984" t="s">
        <v>5085</v>
      </c>
    </row>
    <row r="4985" spans="1:6" x14ac:dyDescent="0.25">
      <c r="A4985" t="s">
        <v>5060</v>
      </c>
      <c r="B4985" t="s">
        <v>531</v>
      </c>
      <c r="C4985" t="s">
        <v>532</v>
      </c>
      <c r="D4985" t="str">
        <f>HYPERLINK("http://service.sap.com/sap/support/notes/1858359","1858359")</f>
        <v>1858359</v>
      </c>
      <c r="E4985">
        <v>6</v>
      </c>
      <c r="F4985" t="s">
        <v>5086</v>
      </c>
    </row>
    <row r="4986" spans="1:6" x14ac:dyDescent="0.25">
      <c r="A4986" t="s">
        <v>5060</v>
      </c>
      <c r="B4986" t="s">
        <v>79</v>
      </c>
      <c r="C4986" t="s">
        <v>80</v>
      </c>
    </row>
    <row r="4987" spans="1:6" x14ac:dyDescent="0.25">
      <c r="A4987" t="s">
        <v>5060</v>
      </c>
      <c r="B4987" t="s">
        <v>81</v>
      </c>
      <c r="C4987" t="s">
        <v>82</v>
      </c>
      <c r="D4987" t="str">
        <f>HYPERLINK("http://service.sap.com/sap/support/notes/1831419","1831419")</f>
        <v>1831419</v>
      </c>
      <c r="E4987">
        <v>5</v>
      </c>
      <c r="F4987" t="s">
        <v>5087</v>
      </c>
    </row>
    <row r="4988" spans="1:6" x14ac:dyDescent="0.25">
      <c r="A4988" t="s">
        <v>5060</v>
      </c>
      <c r="B4988" t="s">
        <v>90</v>
      </c>
      <c r="C4988" t="s">
        <v>13</v>
      </c>
    </row>
    <row r="4989" spans="1:6" x14ac:dyDescent="0.25">
      <c r="A4989" t="s">
        <v>5060</v>
      </c>
      <c r="B4989" t="s">
        <v>91</v>
      </c>
      <c r="C4989" t="s">
        <v>92</v>
      </c>
      <c r="D4989" t="str">
        <f>HYPERLINK("http://service.sap.com/sap/support/notes/1895794","1895794")</f>
        <v>1895794</v>
      </c>
      <c r="E4989">
        <v>2</v>
      </c>
      <c r="F4989" t="s">
        <v>5088</v>
      </c>
    </row>
    <row r="4990" spans="1:6" x14ac:dyDescent="0.25">
      <c r="A4990" t="s">
        <v>5060</v>
      </c>
      <c r="B4990" t="s">
        <v>95</v>
      </c>
      <c r="C4990" t="s">
        <v>96</v>
      </c>
    </row>
    <row r="4991" spans="1:6" x14ac:dyDescent="0.25">
      <c r="A4991" t="s">
        <v>5060</v>
      </c>
      <c r="B4991" t="s">
        <v>569</v>
      </c>
      <c r="C4991" t="s">
        <v>28</v>
      </c>
      <c r="D4991" t="str">
        <f>HYPERLINK("http://service.sap.com/sap/support/notes/1863655","1863655")</f>
        <v>1863655</v>
      </c>
      <c r="E4991">
        <v>2</v>
      </c>
      <c r="F4991" t="s">
        <v>5089</v>
      </c>
    </row>
    <row r="4992" spans="1:6" x14ac:dyDescent="0.25">
      <c r="A4992" t="s">
        <v>5060</v>
      </c>
      <c r="B4992" t="s">
        <v>569</v>
      </c>
      <c r="C4992" t="s">
        <v>28</v>
      </c>
      <c r="D4992" t="str">
        <f>HYPERLINK("http://service.sap.com/sap/support/notes/1893472","1893472")</f>
        <v>1893472</v>
      </c>
      <c r="E4992">
        <v>8</v>
      </c>
      <c r="F4992" t="s">
        <v>5090</v>
      </c>
    </row>
    <row r="4993" spans="1:6" x14ac:dyDescent="0.25">
      <c r="A4993" t="s">
        <v>5060</v>
      </c>
      <c r="B4993" t="s">
        <v>97</v>
      </c>
      <c r="C4993" t="s">
        <v>98</v>
      </c>
      <c r="D4993" t="str">
        <f>HYPERLINK("http://service.sap.com/sap/support/notes/1839129","1839129")</f>
        <v>1839129</v>
      </c>
      <c r="E4993">
        <v>2</v>
      </c>
      <c r="F4993" t="s">
        <v>5091</v>
      </c>
    </row>
    <row r="4994" spans="1:6" x14ac:dyDescent="0.25">
      <c r="A4994" t="s">
        <v>5060</v>
      </c>
      <c r="B4994" t="s">
        <v>97</v>
      </c>
      <c r="C4994" t="s">
        <v>98</v>
      </c>
      <c r="D4994" t="str">
        <f>HYPERLINK("http://service.sap.com/sap/support/notes/1861706","1861706")</f>
        <v>1861706</v>
      </c>
      <c r="E4994">
        <v>3</v>
      </c>
      <c r="F4994" t="s">
        <v>5092</v>
      </c>
    </row>
    <row r="4995" spans="1:6" x14ac:dyDescent="0.25">
      <c r="A4995" t="s">
        <v>5060</v>
      </c>
      <c r="B4995" t="s">
        <v>97</v>
      </c>
      <c r="C4995" t="s">
        <v>98</v>
      </c>
      <c r="D4995" t="str">
        <f>HYPERLINK("http://service.sap.com/sap/support/notes/1882349","1882349")</f>
        <v>1882349</v>
      </c>
      <c r="E4995">
        <v>1</v>
      </c>
      <c r="F4995" t="s">
        <v>5093</v>
      </c>
    </row>
    <row r="4996" spans="1:6" x14ac:dyDescent="0.25">
      <c r="A4996" t="s">
        <v>5060</v>
      </c>
      <c r="B4996" t="s">
        <v>97</v>
      </c>
      <c r="C4996" t="s">
        <v>98</v>
      </c>
      <c r="D4996" t="str">
        <f>HYPERLINK("http://service.sap.com/sap/support/notes/1882986","1882986")</f>
        <v>1882986</v>
      </c>
      <c r="E4996">
        <v>8</v>
      </c>
      <c r="F4996" t="s">
        <v>5094</v>
      </c>
    </row>
    <row r="4997" spans="1:6" x14ac:dyDescent="0.25">
      <c r="A4997" t="s">
        <v>5060</v>
      </c>
      <c r="B4997" t="s">
        <v>97</v>
      </c>
      <c r="C4997" t="s">
        <v>98</v>
      </c>
      <c r="D4997" t="str">
        <f>HYPERLINK("http://service.sap.com/sap/support/notes/1886365","1886365")</f>
        <v>1886365</v>
      </c>
      <c r="E4997">
        <v>1</v>
      </c>
      <c r="F4997" t="s">
        <v>5095</v>
      </c>
    </row>
    <row r="4998" spans="1:6" x14ac:dyDescent="0.25">
      <c r="A4998" t="s">
        <v>5060</v>
      </c>
      <c r="B4998" t="s">
        <v>97</v>
      </c>
      <c r="C4998" t="s">
        <v>98</v>
      </c>
      <c r="D4998" t="str">
        <f>HYPERLINK("http://service.sap.com/sap/support/notes/1890176","1890176")</f>
        <v>1890176</v>
      </c>
      <c r="E4998">
        <v>5</v>
      </c>
      <c r="F4998" t="s">
        <v>5096</v>
      </c>
    </row>
    <row r="4999" spans="1:6" x14ac:dyDescent="0.25">
      <c r="A4999" t="s">
        <v>5060</v>
      </c>
      <c r="B4999" t="s">
        <v>97</v>
      </c>
      <c r="C4999" t="s">
        <v>98</v>
      </c>
      <c r="D4999" t="str">
        <f>HYPERLINK("http://service.sap.com/sap/support/notes/1891189","1891189")</f>
        <v>1891189</v>
      </c>
      <c r="E4999">
        <v>2</v>
      </c>
      <c r="F4999" t="s">
        <v>5097</v>
      </c>
    </row>
    <row r="5000" spans="1:6" x14ac:dyDescent="0.25">
      <c r="A5000" t="s">
        <v>5060</v>
      </c>
      <c r="B5000" t="s">
        <v>97</v>
      </c>
      <c r="C5000" t="s">
        <v>98</v>
      </c>
      <c r="D5000" t="str">
        <f>HYPERLINK("http://service.sap.com/sap/support/notes/1897304","1897304")</f>
        <v>1897304</v>
      </c>
      <c r="E5000">
        <v>2</v>
      </c>
      <c r="F5000" t="s">
        <v>5098</v>
      </c>
    </row>
    <row r="5001" spans="1:6" x14ac:dyDescent="0.25">
      <c r="A5001" t="s">
        <v>5060</v>
      </c>
      <c r="B5001" t="s">
        <v>97</v>
      </c>
      <c r="C5001" t="s">
        <v>98</v>
      </c>
      <c r="D5001" t="str">
        <f>HYPERLINK("http://service.sap.com/sap/support/notes/1898701","1898701")</f>
        <v>1898701</v>
      </c>
      <c r="E5001">
        <v>2</v>
      </c>
      <c r="F5001" t="s">
        <v>5099</v>
      </c>
    </row>
    <row r="5002" spans="1:6" x14ac:dyDescent="0.25">
      <c r="A5002" t="s">
        <v>5060</v>
      </c>
      <c r="B5002" t="s">
        <v>97</v>
      </c>
      <c r="C5002" t="s">
        <v>98</v>
      </c>
      <c r="D5002" t="str">
        <f>HYPERLINK("http://service.sap.com/sap/support/notes/1900861","1900861")</f>
        <v>1900861</v>
      </c>
      <c r="E5002">
        <v>2</v>
      </c>
      <c r="F5002" t="s">
        <v>5100</v>
      </c>
    </row>
    <row r="5003" spans="1:6" x14ac:dyDescent="0.25">
      <c r="A5003" t="s">
        <v>5060</v>
      </c>
      <c r="B5003" t="s">
        <v>97</v>
      </c>
      <c r="C5003" t="s">
        <v>98</v>
      </c>
      <c r="D5003" t="str">
        <f>HYPERLINK("http://service.sap.com/sap/support/notes/1901159","1901159")</f>
        <v>1901159</v>
      </c>
      <c r="E5003">
        <v>1</v>
      </c>
      <c r="F5003" t="s">
        <v>5101</v>
      </c>
    </row>
    <row r="5004" spans="1:6" x14ac:dyDescent="0.25">
      <c r="A5004" t="s">
        <v>5060</v>
      </c>
      <c r="B5004" t="s">
        <v>570</v>
      </c>
      <c r="C5004" t="s">
        <v>128</v>
      </c>
      <c r="D5004" t="str">
        <f>HYPERLINK("http://service.sap.com/sap/support/notes/1872510","1872510")</f>
        <v>1872510</v>
      </c>
      <c r="E5004">
        <v>4</v>
      </c>
      <c r="F5004" t="s">
        <v>5102</v>
      </c>
    </row>
    <row r="5005" spans="1:6" x14ac:dyDescent="0.25">
      <c r="A5005" t="s">
        <v>5060</v>
      </c>
      <c r="B5005" t="s">
        <v>114</v>
      </c>
      <c r="C5005" t="s">
        <v>115</v>
      </c>
      <c r="D5005" t="str">
        <f>HYPERLINK("http://service.sap.com/sap/support/notes/1846974","1846974")</f>
        <v>1846974</v>
      </c>
      <c r="E5005">
        <v>1</v>
      </c>
      <c r="F5005" t="s">
        <v>5103</v>
      </c>
    </row>
    <row r="5006" spans="1:6" x14ac:dyDescent="0.25">
      <c r="A5006" t="s">
        <v>5060</v>
      </c>
      <c r="B5006" t="s">
        <v>114</v>
      </c>
      <c r="C5006" t="s">
        <v>115</v>
      </c>
      <c r="D5006" t="str">
        <f>HYPERLINK("http://service.sap.com/sap/support/notes/1877559","1877559")</f>
        <v>1877559</v>
      </c>
      <c r="E5006">
        <v>5</v>
      </c>
      <c r="F5006" t="s">
        <v>5104</v>
      </c>
    </row>
    <row r="5007" spans="1:6" x14ac:dyDescent="0.25">
      <c r="A5007" t="s">
        <v>5060</v>
      </c>
      <c r="B5007" t="s">
        <v>114</v>
      </c>
      <c r="C5007" t="s">
        <v>115</v>
      </c>
      <c r="D5007" t="str">
        <f>HYPERLINK("http://service.sap.com/sap/support/notes/1880820","1880820")</f>
        <v>1880820</v>
      </c>
      <c r="E5007">
        <v>1</v>
      </c>
      <c r="F5007" t="s">
        <v>5105</v>
      </c>
    </row>
    <row r="5008" spans="1:6" x14ac:dyDescent="0.25">
      <c r="A5008" t="s">
        <v>5060</v>
      </c>
      <c r="B5008" t="s">
        <v>114</v>
      </c>
      <c r="C5008" t="s">
        <v>115</v>
      </c>
      <c r="D5008" t="str">
        <f>HYPERLINK("http://service.sap.com/sap/support/notes/1888011","1888011")</f>
        <v>1888011</v>
      </c>
      <c r="E5008">
        <v>5</v>
      </c>
      <c r="F5008" t="s">
        <v>5106</v>
      </c>
    </row>
    <row r="5009" spans="1:6" x14ac:dyDescent="0.25">
      <c r="A5009" t="s">
        <v>5060</v>
      </c>
      <c r="B5009" t="s">
        <v>114</v>
      </c>
      <c r="C5009" t="s">
        <v>115</v>
      </c>
      <c r="D5009" t="str">
        <f>HYPERLINK("http://service.sap.com/sap/support/notes/1889074","1889074")</f>
        <v>1889074</v>
      </c>
      <c r="E5009">
        <v>1</v>
      </c>
      <c r="F5009" t="s">
        <v>5107</v>
      </c>
    </row>
    <row r="5010" spans="1:6" x14ac:dyDescent="0.25">
      <c r="A5010" t="s">
        <v>5060</v>
      </c>
      <c r="B5010" t="s">
        <v>114</v>
      </c>
      <c r="C5010" t="s">
        <v>115</v>
      </c>
      <c r="D5010" t="str">
        <f>HYPERLINK("http://service.sap.com/sap/support/notes/1889327","1889327")</f>
        <v>1889327</v>
      </c>
      <c r="E5010">
        <v>2</v>
      </c>
      <c r="F5010" t="s">
        <v>5108</v>
      </c>
    </row>
    <row r="5011" spans="1:6" x14ac:dyDescent="0.25">
      <c r="A5011" t="s">
        <v>5060</v>
      </c>
      <c r="B5011" t="s">
        <v>114</v>
      </c>
      <c r="C5011" t="s">
        <v>115</v>
      </c>
      <c r="D5011" t="str">
        <f>HYPERLINK("http://service.sap.com/sap/support/notes/1889925","1889925")</f>
        <v>1889925</v>
      </c>
      <c r="E5011">
        <v>1</v>
      </c>
      <c r="F5011" t="s">
        <v>5109</v>
      </c>
    </row>
    <row r="5012" spans="1:6" x14ac:dyDescent="0.25">
      <c r="A5012" t="s">
        <v>5060</v>
      </c>
      <c r="B5012" t="s">
        <v>114</v>
      </c>
      <c r="C5012" t="s">
        <v>115</v>
      </c>
      <c r="D5012" t="str">
        <f>HYPERLINK("http://service.sap.com/sap/support/notes/1889931","1889931")</f>
        <v>1889931</v>
      </c>
      <c r="E5012">
        <v>1</v>
      </c>
      <c r="F5012" t="s">
        <v>5110</v>
      </c>
    </row>
    <row r="5013" spans="1:6" x14ac:dyDescent="0.25">
      <c r="A5013" t="s">
        <v>5060</v>
      </c>
      <c r="B5013" t="s">
        <v>114</v>
      </c>
      <c r="C5013" t="s">
        <v>115</v>
      </c>
      <c r="D5013" t="str">
        <f>HYPERLINK("http://service.sap.com/sap/support/notes/1890719","1890719")</f>
        <v>1890719</v>
      </c>
      <c r="E5013">
        <v>1</v>
      </c>
      <c r="F5013" t="s">
        <v>5111</v>
      </c>
    </row>
    <row r="5014" spans="1:6" x14ac:dyDescent="0.25">
      <c r="A5014" t="s">
        <v>5060</v>
      </c>
      <c r="B5014" t="s">
        <v>114</v>
      </c>
      <c r="C5014" t="s">
        <v>115</v>
      </c>
      <c r="D5014" t="str">
        <f>HYPERLINK("http://service.sap.com/sap/support/notes/1891013","1891013")</f>
        <v>1891013</v>
      </c>
      <c r="E5014">
        <v>1</v>
      </c>
      <c r="F5014" t="s">
        <v>4768</v>
      </c>
    </row>
    <row r="5015" spans="1:6" x14ac:dyDescent="0.25">
      <c r="A5015" t="s">
        <v>5060</v>
      </c>
      <c r="B5015" t="s">
        <v>114</v>
      </c>
      <c r="C5015" t="s">
        <v>115</v>
      </c>
      <c r="D5015" t="str">
        <f>HYPERLINK("http://service.sap.com/sap/support/notes/1891237","1891237")</f>
        <v>1891237</v>
      </c>
      <c r="E5015">
        <v>1</v>
      </c>
      <c r="F5015" t="s">
        <v>5112</v>
      </c>
    </row>
    <row r="5016" spans="1:6" x14ac:dyDescent="0.25">
      <c r="A5016" t="s">
        <v>5060</v>
      </c>
      <c r="B5016" t="s">
        <v>114</v>
      </c>
      <c r="C5016" t="s">
        <v>115</v>
      </c>
      <c r="D5016" t="str">
        <f>HYPERLINK("http://service.sap.com/sap/support/notes/1892971","1892971")</f>
        <v>1892971</v>
      </c>
      <c r="E5016">
        <v>1</v>
      </c>
      <c r="F5016" t="s">
        <v>5113</v>
      </c>
    </row>
    <row r="5017" spans="1:6" x14ac:dyDescent="0.25">
      <c r="A5017" t="s">
        <v>5060</v>
      </c>
      <c r="B5017" t="s">
        <v>114</v>
      </c>
      <c r="C5017" t="s">
        <v>115</v>
      </c>
      <c r="D5017" t="str">
        <f>HYPERLINK("http://service.sap.com/sap/support/notes/1895719","1895719")</f>
        <v>1895719</v>
      </c>
      <c r="E5017">
        <v>1</v>
      </c>
      <c r="F5017" t="s">
        <v>5114</v>
      </c>
    </row>
    <row r="5018" spans="1:6" x14ac:dyDescent="0.25">
      <c r="A5018" t="s">
        <v>5060</v>
      </c>
      <c r="B5018" t="s">
        <v>114</v>
      </c>
      <c r="C5018" t="s">
        <v>115</v>
      </c>
      <c r="D5018" t="str">
        <f>HYPERLINK("http://service.sap.com/sap/support/notes/1896018","1896018")</f>
        <v>1896018</v>
      </c>
      <c r="E5018">
        <v>2</v>
      </c>
      <c r="F5018" t="s">
        <v>5115</v>
      </c>
    </row>
    <row r="5019" spans="1:6" x14ac:dyDescent="0.25">
      <c r="A5019" t="s">
        <v>5060</v>
      </c>
      <c r="B5019" t="s">
        <v>114</v>
      </c>
      <c r="C5019" t="s">
        <v>115</v>
      </c>
      <c r="D5019" t="str">
        <f>HYPERLINK("http://service.sap.com/sap/support/notes/1896076","1896076")</f>
        <v>1896076</v>
      </c>
      <c r="E5019">
        <v>1</v>
      </c>
      <c r="F5019" t="s">
        <v>5116</v>
      </c>
    </row>
    <row r="5020" spans="1:6" x14ac:dyDescent="0.25">
      <c r="A5020" t="s">
        <v>5060</v>
      </c>
      <c r="B5020" t="s">
        <v>114</v>
      </c>
      <c r="C5020" t="s">
        <v>115</v>
      </c>
      <c r="D5020" t="str">
        <f>HYPERLINK("http://service.sap.com/sap/support/notes/1896494","1896494")</f>
        <v>1896494</v>
      </c>
      <c r="E5020">
        <v>1</v>
      </c>
      <c r="F5020" t="s">
        <v>5117</v>
      </c>
    </row>
    <row r="5021" spans="1:6" x14ac:dyDescent="0.25">
      <c r="A5021" t="s">
        <v>5060</v>
      </c>
      <c r="B5021" t="s">
        <v>114</v>
      </c>
      <c r="C5021" t="s">
        <v>115</v>
      </c>
      <c r="D5021" t="str">
        <f>HYPERLINK("http://service.sap.com/sap/support/notes/1897866","1897866")</f>
        <v>1897866</v>
      </c>
      <c r="E5021">
        <v>2</v>
      </c>
      <c r="F5021" t="s">
        <v>5118</v>
      </c>
    </row>
    <row r="5022" spans="1:6" x14ac:dyDescent="0.25">
      <c r="A5022" t="s">
        <v>5060</v>
      </c>
      <c r="B5022" t="s">
        <v>114</v>
      </c>
      <c r="C5022" t="s">
        <v>115</v>
      </c>
      <c r="D5022" t="str">
        <f>HYPERLINK("http://service.sap.com/sap/support/notes/1898888","1898888")</f>
        <v>1898888</v>
      </c>
      <c r="E5022">
        <v>3</v>
      </c>
      <c r="F5022" t="s">
        <v>5119</v>
      </c>
    </row>
    <row r="5023" spans="1:6" x14ac:dyDescent="0.25">
      <c r="A5023" t="s">
        <v>5060</v>
      </c>
      <c r="B5023" t="s">
        <v>114</v>
      </c>
      <c r="C5023" t="s">
        <v>115</v>
      </c>
      <c r="D5023" t="str">
        <f>HYPERLINK("http://service.sap.com/sap/support/notes/1900162","1900162")</f>
        <v>1900162</v>
      </c>
      <c r="E5023">
        <v>1</v>
      </c>
      <c r="F5023" t="s">
        <v>5120</v>
      </c>
    </row>
    <row r="5024" spans="1:6" x14ac:dyDescent="0.25">
      <c r="A5024" t="s">
        <v>5060</v>
      </c>
      <c r="B5024" t="s">
        <v>127</v>
      </c>
      <c r="C5024" t="s">
        <v>128</v>
      </c>
      <c r="D5024" t="str">
        <f>HYPERLINK("http://service.sap.com/sap/support/notes/1889320","1889320")</f>
        <v>1889320</v>
      </c>
      <c r="E5024">
        <v>3</v>
      </c>
      <c r="F5024" t="s">
        <v>5121</v>
      </c>
    </row>
    <row r="5025" spans="1:6" x14ac:dyDescent="0.25">
      <c r="A5025" t="s">
        <v>5060</v>
      </c>
      <c r="B5025" t="s">
        <v>127</v>
      </c>
      <c r="C5025" t="s">
        <v>128</v>
      </c>
      <c r="D5025" t="str">
        <f>HYPERLINK("http://service.sap.com/sap/support/notes/1892201","1892201")</f>
        <v>1892201</v>
      </c>
      <c r="E5025">
        <v>1</v>
      </c>
      <c r="F5025" t="s">
        <v>5122</v>
      </c>
    </row>
    <row r="5026" spans="1:6" x14ac:dyDescent="0.25">
      <c r="A5026" t="s">
        <v>5060</v>
      </c>
      <c r="B5026" t="s">
        <v>131</v>
      </c>
      <c r="C5026" t="s">
        <v>132</v>
      </c>
      <c r="D5026" t="str">
        <f>HYPERLINK("http://service.sap.com/sap/support/notes/1815789","1815789")</f>
        <v>1815789</v>
      </c>
      <c r="E5026">
        <v>2</v>
      </c>
      <c r="F5026" t="s">
        <v>5123</v>
      </c>
    </row>
    <row r="5027" spans="1:6" x14ac:dyDescent="0.25">
      <c r="A5027" t="s">
        <v>5060</v>
      </c>
      <c r="B5027" t="s">
        <v>131</v>
      </c>
      <c r="C5027" t="s">
        <v>132</v>
      </c>
      <c r="D5027" t="str">
        <f>HYPERLINK("http://service.sap.com/sap/support/notes/1867537","1867537")</f>
        <v>1867537</v>
      </c>
      <c r="E5027">
        <v>1</v>
      </c>
      <c r="F5027" t="s">
        <v>5124</v>
      </c>
    </row>
    <row r="5028" spans="1:6" x14ac:dyDescent="0.25">
      <c r="A5028" t="s">
        <v>5060</v>
      </c>
      <c r="B5028" t="s">
        <v>131</v>
      </c>
      <c r="C5028" t="s">
        <v>132</v>
      </c>
      <c r="D5028" t="str">
        <f>HYPERLINK("http://service.sap.com/sap/support/notes/1879115","1879115")</f>
        <v>1879115</v>
      </c>
      <c r="E5028">
        <v>2</v>
      </c>
      <c r="F5028" t="s">
        <v>5125</v>
      </c>
    </row>
    <row r="5029" spans="1:6" x14ac:dyDescent="0.25">
      <c r="A5029" t="s">
        <v>5060</v>
      </c>
      <c r="B5029" t="s">
        <v>131</v>
      </c>
      <c r="C5029" t="s">
        <v>132</v>
      </c>
      <c r="D5029" t="str">
        <f>HYPERLINK("http://service.sap.com/sap/support/notes/1880850","1880850")</f>
        <v>1880850</v>
      </c>
      <c r="E5029">
        <v>3</v>
      </c>
      <c r="F5029" t="s">
        <v>4785</v>
      </c>
    </row>
    <row r="5030" spans="1:6" x14ac:dyDescent="0.25">
      <c r="A5030" t="s">
        <v>5060</v>
      </c>
      <c r="B5030" t="s">
        <v>131</v>
      </c>
      <c r="C5030" t="s">
        <v>132</v>
      </c>
      <c r="D5030" t="str">
        <f>HYPERLINK("http://service.sap.com/sap/support/notes/1881904","1881904")</f>
        <v>1881904</v>
      </c>
      <c r="E5030">
        <v>2</v>
      </c>
      <c r="F5030" t="s">
        <v>5126</v>
      </c>
    </row>
    <row r="5031" spans="1:6" x14ac:dyDescent="0.25">
      <c r="A5031" t="s">
        <v>5060</v>
      </c>
      <c r="B5031" t="s">
        <v>131</v>
      </c>
      <c r="C5031" t="s">
        <v>132</v>
      </c>
      <c r="D5031" t="str">
        <f>HYPERLINK("http://service.sap.com/sap/support/notes/1883548","1883548")</f>
        <v>1883548</v>
      </c>
      <c r="E5031">
        <v>2</v>
      </c>
      <c r="F5031" t="s">
        <v>5127</v>
      </c>
    </row>
    <row r="5032" spans="1:6" x14ac:dyDescent="0.25">
      <c r="A5032" t="s">
        <v>5060</v>
      </c>
      <c r="B5032" t="s">
        <v>131</v>
      </c>
      <c r="C5032" t="s">
        <v>132</v>
      </c>
      <c r="D5032" t="str">
        <f>HYPERLINK("http://service.sap.com/sap/support/notes/1890730","1890730")</f>
        <v>1890730</v>
      </c>
      <c r="E5032">
        <v>1</v>
      </c>
      <c r="F5032" t="s">
        <v>5128</v>
      </c>
    </row>
    <row r="5033" spans="1:6" x14ac:dyDescent="0.25">
      <c r="A5033" t="s">
        <v>5060</v>
      </c>
      <c r="B5033" t="s">
        <v>131</v>
      </c>
      <c r="C5033" t="s">
        <v>132</v>
      </c>
      <c r="D5033" t="str">
        <f>HYPERLINK("http://service.sap.com/sap/support/notes/1892088","1892088")</f>
        <v>1892088</v>
      </c>
      <c r="E5033">
        <v>2</v>
      </c>
      <c r="F5033" t="s">
        <v>5129</v>
      </c>
    </row>
    <row r="5034" spans="1:6" x14ac:dyDescent="0.25">
      <c r="A5034" t="s">
        <v>5060</v>
      </c>
      <c r="B5034" t="s">
        <v>131</v>
      </c>
      <c r="C5034" t="s">
        <v>132</v>
      </c>
      <c r="D5034" t="str">
        <f>HYPERLINK("http://service.sap.com/sap/support/notes/1893169","1893169")</f>
        <v>1893169</v>
      </c>
      <c r="E5034">
        <v>2</v>
      </c>
      <c r="F5034" t="s">
        <v>5130</v>
      </c>
    </row>
    <row r="5035" spans="1:6" x14ac:dyDescent="0.25">
      <c r="A5035" t="s">
        <v>5060</v>
      </c>
      <c r="B5035" t="s">
        <v>131</v>
      </c>
      <c r="C5035" t="s">
        <v>132</v>
      </c>
      <c r="D5035" t="str">
        <f>HYPERLINK("http://service.sap.com/sap/support/notes/1893343","1893343")</f>
        <v>1893343</v>
      </c>
      <c r="E5035">
        <v>1</v>
      </c>
      <c r="F5035" t="s">
        <v>702</v>
      </c>
    </row>
    <row r="5036" spans="1:6" x14ac:dyDescent="0.25">
      <c r="A5036" t="s">
        <v>5060</v>
      </c>
      <c r="B5036" t="s">
        <v>131</v>
      </c>
      <c r="C5036" t="s">
        <v>132</v>
      </c>
      <c r="D5036" t="str">
        <f>HYPERLINK("http://service.sap.com/sap/support/notes/1896211","1896211")</f>
        <v>1896211</v>
      </c>
      <c r="E5036">
        <v>1</v>
      </c>
      <c r="F5036" t="s">
        <v>5131</v>
      </c>
    </row>
    <row r="5037" spans="1:6" x14ac:dyDescent="0.25">
      <c r="A5037" t="s">
        <v>5060</v>
      </c>
      <c r="B5037" t="s">
        <v>131</v>
      </c>
      <c r="C5037" t="s">
        <v>132</v>
      </c>
      <c r="D5037" t="str">
        <f>HYPERLINK("http://service.sap.com/sap/support/notes/1897522","1897522")</f>
        <v>1897522</v>
      </c>
      <c r="E5037">
        <v>4</v>
      </c>
      <c r="F5037" t="s">
        <v>5132</v>
      </c>
    </row>
    <row r="5038" spans="1:6" x14ac:dyDescent="0.25">
      <c r="A5038" t="s">
        <v>5060</v>
      </c>
      <c r="B5038" t="s">
        <v>131</v>
      </c>
      <c r="C5038" t="s">
        <v>132</v>
      </c>
      <c r="D5038" t="str">
        <f>HYPERLINK("http://service.sap.com/sap/support/notes/1899267","1899267")</f>
        <v>1899267</v>
      </c>
      <c r="E5038">
        <v>2</v>
      </c>
      <c r="F5038" t="s">
        <v>5133</v>
      </c>
    </row>
    <row r="5039" spans="1:6" x14ac:dyDescent="0.25">
      <c r="A5039" t="s">
        <v>5060</v>
      </c>
      <c r="B5039" t="s">
        <v>131</v>
      </c>
      <c r="C5039" t="s">
        <v>132</v>
      </c>
      <c r="D5039" t="str">
        <f>HYPERLINK("http://service.sap.com/sap/support/notes/1899289","1899289")</f>
        <v>1899289</v>
      </c>
      <c r="E5039">
        <v>1</v>
      </c>
      <c r="F5039" t="s">
        <v>5134</v>
      </c>
    </row>
    <row r="5040" spans="1:6" x14ac:dyDescent="0.25">
      <c r="A5040" t="s">
        <v>5060</v>
      </c>
      <c r="B5040" t="s">
        <v>131</v>
      </c>
      <c r="C5040" t="s">
        <v>132</v>
      </c>
      <c r="D5040" t="str">
        <f>HYPERLINK("http://service.sap.com/sap/support/notes/1899978","1899978")</f>
        <v>1899978</v>
      </c>
      <c r="E5040">
        <v>2</v>
      </c>
      <c r="F5040" t="s">
        <v>5135</v>
      </c>
    </row>
    <row r="5041" spans="1:6" x14ac:dyDescent="0.25">
      <c r="A5041" t="s">
        <v>5060</v>
      </c>
      <c r="B5041" t="s">
        <v>131</v>
      </c>
      <c r="C5041" t="s">
        <v>132</v>
      </c>
      <c r="D5041" t="str">
        <f>HYPERLINK("http://service.sap.com/sap/support/notes/1902164","1902164")</f>
        <v>1902164</v>
      </c>
      <c r="E5041">
        <v>3</v>
      </c>
      <c r="F5041" t="s">
        <v>5136</v>
      </c>
    </row>
    <row r="5042" spans="1:6" x14ac:dyDescent="0.25">
      <c r="A5042" t="s">
        <v>5060</v>
      </c>
      <c r="B5042" t="s">
        <v>131</v>
      </c>
      <c r="C5042" t="s">
        <v>132</v>
      </c>
      <c r="D5042" t="str">
        <f>HYPERLINK("http://service.sap.com/sap/support/notes/1902824","1902824")</f>
        <v>1902824</v>
      </c>
      <c r="E5042">
        <v>1</v>
      </c>
      <c r="F5042" t="s">
        <v>5137</v>
      </c>
    </row>
    <row r="5043" spans="1:6" x14ac:dyDescent="0.25">
      <c r="A5043" t="s">
        <v>5060</v>
      </c>
      <c r="B5043" t="s">
        <v>703</v>
      </c>
      <c r="C5043" t="s">
        <v>128</v>
      </c>
      <c r="D5043" t="str">
        <f>HYPERLINK("http://service.sap.com/sap/support/notes/1894481","1894481")</f>
        <v>1894481</v>
      </c>
      <c r="E5043">
        <v>1</v>
      </c>
      <c r="F5043" t="s">
        <v>5138</v>
      </c>
    </row>
    <row r="5044" spans="1:6" x14ac:dyDescent="0.25">
      <c r="A5044" t="s">
        <v>5060</v>
      </c>
      <c r="B5044" t="s">
        <v>144</v>
      </c>
      <c r="C5044" t="s">
        <v>145</v>
      </c>
      <c r="D5044" t="str">
        <f>HYPERLINK("http://service.sap.com/sap/support/notes/1449427","1449427")</f>
        <v>1449427</v>
      </c>
      <c r="E5044">
        <v>4</v>
      </c>
      <c r="F5044" t="s">
        <v>5139</v>
      </c>
    </row>
    <row r="5045" spans="1:6" x14ac:dyDescent="0.25">
      <c r="A5045" t="s">
        <v>5060</v>
      </c>
      <c r="B5045" t="s">
        <v>144</v>
      </c>
      <c r="C5045" t="s">
        <v>145</v>
      </c>
      <c r="D5045" t="str">
        <f>HYPERLINK("http://service.sap.com/sap/support/notes/1543747","1543747")</f>
        <v>1543747</v>
      </c>
      <c r="E5045">
        <v>4</v>
      </c>
      <c r="F5045" t="s">
        <v>5140</v>
      </c>
    </row>
    <row r="5046" spans="1:6" x14ac:dyDescent="0.25">
      <c r="A5046" t="s">
        <v>5060</v>
      </c>
      <c r="B5046" t="s">
        <v>144</v>
      </c>
      <c r="C5046" t="s">
        <v>145</v>
      </c>
      <c r="D5046" t="str">
        <f>HYPERLINK("http://service.sap.com/sap/support/notes/1558827","1558827")</f>
        <v>1558827</v>
      </c>
      <c r="E5046">
        <v>4</v>
      </c>
      <c r="F5046" t="s">
        <v>5141</v>
      </c>
    </row>
    <row r="5047" spans="1:6" x14ac:dyDescent="0.25">
      <c r="A5047" t="s">
        <v>5060</v>
      </c>
      <c r="B5047" t="s">
        <v>144</v>
      </c>
      <c r="C5047" t="s">
        <v>145</v>
      </c>
      <c r="D5047" t="str">
        <f>HYPERLINK("http://service.sap.com/sap/support/notes/1728247","1728247")</f>
        <v>1728247</v>
      </c>
      <c r="E5047">
        <v>3</v>
      </c>
      <c r="F5047" t="s">
        <v>5142</v>
      </c>
    </row>
    <row r="5048" spans="1:6" x14ac:dyDescent="0.25">
      <c r="A5048" t="s">
        <v>5060</v>
      </c>
      <c r="B5048" t="s">
        <v>144</v>
      </c>
      <c r="C5048" t="s">
        <v>145</v>
      </c>
      <c r="D5048" t="str">
        <f>HYPERLINK("http://service.sap.com/sap/support/notes/1788090","1788090")</f>
        <v>1788090</v>
      </c>
      <c r="E5048">
        <v>3</v>
      </c>
      <c r="F5048" t="s">
        <v>5143</v>
      </c>
    </row>
    <row r="5049" spans="1:6" x14ac:dyDescent="0.25">
      <c r="A5049" t="s">
        <v>5060</v>
      </c>
      <c r="B5049" t="s">
        <v>144</v>
      </c>
      <c r="C5049" t="s">
        <v>145</v>
      </c>
      <c r="D5049" t="str">
        <f>HYPERLINK("http://service.sap.com/sap/support/notes/1804089","1804089")</f>
        <v>1804089</v>
      </c>
      <c r="E5049">
        <v>3</v>
      </c>
      <c r="F5049" t="s">
        <v>5144</v>
      </c>
    </row>
    <row r="5050" spans="1:6" x14ac:dyDescent="0.25">
      <c r="A5050" t="s">
        <v>5060</v>
      </c>
      <c r="B5050" t="s">
        <v>144</v>
      </c>
      <c r="C5050" t="s">
        <v>145</v>
      </c>
      <c r="D5050" t="str">
        <f>HYPERLINK("http://service.sap.com/sap/support/notes/1804327","1804327")</f>
        <v>1804327</v>
      </c>
      <c r="E5050">
        <v>4</v>
      </c>
      <c r="F5050" t="s">
        <v>5145</v>
      </c>
    </row>
    <row r="5051" spans="1:6" x14ac:dyDescent="0.25">
      <c r="A5051" t="s">
        <v>5060</v>
      </c>
      <c r="B5051" t="s">
        <v>144</v>
      </c>
      <c r="C5051" t="s">
        <v>145</v>
      </c>
      <c r="D5051" t="str">
        <f>HYPERLINK("http://service.sap.com/sap/support/notes/1808599","1808599")</f>
        <v>1808599</v>
      </c>
      <c r="E5051">
        <v>4</v>
      </c>
      <c r="F5051" t="s">
        <v>5146</v>
      </c>
    </row>
    <row r="5052" spans="1:6" x14ac:dyDescent="0.25">
      <c r="A5052" t="s">
        <v>5060</v>
      </c>
      <c r="B5052" t="s">
        <v>144</v>
      </c>
      <c r="C5052" t="s">
        <v>145</v>
      </c>
      <c r="D5052" t="str">
        <f>HYPERLINK("http://service.sap.com/sap/support/notes/1855176","1855176")</f>
        <v>1855176</v>
      </c>
      <c r="E5052">
        <v>4</v>
      </c>
      <c r="F5052" t="s">
        <v>5147</v>
      </c>
    </row>
    <row r="5053" spans="1:6" x14ac:dyDescent="0.25">
      <c r="A5053" t="s">
        <v>5060</v>
      </c>
      <c r="B5053" t="s">
        <v>144</v>
      </c>
      <c r="C5053" t="s">
        <v>145</v>
      </c>
      <c r="D5053" t="str">
        <f>HYPERLINK("http://service.sap.com/sap/support/notes/1859681","1859681")</f>
        <v>1859681</v>
      </c>
      <c r="E5053">
        <v>2</v>
      </c>
      <c r="F5053" t="s">
        <v>5148</v>
      </c>
    </row>
    <row r="5054" spans="1:6" x14ac:dyDescent="0.25">
      <c r="A5054" t="s">
        <v>5060</v>
      </c>
      <c r="B5054" t="s">
        <v>150</v>
      </c>
      <c r="C5054" t="s">
        <v>151</v>
      </c>
    </row>
    <row r="5055" spans="1:6" x14ac:dyDescent="0.25">
      <c r="A5055" t="s">
        <v>5060</v>
      </c>
      <c r="B5055" t="s">
        <v>155</v>
      </c>
      <c r="C5055" t="s">
        <v>156</v>
      </c>
      <c r="D5055" t="str">
        <f>HYPERLINK("http://service.sap.com/sap/support/notes/1882645","1882645")</f>
        <v>1882645</v>
      </c>
      <c r="E5055">
        <v>4</v>
      </c>
      <c r="F5055" t="s">
        <v>5149</v>
      </c>
    </row>
    <row r="5056" spans="1:6" x14ac:dyDescent="0.25">
      <c r="A5056" t="s">
        <v>5060</v>
      </c>
      <c r="B5056" t="s">
        <v>159</v>
      </c>
      <c r="C5056" t="s">
        <v>160</v>
      </c>
      <c r="D5056" t="str">
        <f>HYPERLINK("http://service.sap.com/sap/support/notes/1889472","1889472")</f>
        <v>1889472</v>
      </c>
      <c r="E5056">
        <v>1</v>
      </c>
      <c r="F5056" t="s">
        <v>5150</v>
      </c>
    </row>
    <row r="5057" spans="1:6" x14ac:dyDescent="0.25">
      <c r="A5057" t="s">
        <v>5060</v>
      </c>
      <c r="B5057" t="s">
        <v>159</v>
      </c>
      <c r="C5057" t="s">
        <v>160</v>
      </c>
      <c r="D5057" t="str">
        <f>HYPERLINK("http://service.sap.com/sap/support/notes/1889918","1889918")</f>
        <v>1889918</v>
      </c>
      <c r="E5057">
        <v>2</v>
      </c>
      <c r="F5057" t="s">
        <v>5151</v>
      </c>
    </row>
    <row r="5058" spans="1:6" x14ac:dyDescent="0.25">
      <c r="A5058" t="s">
        <v>5060</v>
      </c>
      <c r="B5058" t="s">
        <v>159</v>
      </c>
      <c r="C5058" t="s">
        <v>160</v>
      </c>
      <c r="D5058" t="str">
        <f>HYPERLINK("http://service.sap.com/sap/support/notes/1891962","1891962")</f>
        <v>1891962</v>
      </c>
      <c r="E5058">
        <v>1</v>
      </c>
      <c r="F5058" t="s">
        <v>5152</v>
      </c>
    </row>
    <row r="5059" spans="1:6" x14ac:dyDescent="0.25">
      <c r="A5059" t="s">
        <v>5060</v>
      </c>
      <c r="B5059" t="s">
        <v>159</v>
      </c>
      <c r="C5059" t="s">
        <v>160</v>
      </c>
      <c r="D5059" t="str">
        <f>HYPERLINK("http://service.sap.com/sap/support/notes/1895595","1895595")</f>
        <v>1895595</v>
      </c>
      <c r="E5059">
        <v>1</v>
      </c>
      <c r="F5059" t="s">
        <v>5153</v>
      </c>
    </row>
    <row r="5060" spans="1:6" x14ac:dyDescent="0.25">
      <c r="A5060" t="s">
        <v>5060</v>
      </c>
      <c r="B5060" t="s">
        <v>159</v>
      </c>
      <c r="C5060" t="s">
        <v>160</v>
      </c>
      <c r="D5060" t="str">
        <f>HYPERLINK("http://service.sap.com/sap/support/notes/1899623","1899623")</f>
        <v>1899623</v>
      </c>
      <c r="E5060">
        <v>1</v>
      </c>
      <c r="F5060" t="s">
        <v>5154</v>
      </c>
    </row>
    <row r="5061" spans="1:6" x14ac:dyDescent="0.25">
      <c r="A5061" t="s">
        <v>5060</v>
      </c>
      <c r="B5061" t="s">
        <v>159</v>
      </c>
      <c r="C5061" t="s">
        <v>160</v>
      </c>
      <c r="D5061" t="str">
        <f>HYPERLINK("http://service.sap.com/sap/support/notes/1902390","1902390")</f>
        <v>1902390</v>
      </c>
      <c r="E5061">
        <v>1</v>
      </c>
      <c r="F5061" t="s">
        <v>5155</v>
      </c>
    </row>
    <row r="5062" spans="1:6" x14ac:dyDescent="0.25">
      <c r="A5062" t="s">
        <v>5060</v>
      </c>
      <c r="B5062" t="s">
        <v>165</v>
      </c>
      <c r="C5062" t="s">
        <v>31</v>
      </c>
      <c r="D5062" t="str">
        <f>HYPERLINK("http://service.sap.com/sap/support/notes/1855320","1855320")</f>
        <v>1855320</v>
      </c>
      <c r="E5062">
        <v>2</v>
      </c>
      <c r="F5062" t="s">
        <v>5156</v>
      </c>
    </row>
    <row r="5063" spans="1:6" x14ac:dyDescent="0.25">
      <c r="A5063" t="s">
        <v>5060</v>
      </c>
      <c r="B5063" t="s">
        <v>165</v>
      </c>
      <c r="C5063" t="s">
        <v>31</v>
      </c>
      <c r="D5063" t="str">
        <f>HYPERLINK("http://service.sap.com/sap/support/notes/1887858","1887858")</f>
        <v>1887858</v>
      </c>
      <c r="E5063">
        <v>2</v>
      </c>
      <c r="F5063" t="s">
        <v>5157</v>
      </c>
    </row>
    <row r="5064" spans="1:6" x14ac:dyDescent="0.25">
      <c r="A5064" t="s">
        <v>5060</v>
      </c>
      <c r="B5064" t="s">
        <v>165</v>
      </c>
      <c r="C5064" t="s">
        <v>31</v>
      </c>
      <c r="D5064" t="str">
        <f>HYPERLINK("http://service.sap.com/sap/support/notes/1891622","1891622")</f>
        <v>1891622</v>
      </c>
      <c r="E5064">
        <v>3</v>
      </c>
      <c r="F5064" t="s">
        <v>5158</v>
      </c>
    </row>
    <row r="5065" spans="1:6" x14ac:dyDescent="0.25">
      <c r="A5065" t="s">
        <v>5060</v>
      </c>
      <c r="B5065" t="s">
        <v>165</v>
      </c>
      <c r="C5065" t="s">
        <v>31</v>
      </c>
      <c r="D5065" t="str">
        <f>HYPERLINK("http://service.sap.com/sap/support/notes/1897542","1897542")</f>
        <v>1897542</v>
      </c>
      <c r="E5065">
        <v>2</v>
      </c>
      <c r="F5065" t="s">
        <v>5159</v>
      </c>
    </row>
    <row r="5066" spans="1:6" x14ac:dyDescent="0.25">
      <c r="A5066" t="s">
        <v>5060</v>
      </c>
      <c r="B5066" t="s">
        <v>165</v>
      </c>
      <c r="C5066" t="s">
        <v>31</v>
      </c>
      <c r="D5066" t="str">
        <f>HYPERLINK("http://service.sap.com/sap/support/notes/1904132","1904132")</f>
        <v>1904132</v>
      </c>
      <c r="E5066">
        <v>1</v>
      </c>
      <c r="F5066" t="s">
        <v>5160</v>
      </c>
    </row>
    <row r="5067" spans="1:6" x14ac:dyDescent="0.25">
      <c r="A5067" t="s">
        <v>5060</v>
      </c>
      <c r="B5067" t="s">
        <v>169</v>
      </c>
      <c r="C5067" t="s">
        <v>34</v>
      </c>
      <c r="D5067" t="str">
        <f>HYPERLINK("http://service.sap.com/sap/support/notes/1883177","1883177")</f>
        <v>1883177</v>
      </c>
      <c r="E5067">
        <v>1</v>
      </c>
      <c r="F5067" t="s">
        <v>5161</v>
      </c>
    </row>
    <row r="5068" spans="1:6" x14ac:dyDescent="0.25">
      <c r="A5068" t="s">
        <v>5060</v>
      </c>
      <c r="B5068" t="s">
        <v>169</v>
      </c>
      <c r="C5068" t="s">
        <v>34</v>
      </c>
      <c r="D5068" t="str">
        <f>HYPERLINK("http://service.sap.com/sap/support/notes/1894314","1894314")</f>
        <v>1894314</v>
      </c>
      <c r="E5068">
        <v>1</v>
      </c>
      <c r="F5068" t="s">
        <v>5162</v>
      </c>
    </row>
    <row r="5069" spans="1:6" x14ac:dyDescent="0.25">
      <c r="A5069" t="s">
        <v>5060</v>
      </c>
      <c r="B5069" t="s">
        <v>169</v>
      </c>
      <c r="C5069" t="s">
        <v>34</v>
      </c>
      <c r="D5069" t="str">
        <f>HYPERLINK("http://service.sap.com/sap/support/notes/1900154","1900154")</f>
        <v>1900154</v>
      </c>
      <c r="E5069">
        <v>3</v>
      </c>
      <c r="F5069" t="s">
        <v>5163</v>
      </c>
    </row>
    <row r="5070" spans="1:6" x14ac:dyDescent="0.25">
      <c r="A5070" t="s">
        <v>5060</v>
      </c>
      <c r="B5070" t="s">
        <v>175</v>
      </c>
      <c r="C5070" t="s">
        <v>176</v>
      </c>
      <c r="D5070" t="str">
        <f>HYPERLINK("http://service.sap.com/sap/support/notes/1883810","1883810")</f>
        <v>1883810</v>
      </c>
      <c r="E5070">
        <v>1</v>
      </c>
      <c r="F5070" t="s">
        <v>4810</v>
      </c>
    </row>
    <row r="5071" spans="1:6" x14ac:dyDescent="0.25">
      <c r="A5071" t="s">
        <v>5060</v>
      </c>
      <c r="B5071" t="s">
        <v>175</v>
      </c>
      <c r="C5071" t="s">
        <v>176</v>
      </c>
      <c r="D5071" t="str">
        <f>HYPERLINK("http://service.sap.com/sap/support/notes/1884456","1884456")</f>
        <v>1884456</v>
      </c>
      <c r="E5071">
        <v>1</v>
      </c>
      <c r="F5071" t="s">
        <v>5164</v>
      </c>
    </row>
    <row r="5072" spans="1:6" x14ac:dyDescent="0.25">
      <c r="A5072" t="s">
        <v>5060</v>
      </c>
      <c r="B5072" t="s">
        <v>175</v>
      </c>
      <c r="C5072" t="s">
        <v>176</v>
      </c>
      <c r="D5072" t="str">
        <f>HYPERLINK("http://service.sap.com/sap/support/notes/1898173","1898173")</f>
        <v>1898173</v>
      </c>
      <c r="E5072">
        <v>1</v>
      </c>
      <c r="F5072" t="s">
        <v>5165</v>
      </c>
    </row>
    <row r="5073" spans="1:6" x14ac:dyDescent="0.25">
      <c r="A5073" t="s">
        <v>5060</v>
      </c>
      <c r="B5073" t="s">
        <v>175</v>
      </c>
      <c r="C5073" t="s">
        <v>176</v>
      </c>
      <c r="D5073" t="str">
        <f>HYPERLINK("http://service.sap.com/sap/support/notes/1902655","1902655")</f>
        <v>1902655</v>
      </c>
      <c r="E5073">
        <v>1</v>
      </c>
      <c r="F5073" t="s">
        <v>5166</v>
      </c>
    </row>
    <row r="5074" spans="1:6" x14ac:dyDescent="0.25">
      <c r="A5074" t="s">
        <v>5060</v>
      </c>
      <c r="B5074" t="s">
        <v>177</v>
      </c>
      <c r="C5074" t="s">
        <v>178</v>
      </c>
      <c r="D5074" t="str">
        <f>HYPERLINK("http://service.sap.com/sap/support/notes/1890209","1890209")</f>
        <v>1890209</v>
      </c>
      <c r="E5074">
        <v>2</v>
      </c>
      <c r="F5074" t="s">
        <v>5167</v>
      </c>
    </row>
    <row r="5075" spans="1:6" x14ac:dyDescent="0.25">
      <c r="A5075" t="s">
        <v>5060</v>
      </c>
      <c r="B5075" t="s">
        <v>177</v>
      </c>
      <c r="C5075" t="s">
        <v>178</v>
      </c>
      <c r="D5075" t="str">
        <f>HYPERLINK("http://service.sap.com/sap/support/notes/1897277","1897277")</f>
        <v>1897277</v>
      </c>
      <c r="E5075">
        <v>2</v>
      </c>
      <c r="F5075" t="s">
        <v>5168</v>
      </c>
    </row>
    <row r="5076" spans="1:6" x14ac:dyDescent="0.25">
      <c r="A5076" t="s">
        <v>5060</v>
      </c>
      <c r="B5076" t="s">
        <v>180</v>
      </c>
      <c r="C5076" t="s">
        <v>181</v>
      </c>
      <c r="D5076" t="str">
        <f>HYPERLINK("http://service.sap.com/sap/support/notes/1878164","1878164")</f>
        <v>1878164</v>
      </c>
      <c r="E5076">
        <v>2</v>
      </c>
      <c r="F5076" t="s">
        <v>5169</v>
      </c>
    </row>
    <row r="5077" spans="1:6" x14ac:dyDescent="0.25">
      <c r="A5077" t="s">
        <v>5060</v>
      </c>
      <c r="B5077" t="s">
        <v>180</v>
      </c>
      <c r="C5077" t="s">
        <v>181</v>
      </c>
      <c r="D5077" t="str">
        <f>HYPERLINK("http://service.sap.com/sap/support/notes/1886559","1886559")</f>
        <v>1886559</v>
      </c>
      <c r="E5077">
        <v>2</v>
      </c>
      <c r="F5077" t="s">
        <v>5170</v>
      </c>
    </row>
    <row r="5078" spans="1:6" x14ac:dyDescent="0.25">
      <c r="A5078" t="s">
        <v>5060</v>
      </c>
      <c r="B5078" t="s">
        <v>180</v>
      </c>
      <c r="C5078" t="s">
        <v>181</v>
      </c>
      <c r="D5078" t="str">
        <f>HYPERLINK("http://service.sap.com/sap/support/notes/1890179","1890179")</f>
        <v>1890179</v>
      </c>
      <c r="E5078">
        <v>2</v>
      </c>
      <c r="F5078" t="s">
        <v>5171</v>
      </c>
    </row>
    <row r="5079" spans="1:6" x14ac:dyDescent="0.25">
      <c r="A5079" t="s">
        <v>5060</v>
      </c>
      <c r="B5079" t="s">
        <v>183</v>
      </c>
      <c r="C5079" t="s">
        <v>184</v>
      </c>
    </row>
    <row r="5080" spans="1:6" x14ac:dyDescent="0.25">
      <c r="A5080" t="s">
        <v>5060</v>
      </c>
      <c r="B5080" t="s">
        <v>576</v>
      </c>
      <c r="C5080" t="s">
        <v>577</v>
      </c>
      <c r="D5080" t="str">
        <f>HYPERLINK("http://service.sap.com/sap/support/notes/1887700","1887700")</f>
        <v>1887700</v>
      </c>
      <c r="E5080">
        <v>1</v>
      </c>
      <c r="F5080" t="s">
        <v>5172</v>
      </c>
    </row>
    <row r="5081" spans="1:6" x14ac:dyDescent="0.25">
      <c r="A5081" t="s">
        <v>5060</v>
      </c>
      <c r="B5081" t="s">
        <v>576</v>
      </c>
      <c r="C5081" t="s">
        <v>577</v>
      </c>
      <c r="D5081" t="str">
        <f>HYPERLINK("http://service.sap.com/sap/support/notes/1894611","1894611")</f>
        <v>1894611</v>
      </c>
      <c r="E5081">
        <v>2</v>
      </c>
      <c r="F5081" t="s">
        <v>5173</v>
      </c>
    </row>
    <row r="5082" spans="1:6" x14ac:dyDescent="0.25">
      <c r="A5082" t="s">
        <v>5060</v>
      </c>
      <c r="B5082" t="s">
        <v>576</v>
      </c>
      <c r="C5082" t="s">
        <v>577</v>
      </c>
      <c r="D5082" t="str">
        <f>HYPERLINK("http://service.sap.com/sap/support/notes/1897664","1897664")</f>
        <v>1897664</v>
      </c>
      <c r="E5082">
        <v>1</v>
      </c>
      <c r="F5082" t="s">
        <v>5174</v>
      </c>
    </row>
    <row r="5083" spans="1:6" x14ac:dyDescent="0.25">
      <c r="A5083" t="s">
        <v>5060</v>
      </c>
      <c r="B5083" t="s">
        <v>1522</v>
      </c>
      <c r="C5083" t="s">
        <v>1523</v>
      </c>
      <c r="D5083" t="str">
        <f>HYPERLINK("http://service.sap.com/sap/support/notes/1877415","1877415")</f>
        <v>1877415</v>
      </c>
      <c r="E5083">
        <v>1</v>
      </c>
      <c r="F5083" t="s">
        <v>5175</v>
      </c>
    </row>
    <row r="5084" spans="1:6" x14ac:dyDescent="0.25">
      <c r="A5084" t="s">
        <v>5060</v>
      </c>
      <c r="B5084" t="s">
        <v>1522</v>
      </c>
      <c r="C5084" t="s">
        <v>1523</v>
      </c>
      <c r="D5084" t="str">
        <f>HYPERLINK("http://service.sap.com/sap/support/notes/1894503","1894503")</f>
        <v>1894503</v>
      </c>
      <c r="E5084">
        <v>1</v>
      </c>
      <c r="F5084" t="s">
        <v>5176</v>
      </c>
    </row>
    <row r="5085" spans="1:6" x14ac:dyDescent="0.25">
      <c r="A5085" t="s">
        <v>5060</v>
      </c>
      <c r="B5085" t="s">
        <v>185</v>
      </c>
      <c r="C5085" t="s">
        <v>186</v>
      </c>
      <c r="D5085" t="str">
        <f>HYPERLINK("http://service.sap.com/sap/support/notes/1830441","1830441")</f>
        <v>1830441</v>
      </c>
      <c r="E5085">
        <v>2</v>
      </c>
      <c r="F5085" t="s">
        <v>5177</v>
      </c>
    </row>
    <row r="5086" spans="1:6" x14ac:dyDescent="0.25">
      <c r="A5086" t="s">
        <v>5060</v>
      </c>
      <c r="B5086" t="s">
        <v>185</v>
      </c>
      <c r="C5086" t="s">
        <v>186</v>
      </c>
      <c r="D5086" t="str">
        <f>HYPERLINK("http://service.sap.com/sap/support/notes/1902174","1902174")</f>
        <v>1902174</v>
      </c>
      <c r="E5086">
        <v>2</v>
      </c>
      <c r="F5086" t="s">
        <v>5178</v>
      </c>
    </row>
    <row r="5087" spans="1:6" x14ac:dyDescent="0.25">
      <c r="A5087" t="s">
        <v>5060</v>
      </c>
      <c r="B5087" t="s">
        <v>578</v>
      </c>
      <c r="C5087" t="s">
        <v>4485</v>
      </c>
      <c r="D5087" t="str">
        <f>HYPERLINK("http://service.sap.com/sap/support/notes/1893950","1893950")</f>
        <v>1893950</v>
      </c>
      <c r="E5087">
        <v>16</v>
      </c>
      <c r="F5087" t="s">
        <v>5179</v>
      </c>
    </row>
    <row r="5088" spans="1:6" x14ac:dyDescent="0.25">
      <c r="A5088" t="s">
        <v>5060</v>
      </c>
      <c r="B5088" t="s">
        <v>191</v>
      </c>
      <c r="C5088" t="s">
        <v>192</v>
      </c>
    </row>
    <row r="5089" spans="1:6" x14ac:dyDescent="0.25">
      <c r="A5089" t="s">
        <v>5060</v>
      </c>
      <c r="B5089" t="s">
        <v>4040</v>
      </c>
      <c r="C5089" t="s">
        <v>4487</v>
      </c>
      <c r="D5089" t="str">
        <f>HYPERLINK("http://service.sap.com/sap/support/notes/1886002","1886002")</f>
        <v>1886002</v>
      </c>
      <c r="E5089">
        <v>3</v>
      </c>
      <c r="F5089" t="s">
        <v>5180</v>
      </c>
    </row>
    <row r="5090" spans="1:6" x14ac:dyDescent="0.25">
      <c r="A5090" t="s">
        <v>5060</v>
      </c>
      <c r="B5090" t="s">
        <v>195</v>
      </c>
      <c r="C5090" t="s">
        <v>196</v>
      </c>
    </row>
    <row r="5091" spans="1:6" x14ac:dyDescent="0.25">
      <c r="A5091" t="s">
        <v>5060</v>
      </c>
      <c r="B5091" t="s">
        <v>197</v>
      </c>
      <c r="C5091" t="s">
        <v>198</v>
      </c>
      <c r="D5091" t="str">
        <f>HYPERLINK("http://service.sap.com/sap/support/notes/1883008","1883008")</f>
        <v>1883008</v>
      </c>
      <c r="E5091">
        <v>2</v>
      </c>
      <c r="F5091" t="s">
        <v>5181</v>
      </c>
    </row>
    <row r="5092" spans="1:6" x14ac:dyDescent="0.25">
      <c r="A5092" t="s">
        <v>5060</v>
      </c>
      <c r="B5092" t="s">
        <v>197</v>
      </c>
      <c r="C5092" t="s">
        <v>198</v>
      </c>
      <c r="D5092" t="str">
        <f>HYPERLINK("http://service.sap.com/sap/support/notes/1889917","1889917")</f>
        <v>1889917</v>
      </c>
      <c r="E5092">
        <v>2</v>
      </c>
      <c r="F5092" t="s">
        <v>5182</v>
      </c>
    </row>
    <row r="5093" spans="1:6" x14ac:dyDescent="0.25">
      <c r="A5093" t="s">
        <v>5060</v>
      </c>
      <c r="B5093" t="s">
        <v>201</v>
      </c>
      <c r="C5093" t="s">
        <v>202</v>
      </c>
      <c r="D5093" t="str">
        <f>HYPERLINK("http://service.sap.com/sap/support/notes/1781220","1781220")</f>
        <v>1781220</v>
      </c>
      <c r="E5093">
        <v>1</v>
      </c>
      <c r="F5093" t="s">
        <v>5183</v>
      </c>
    </row>
    <row r="5094" spans="1:6" x14ac:dyDescent="0.25">
      <c r="A5094" t="s">
        <v>5060</v>
      </c>
      <c r="B5094" t="s">
        <v>201</v>
      </c>
      <c r="C5094" t="s">
        <v>202</v>
      </c>
      <c r="D5094" t="str">
        <f>HYPERLINK("http://service.sap.com/sap/support/notes/1889154","1889154")</f>
        <v>1889154</v>
      </c>
      <c r="E5094">
        <v>1</v>
      </c>
      <c r="F5094" t="s">
        <v>5184</v>
      </c>
    </row>
    <row r="5095" spans="1:6" x14ac:dyDescent="0.25">
      <c r="A5095" t="s">
        <v>5060</v>
      </c>
      <c r="B5095" t="s">
        <v>201</v>
      </c>
      <c r="C5095" t="s">
        <v>202</v>
      </c>
      <c r="D5095" t="str">
        <f>HYPERLINK("http://service.sap.com/sap/support/notes/1901614","1901614")</f>
        <v>1901614</v>
      </c>
      <c r="E5095">
        <v>1</v>
      </c>
      <c r="F5095" t="s">
        <v>5185</v>
      </c>
    </row>
    <row r="5096" spans="1:6" x14ac:dyDescent="0.25">
      <c r="A5096" t="s">
        <v>5060</v>
      </c>
      <c r="B5096" t="s">
        <v>201</v>
      </c>
      <c r="C5096" t="s">
        <v>202</v>
      </c>
      <c r="D5096" t="str">
        <f>HYPERLINK("http://service.sap.com/sap/support/notes/1902173","1902173")</f>
        <v>1902173</v>
      </c>
      <c r="E5096">
        <v>1</v>
      </c>
      <c r="F5096" t="s">
        <v>5186</v>
      </c>
    </row>
    <row r="5097" spans="1:6" x14ac:dyDescent="0.25">
      <c r="A5097" t="s">
        <v>5060</v>
      </c>
      <c r="B5097" t="s">
        <v>201</v>
      </c>
      <c r="C5097" t="s">
        <v>202</v>
      </c>
      <c r="D5097" t="str">
        <f>HYPERLINK("http://service.sap.com/sap/support/notes/1902510","1902510")</f>
        <v>1902510</v>
      </c>
      <c r="E5097">
        <v>1</v>
      </c>
      <c r="F5097" t="s">
        <v>5187</v>
      </c>
    </row>
    <row r="5098" spans="1:6" x14ac:dyDescent="0.25">
      <c r="A5098" t="s">
        <v>5060</v>
      </c>
      <c r="B5098" t="s">
        <v>201</v>
      </c>
      <c r="C5098" t="s">
        <v>202</v>
      </c>
      <c r="D5098" t="str">
        <f>HYPERLINK("http://service.sap.com/sap/support/notes/1903697","1903697")</f>
        <v>1903697</v>
      </c>
      <c r="E5098">
        <v>1</v>
      </c>
      <c r="F5098" t="s">
        <v>5188</v>
      </c>
    </row>
    <row r="5099" spans="1:6" x14ac:dyDescent="0.25">
      <c r="A5099" t="s">
        <v>5060</v>
      </c>
      <c r="B5099" t="s">
        <v>211</v>
      </c>
      <c r="C5099" t="s">
        <v>128</v>
      </c>
      <c r="D5099" t="str">
        <f>HYPERLINK("http://service.sap.com/sap/support/notes/1886469","1886469")</f>
        <v>1886469</v>
      </c>
      <c r="E5099">
        <v>1</v>
      </c>
      <c r="F5099" t="s">
        <v>5189</v>
      </c>
    </row>
    <row r="5100" spans="1:6" x14ac:dyDescent="0.25">
      <c r="A5100" t="s">
        <v>5060</v>
      </c>
      <c r="B5100" t="s">
        <v>211</v>
      </c>
      <c r="C5100" t="s">
        <v>128</v>
      </c>
      <c r="D5100" t="str">
        <f>HYPERLINK("http://service.sap.com/sap/support/notes/1889716","1889716")</f>
        <v>1889716</v>
      </c>
      <c r="E5100">
        <v>2</v>
      </c>
      <c r="F5100" t="s">
        <v>5190</v>
      </c>
    </row>
    <row r="5101" spans="1:6" x14ac:dyDescent="0.25">
      <c r="A5101" t="s">
        <v>5060</v>
      </c>
      <c r="B5101" t="s">
        <v>211</v>
      </c>
      <c r="C5101" t="s">
        <v>128</v>
      </c>
      <c r="D5101" t="str">
        <f>HYPERLINK("http://service.sap.com/sap/support/notes/1891260","1891260")</f>
        <v>1891260</v>
      </c>
      <c r="E5101">
        <v>2</v>
      </c>
      <c r="F5101" t="s">
        <v>5191</v>
      </c>
    </row>
    <row r="5102" spans="1:6" x14ac:dyDescent="0.25">
      <c r="A5102" t="s">
        <v>5060</v>
      </c>
      <c r="B5102" t="s">
        <v>211</v>
      </c>
      <c r="C5102" t="s">
        <v>128</v>
      </c>
      <c r="D5102" t="str">
        <f>HYPERLINK("http://service.sap.com/sap/support/notes/1891482","1891482")</f>
        <v>1891482</v>
      </c>
      <c r="E5102">
        <v>1</v>
      </c>
      <c r="F5102" t="s">
        <v>5192</v>
      </c>
    </row>
    <row r="5103" spans="1:6" x14ac:dyDescent="0.25">
      <c r="A5103" t="s">
        <v>5060</v>
      </c>
      <c r="B5103" t="s">
        <v>211</v>
      </c>
      <c r="C5103" t="s">
        <v>128</v>
      </c>
      <c r="D5103" t="str">
        <f>HYPERLINK("http://service.sap.com/sap/support/notes/1894702","1894702")</f>
        <v>1894702</v>
      </c>
      <c r="E5103">
        <v>2</v>
      </c>
      <c r="F5103" t="s">
        <v>5193</v>
      </c>
    </row>
    <row r="5104" spans="1:6" x14ac:dyDescent="0.25">
      <c r="A5104" t="s">
        <v>5060</v>
      </c>
      <c r="B5104" t="s">
        <v>211</v>
      </c>
      <c r="C5104" t="s">
        <v>128</v>
      </c>
      <c r="D5104" t="str">
        <f>HYPERLINK("http://service.sap.com/sap/support/notes/1896355","1896355")</f>
        <v>1896355</v>
      </c>
      <c r="E5104">
        <v>2</v>
      </c>
      <c r="F5104" t="s">
        <v>5194</v>
      </c>
    </row>
    <row r="5105" spans="1:6" x14ac:dyDescent="0.25">
      <c r="A5105" t="s">
        <v>5060</v>
      </c>
      <c r="B5105" t="s">
        <v>211</v>
      </c>
      <c r="C5105" t="s">
        <v>128</v>
      </c>
      <c r="D5105" t="str">
        <f>HYPERLINK("http://service.sap.com/sap/support/notes/1896888","1896888")</f>
        <v>1896888</v>
      </c>
      <c r="E5105">
        <v>1</v>
      </c>
      <c r="F5105" t="s">
        <v>5195</v>
      </c>
    </row>
    <row r="5106" spans="1:6" x14ac:dyDescent="0.25">
      <c r="A5106" t="s">
        <v>5060</v>
      </c>
      <c r="B5106" t="s">
        <v>221</v>
      </c>
      <c r="C5106" t="s">
        <v>222</v>
      </c>
      <c r="D5106" t="str">
        <f>HYPERLINK("http://service.sap.com/sap/support/notes/1857941","1857941")</f>
        <v>1857941</v>
      </c>
      <c r="E5106">
        <v>1</v>
      </c>
      <c r="F5106" t="s">
        <v>5196</v>
      </c>
    </row>
    <row r="5107" spans="1:6" x14ac:dyDescent="0.25">
      <c r="A5107" t="s">
        <v>5060</v>
      </c>
      <c r="B5107" t="s">
        <v>221</v>
      </c>
      <c r="C5107" t="s">
        <v>222</v>
      </c>
      <c r="D5107" t="str">
        <f>HYPERLINK("http://service.sap.com/sap/support/notes/1882767","1882767")</f>
        <v>1882767</v>
      </c>
      <c r="E5107">
        <v>3</v>
      </c>
      <c r="F5107" t="s">
        <v>5197</v>
      </c>
    </row>
    <row r="5108" spans="1:6" x14ac:dyDescent="0.25">
      <c r="A5108" t="s">
        <v>5060</v>
      </c>
      <c r="B5108" t="s">
        <v>221</v>
      </c>
      <c r="C5108" t="s">
        <v>222</v>
      </c>
      <c r="D5108" t="str">
        <f>HYPERLINK("http://service.sap.com/sap/support/notes/1885021","1885021")</f>
        <v>1885021</v>
      </c>
      <c r="E5108">
        <v>1</v>
      </c>
      <c r="F5108" t="s">
        <v>5198</v>
      </c>
    </row>
    <row r="5109" spans="1:6" x14ac:dyDescent="0.25">
      <c r="A5109" t="s">
        <v>5060</v>
      </c>
      <c r="B5109" t="s">
        <v>221</v>
      </c>
      <c r="C5109" t="s">
        <v>222</v>
      </c>
      <c r="D5109" t="str">
        <f>HYPERLINK("http://service.sap.com/sap/support/notes/1895731","1895731")</f>
        <v>1895731</v>
      </c>
      <c r="E5109">
        <v>1</v>
      </c>
      <c r="F5109" t="s">
        <v>5199</v>
      </c>
    </row>
    <row r="5110" spans="1:6" x14ac:dyDescent="0.25">
      <c r="A5110" t="s">
        <v>5060</v>
      </c>
      <c r="B5110" t="s">
        <v>221</v>
      </c>
      <c r="C5110" t="s">
        <v>222</v>
      </c>
      <c r="D5110" t="str">
        <f>HYPERLINK("http://service.sap.com/sap/support/notes/1896562","1896562")</f>
        <v>1896562</v>
      </c>
      <c r="E5110">
        <v>1</v>
      </c>
      <c r="F5110" t="s">
        <v>5200</v>
      </c>
    </row>
    <row r="5111" spans="1:6" x14ac:dyDescent="0.25">
      <c r="A5111" t="s">
        <v>5060</v>
      </c>
      <c r="B5111" t="s">
        <v>221</v>
      </c>
      <c r="C5111" t="s">
        <v>222</v>
      </c>
      <c r="D5111" t="str">
        <f>HYPERLINK("http://service.sap.com/sap/support/notes/1903816","1903816")</f>
        <v>1903816</v>
      </c>
      <c r="E5111">
        <v>1</v>
      </c>
      <c r="F5111" t="s">
        <v>5201</v>
      </c>
    </row>
    <row r="5112" spans="1:6" x14ac:dyDescent="0.25">
      <c r="A5112" t="s">
        <v>5060</v>
      </c>
      <c r="B5112" t="s">
        <v>586</v>
      </c>
      <c r="C5112" t="s">
        <v>587</v>
      </c>
      <c r="D5112" t="str">
        <f>HYPERLINK("http://service.sap.com/sap/support/notes/1777463","1777463")</f>
        <v>1777463</v>
      </c>
      <c r="E5112">
        <v>1</v>
      </c>
      <c r="F5112" t="s">
        <v>5202</v>
      </c>
    </row>
    <row r="5113" spans="1:6" x14ac:dyDescent="0.25">
      <c r="A5113" t="s">
        <v>5060</v>
      </c>
      <c r="B5113" t="s">
        <v>586</v>
      </c>
      <c r="C5113" t="s">
        <v>587</v>
      </c>
      <c r="D5113" t="str">
        <f>HYPERLINK("http://service.sap.com/sap/support/notes/1895829","1895829")</f>
        <v>1895829</v>
      </c>
      <c r="E5113">
        <v>1</v>
      </c>
      <c r="F5113" t="s">
        <v>5203</v>
      </c>
    </row>
    <row r="5114" spans="1:6" x14ac:dyDescent="0.25">
      <c r="A5114" t="s">
        <v>5060</v>
      </c>
      <c r="B5114" t="s">
        <v>586</v>
      </c>
      <c r="C5114" t="s">
        <v>587</v>
      </c>
      <c r="D5114" t="str">
        <f>HYPERLINK("http://service.sap.com/sap/support/notes/1900400","1900400")</f>
        <v>1900400</v>
      </c>
      <c r="E5114">
        <v>1</v>
      </c>
      <c r="F5114" t="s">
        <v>5204</v>
      </c>
    </row>
    <row r="5115" spans="1:6" x14ac:dyDescent="0.25">
      <c r="A5115" t="s">
        <v>5060</v>
      </c>
      <c r="B5115" t="s">
        <v>586</v>
      </c>
      <c r="C5115" t="s">
        <v>587</v>
      </c>
      <c r="D5115" t="str">
        <f>HYPERLINK("http://service.sap.com/sap/support/notes/1900851","1900851")</f>
        <v>1900851</v>
      </c>
      <c r="E5115">
        <v>1</v>
      </c>
      <c r="F5115" t="s">
        <v>5205</v>
      </c>
    </row>
    <row r="5116" spans="1:6" x14ac:dyDescent="0.25">
      <c r="A5116" t="s">
        <v>5060</v>
      </c>
      <c r="B5116" t="s">
        <v>224</v>
      </c>
      <c r="C5116" t="s">
        <v>156</v>
      </c>
    </row>
    <row r="5117" spans="1:6" x14ac:dyDescent="0.25">
      <c r="A5117" t="s">
        <v>5060</v>
      </c>
      <c r="B5117" t="s">
        <v>225</v>
      </c>
      <c r="C5117" t="s">
        <v>226</v>
      </c>
      <c r="D5117" t="str">
        <f>HYPERLINK("http://service.sap.com/sap/support/notes/1891546","1891546")</f>
        <v>1891546</v>
      </c>
      <c r="E5117">
        <v>2</v>
      </c>
      <c r="F5117" t="s">
        <v>5206</v>
      </c>
    </row>
    <row r="5118" spans="1:6" x14ac:dyDescent="0.25">
      <c r="A5118" t="s">
        <v>5060</v>
      </c>
      <c r="B5118" t="s">
        <v>225</v>
      </c>
      <c r="C5118" t="s">
        <v>226</v>
      </c>
      <c r="D5118" t="str">
        <f>HYPERLINK("http://service.sap.com/sap/support/notes/1893378","1893378")</f>
        <v>1893378</v>
      </c>
      <c r="E5118">
        <v>2</v>
      </c>
      <c r="F5118" t="s">
        <v>5207</v>
      </c>
    </row>
    <row r="5119" spans="1:6" x14ac:dyDescent="0.25">
      <c r="A5119" t="s">
        <v>5060</v>
      </c>
      <c r="B5119" t="s">
        <v>225</v>
      </c>
      <c r="C5119" t="s">
        <v>226</v>
      </c>
      <c r="D5119" t="str">
        <f>HYPERLINK("http://service.sap.com/sap/support/notes/1895711","1895711")</f>
        <v>1895711</v>
      </c>
      <c r="E5119">
        <v>3</v>
      </c>
      <c r="F5119" t="s">
        <v>5208</v>
      </c>
    </row>
    <row r="5120" spans="1:6" x14ac:dyDescent="0.25">
      <c r="A5120" t="s">
        <v>5060</v>
      </c>
      <c r="B5120" t="s">
        <v>589</v>
      </c>
      <c r="C5120" t="s">
        <v>590</v>
      </c>
      <c r="D5120" t="str">
        <f>HYPERLINK("http://service.sap.com/sap/support/notes/1886083","1886083")</f>
        <v>1886083</v>
      </c>
      <c r="E5120">
        <v>3</v>
      </c>
      <c r="F5120" t="s">
        <v>5209</v>
      </c>
    </row>
    <row r="5121" spans="1:6" x14ac:dyDescent="0.25">
      <c r="A5121" t="s">
        <v>5060</v>
      </c>
      <c r="B5121" t="s">
        <v>229</v>
      </c>
      <c r="C5121" t="s">
        <v>230</v>
      </c>
      <c r="D5121" t="str">
        <f>HYPERLINK("http://service.sap.com/sap/support/notes/1866170","1866170")</f>
        <v>1866170</v>
      </c>
      <c r="E5121">
        <v>4</v>
      </c>
      <c r="F5121" t="s">
        <v>5210</v>
      </c>
    </row>
    <row r="5122" spans="1:6" x14ac:dyDescent="0.25">
      <c r="A5122" t="s">
        <v>5060</v>
      </c>
      <c r="B5122" t="s">
        <v>229</v>
      </c>
      <c r="C5122" t="s">
        <v>230</v>
      </c>
      <c r="D5122" t="str">
        <f>HYPERLINK("http://service.sap.com/sap/support/notes/1877141","1877141")</f>
        <v>1877141</v>
      </c>
      <c r="E5122">
        <v>2</v>
      </c>
      <c r="F5122" t="s">
        <v>5211</v>
      </c>
    </row>
    <row r="5123" spans="1:6" x14ac:dyDescent="0.25">
      <c r="A5123" t="s">
        <v>5060</v>
      </c>
      <c r="B5123" t="s">
        <v>229</v>
      </c>
      <c r="C5123" t="s">
        <v>230</v>
      </c>
      <c r="D5123" t="str">
        <f>HYPERLINK("http://service.sap.com/sap/support/notes/1878642","1878642")</f>
        <v>1878642</v>
      </c>
      <c r="E5123">
        <v>2</v>
      </c>
      <c r="F5123" t="s">
        <v>5212</v>
      </c>
    </row>
    <row r="5124" spans="1:6" x14ac:dyDescent="0.25">
      <c r="A5124" t="s">
        <v>5060</v>
      </c>
      <c r="B5124" t="s">
        <v>229</v>
      </c>
      <c r="C5124" t="s">
        <v>230</v>
      </c>
      <c r="D5124" t="str">
        <f>HYPERLINK("http://service.sap.com/sap/support/notes/1884303","1884303")</f>
        <v>1884303</v>
      </c>
      <c r="E5124">
        <v>4</v>
      </c>
      <c r="F5124" t="s">
        <v>5213</v>
      </c>
    </row>
    <row r="5125" spans="1:6" x14ac:dyDescent="0.25">
      <c r="A5125" t="s">
        <v>5060</v>
      </c>
      <c r="B5125" t="s">
        <v>229</v>
      </c>
      <c r="C5125" t="s">
        <v>230</v>
      </c>
      <c r="D5125" t="str">
        <f>HYPERLINK("http://service.sap.com/sap/support/notes/1886632","1886632")</f>
        <v>1886632</v>
      </c>
      <c r="E5125">
        <v>3</v>
      </c>
      <c r="F5125" t="s">
        <v>5214</v>
      </c>
    </row>
    <row r="5126" spans="1:6" x14ac:dyDescent="0.25">
      <c r="A5126" t="s">
        <v>5060</v>
      </c>
      <c r="B5126" t="s">
        <v>229</v>
      </c>
      <c r="C5126" t="s">
        <v>230</v>
      </c>
      <c r="D5126" t="str">
        <f>HYPERLINK("http://service.sap.com/sap/support/notes/1886677","1886677")</f>
        <v>1886677</v>
      </c>
      <c r="E5126">
        <v>2</v>
      </c>
      <c r="F5126" t="s">
        <v>5215</v>
      </c>
    </row>
    <row r="5127" spans="1:6" x14ac:dyDescent="0.25">
      <c r="A5127" t="s">
        <v>5060</v>
      </c>
      <c r="B5127" t="s">
        <v>229</v>
      </c>
      <c r="C5127" t="s">
        <v>230</v>
      </c>
      <c r="D5127" t="str">
        <f>HYPERLINK("http://service.sap.com/sap/support/notes/1887339","1887339")</f>
        <v>1887339</v>
      </c>
      <c r="E5127">
        <v>2</v>
      </c>
      <c r="F5127" t="s">
        <v>5216</v>
      </c>
    </row>
    <row r="5128" spans="1:6" x14ac:dyDescent="0.25">
      <c r="A5128" t="s">
        <v>5060</v>
      </c>
      <c r="B5128" t="s">
        <v>229</v>
      </c>
      <c r="C5128" t="s">
        <v>230</v>
      </c>
      <c r="D5128" t="str">
        <f>HYPERLINK("http://service.sap.com/sap/support/notes/1888613","1888613")</f>
        <v>1888613</v>
      </c>
      <c r="E5128">
        <v>8</v>
      </c>
      <c r="F5128" t="s">
        <v>5217</v>
      </c>
    </row>
    <row r="5129" spans="1:6" x14ac:dyDescent="0.25">
      <c r="A5129" t="s">
        <v>5060</v>
      </c>
      <c r="B5129" t="s">
        <v>229</v>
      </c>
      <c r="C5129" t="s">
        <v>230</v>
      </c>
      <c r="D5129" t="str">
        <f>HYPERLINK("http://service.sap.com/sap/support/notes/1891709","1891709")</f>
        <v>1891709</v>
      </c>
      <c r="E5129">
        <v>2</v>
      </c>
      <c r="F5129" t="s">
        <v>5218</v>
      </c>
    </row>
    <row r="5130" spans="1:6" x14ac:dyDescent="0.25">
      <c r="A5130" t="s">
        <v>5060</v>
      </c>
      <c r="B5130" t="s">
        <v>229</v>
      </c>
      <c r="C5130" t="s">
        <v>230</v>
      </c>
      <c r="D5130" t="str">
        <f>HYPERLINK("http://service.sap.com/sap/support/notes/1894105","1894105")</f>
        <v>1894105</v>
      </c>
      <c r="E5130">
        <v>2</v>
      </c>
      <c r="F5130" t="s">
        <v>5219</v>
      </c>
    </row>
    <row r="5131" spans="1:6" x14ac:dyDescent="0.25">
      <c r="A5131" t="s">
        <v>5060</v>
      </c>
      <c r="B5131" t="s">
        <v>229</v>
      </c>
      <c r="C5131" t="s">
        <v>230</v>
      </c>
      <c r="D5131" t="str">
        <f>HYPERLINK("http://service.sap.com/sap/support/notes/1895930","1895930")</f>
        <v>1895930</v>
      </c>
      <c r="E5131">
        <v>3</v>
      </c>
      <c r="F5131" t="s">
        <v>5220</v>
      </c>
    </row>
    <row r="5132" spans="1:6" x14ac:dyDescent="0.25">
      <c r="A5132" t="s">
        <v>5060</v>
      </c>
      <c r="B5132" t="s">
        <v>229</v>
      </c>
      <c r="C5132" t="s">
        <v>230</v>
      </c>
      <c r="D5132" t="str">
        <f>HYPERLINK("http://service.sap.com/sap/support/notes/1896487","1896487")</f>
        <v>1896487</v>
      </c>
      <c r="E5132">
        <v>3</v>
      </c>
      <c r="F5132" t="s">
        <v>5221</v>
      </c>
    </row>
    <row r="5133" spans="1:6" x14ac:dyDescent="0.25">
      <c r="A5133" t="s">
        <v>5060</v>
      </c>
      <c r="B5133" t="s">
        <v>229</v>
      </c>
      <c r="C5133" t="s">
        <v>230</v>
      </c>
      <c r="D5133" t="str">
        <f>HYPERLINK("http://service.sap.com/sap/support/notes/1897106","1897106")</f>
        <v>1897106</v>
      </c>
      <c r="E5133">
        <v>3</v>
      </c>
      <c r="F5133" t="s">
        <v>5222</v>
      </c>
    </row>
    <row r="5134" spans="1:6" x14ac:dyDescent="0.25">
      <c r="A5134" t="s">
        <v>5060</v>
      </c>
      <c r="B5134" t="s">
        <v>229</v>
      </c>
      <c r="C5134" t="s">
        <v>230</v>
      </c>
      <c r="D5134" t="str">
        <f>HYPERLINK("http://service.sap.com/sap/support/notes/1897673","1897673")</f>
        <v>1897673</v>
      </c>
      <c r="E5134">
        <v>4</v>
      </c>
      <c r="F5134" t="s">
        <v>5223</v>
      </c>
    </row>
    <row r="5135" spans="1:6" x14ac:dyDescent="0.25">
      <c r="A5135" t="s">
        <v>5060</v>
      </c>
      <c r="B5135" t="s">
        <v>229</v>
      </c>
      <c r="C5135" t="s">
        <v>230</v>
      </c>
      <c r="D5135" t="str">
        <f>HYPERLINK("http://service.sap.com/sap/support/notes/1898664","1898664")</f>
        <v>1898664</v>
      </c>
      <c r="E5135">
        <v>1</v>
      </c>
      <c r="F5135" t="s">
        <v>5224</v>
      </c>
    </row>
    <row r="5136" spans="1:6" x14ac:dyDescent="0.25">
      <c r="A5136" t="s">
        <v>5060</v>
      </c>
      <c r="B5136" t="s">
        <v>229</v>
      </c>
      <c r="C5136" t="s">
        <v>230</v>
      </c>
      <c r="D5136" t="str">
        <f>HYPERLINK("http://service.sap.com/sap/support/notes/1902940","1902940")</f>
        <v>1902940</v>
      </c>
      <c r="E5136">
        <v>1</v>
      </c>
      <c r="F5136" t="s">
        <v>5225</v>
      </c>
    </row>
    <row r="5137" spans="1:6" x14ac:dyDescent="0.25">
      <c r="A5137" t="s">
        <v>5060</v>
      </c>
      <c r="B5137" t="s">
        <v>229</v>
      </c>
      <c r="C5137" t="s">
        <v>230</v>
      </c>
      <c r="D5137" t="str">
        <f>HYPERLINK("http://service.sap.com/sap/support/notes/1903123","1903123")</f>
        <v>1903123</v>
      </c>
      <c r="E5137">
        <v>1</v>
      </c>
      <c r="F5137" t="s">
        <v>5226</v>
      </c>
    </row>
    <row r="5138" spans="1:6" x14ac:dyDescent="0.25">
      <c r="A5138" t="s">
        <v>5060</v>
      </c>
      <c r="B5138" t="s">
        <v>229</v>
      </c>
      <c r="C5138" t="s">
        <v>230</v>
      </c>
      <c r="D5138" t="str">
        <f>HYPERLINK("http://service.sap.com/sap/support/notes/1903664","1903664")</f>
        <v>1903664</v>
      </c>
      <c r="E5138">
        <v>1</v>
      </c>
      <c r="F5138" t="s">
        <v>5227</v>
      </c>
    </row>
    <row r="5139" spans="1:6" x14ac:dyDescent="0.25">
      <c r="A5139" t="s">
        <v>5060</v>
      </c>
      <c r="B5139" t="s">
        <v>263</v>
      </c>
      <c r="C5139" t="s">
        <v>41</v>
      </c>
      <c r="D5139" t="str">
        <f>HYPERLINK("http://service.sap.com/sap/support/notes/1884352","1884352")</f>
        <v>1884352</v>
      </c>
      <c r="E5139">
        <v>3</v>
      </c>
      <c r="F5139" t="s">
        <v>5228</v>
      </c>
    </row>
    <row r="5140" spans="1:6" x14ac:dyDescent="0.25">
      <c r="A5140" t="s">
        <v>5060</v>
      </c>
      <c r="B5140" t="s">
        <v>263</v>
      </c>
      <c r="C5140" t="s">
        <v>41</v>
      </c>
      <c r="D5140" t="str">
        <f>HYPERLINK("http://service.sap.com/sap/support/notes/1886116","1886116")</f>
        <v>1886116</v>
      </c>
      <c r="E5140">
        <v>4</v>
      </c>
      <c r="F5140" t="s">
        <v>5229</v>
      </c>
    </row>
    <row r="5141" spans="1:6" x14ac:dyDescent="0.25">
      <c r="A5141" t="s">
        <v>5060</v>
      </c>
      <c r="B5141" t="s">
        <v>263</v>
      </c>
      <c r="C5141" t="s">
        <v>41</v>
      </c>
      <c r="D5141" t="str">
        <f>HYPERLINK("http://service.sap.com/sap/support/notes/1886627","1886627")</f>
        <v>1886627</v>
      </c>
      <c r="E5141">
        <v>2</v>
      </c>
      <c r="F5141" t="s">
        <v>5230</v>
      </c>
    </row>
    <row r="5142" spans="1:6" x14ac:dyDescent="0.25">
      <c r="A5142" t="s">
        <v>5060</v>
      </c>
      <c r="B5142" t="s">
        <v>263</v>
      </c>
      <c r="C5142" t="s">
        <v>41</v>
      </c>
      <c r="D5142" t="str">
        <f>HYPERLINK("http://service.sap.com/sap/support/notes/1888926","1888926")</f>
        <v>1888926</v>
      </c>
      <c r="E5142">
        <v>2</v>
      </c>
      <c r="F5142" t="s">
        <v>5231</v>
      </c>
    </row>
    <row r="5143" spans="1:6" x14ac:dyDescent="0.25">
      <c r="A5143" t="s">
        <v>5060</v>
      </c>
      <c r="B5143" t="s">
        <v>263</v>
      </c>
      <c r="C5143" t="s">
        <v>41</v>
      </c>
      <c r="D5143" t="str">
        <f>HYPERLINK("http://service.sap.com/sap/support/notes/1890769","1890769")</f>
        <v>1890769</v>
      </c>
      <c r="E5143">
        <v>10</v>
      </c>
      <c r="F5143" t="s">
        <v>5232</v>
      </c>
    </row>
    <row r="5144" spans="1:6" x14ac:dyDescent="0.25">
      <c r="A5144" t="s">
        <v>5060</v>
      </c>
      <c r="B5144" t="s">
        <v>263</v>
      </c>
      <c r="C5144" t="s">
        <v>41</v>
      </c>
      <c r="D5144" t="str">
        <f>HYPERLINK("http://service.sap.com/sap/support/notes/1894829","1894829")</f>
        <v>1894829</v>
      </c>
      <c r="E5144">
        <v>2</v>
      </c>
      <c r="F5144" t="s">
        <v>5233</v>
      </c>
    </row>
    <row r="5145" spans="1:6" x14ac:dyDescent="0.25">
      <c r="A5145" t="s">
        <v>5060</v>
      </c>
      <c r="B5145" t="s">
        <v>263</v>
      </c>
      <c r="C5145" t="s">
        <v>41</v>
      </c>
      <c r="D5145" t="str">
        <f>HYPERLINK("http://service.sap.com/sap/support/notes/1896982","1896982")</f>
        <v>1896982</v>
      </c>
      <c r="E5145">
        <v>1</v>
      </c>
      <c r="F5145" t="s">
        <v>5234</v>
      </c>
    </row>
    <row r="5146" spans="1:6" x14ac:dyDescent="0.25">
      <c r="A5146" t="s">
        <v>5060</v>
      </c>
      <c r="B5146" t="s">
        <v>263</v>
      </c>
      <c r="C5146" t="s">
        <v>41</v>
      </c>
      <c r="D5146" t="str">
        <f>HYPERLINK("http://service.sap.com/sap/support/notes/1897848","1897848")</f>
        <v>1897848</v>
      </c>
      <c r="E5146">
        <v>1</v>
      </c>
      <c r="F5146" t="s">
        <v>5235</v>
      </c>
    </row>
    <row r="5147" spans="1:6" x14ac:dyDescent="0.25">
      <c r="A5147" t="s">
        <v>5060</v>
      </c>
      <c r="B5147" t="s">
        <v>263</v>
      </c>
      <c r="C5147" t="s">
        <v>41</v>
      </c>
      <c r="D5147" t="str">
        <f>HYPERLINK("http://service.sap.com/sap/support/notes/1897871","1897871")</f>
        <v>1897871</v>
      </c>
      <c r="E5147">
        <v>1</v>
      </c>
      <c r="F5147" t="s">
        <v>5236</v>
      </c>
    </row>
    <row r="5148" spans="1:6" x14ac:dyDescent="0.25">
      <c r="A5148" t="s">
        <v>5060</v>
      </c>
      <c r="B5148" t="s">
        <v>263</v>
      </c>
      <c r="C5148" t="s">
        <v>41</v>
      </c>
      <c r="D5148" t="str">
        <f>HYPERLINK("http://service.sap.com/sap/support/notes/1898193","1898193")</f>
        <v>1898193</v>
      </c>
      <c r="E5148">
        <v>3</v>
      </c>
      <c r="F5148" t="s">
        <v>5237</v>
      </c>
    </row>
    <row r="5149" spans="1:6" x14ac:dyDescent="0.25">
      <c r="A5149" t="s">
        <v>5060</v>
      </c>
      <c r="B5149" t="s">
        <v>263</v>
      </c>
      <c r="C5149" t="s">
        <v>41</v>
      </c>
      <c r="D5149" t="str">
        <f>HYPERLINK("http://service.sap.com/sap/support/notes/1898431","1898431")</f>
        <v>1898431</v>
      </c>
      <c r="E5149">
        <v>3</v>
      </c>
      <c r="F5149" t="s">
        <v>5238</v>
      </c>
    </row>
    <row r="5150" spans="1:6" x14ac:dyDescent="0.25">
      <c r="A5150" t="s">
        <v>5060</v>
      </c>
      <c r="B5150" t="s">
        <v>263</v>
      </c>
      <c r="C5150" t="s">
        <v>41</v>
      </c>
      <c r="D5150" t="str">
        <f>HYPERLINK("http://service.sap.com/sap/support/notes/1898593","1898593")</f>
        <v>1898593</v>
      </c>
      <c r="E5150">
        <v>1</v>
      </c>
      <c r="F5150" t="s">
        <v>5239</v>
      </c>
    </row>
    <row r="5151" spans="1:6" x14ac:dyDescent="0.25">
      <c r="A5151" t="s">
        <v>5060</v>
      </c>
      <c r="B5151" t="s">
        <v>263</v>
      </c>
      <c r="C5151" t="s">
        <v>41</v>
      </c>
      <c r="D5151" t="str">
        <f>HYPERLINK("http://service.sap.com/sap/support/notes/1899057","1899057")</f>
        <v>1899057</v>
      </c>
      <c r="E5151">
        <v>2</v>
      </c>
      <c r="F5151" t="s">
        <v>5240</v>
      </c>
    </row>
    <row r="5152" spans="1:6" x14ac:dyDescent="0.25">
      <c r="A5152" t="s">
        <v>5060</v>
      </c>
      <c r="B5152" t="s">
        <v>263</v>
      </c>
      <c r="C5152" t="s">
        <v>41</v>
      </c>
      <c r="D5152" t="str">
        <f>HYPERLINK("http://service.sap.com/sap/support/notes/1899887","1899887")</f>
        <v>1899887</v>
      </c>
      <c r="E5152">
        <v>2</v>
      </c>
      <c r="F5152" t="s">
        <v>5241</v>
      </c>
    </row>
    <row r="5153" spans="1:6" x14ac:dyDescent="0.25">
      <c r="A5153" t="s">
        <v>5060</v>
      </c>
      <c r="B5153" t="s">
        <v>263</v>
      </c>
      <c r="C5153" t="s">
        <v>41</v>
      </c>
      <c r="D5153" t="str">
        <f>HYPERLINK("http://service.sap.com/sap/support/notes/1900372","1900372")</f>
        <v>1900372</v>
      </c>
      <c r="E5153">
        <v>2</v>
      </c>
      <c r="F5153" t="s">
        <v>5242</v>
      </c>
    </row>
    <row r="5154" spans="1:6" x14ac:dyDescent="0.25">
      <c r="A5154" t="s">
        <v>5060</v>
      </c>
      <c r="B5154" t="s">
        <v>263</v>
      </c>
      <c r="C5154" t="s">
        <v>41</v>
      </c>
      <c r="D5154" t="str">
        <f>HYPERLINK("http://service.sap.com/sap/support/notes/1903366","1903366")</f>
        <v>1903366</v>
      </c>
      <c r="E5154">
        <v>1</v>
      </c>
      <c r="F5154" t="s">
        <v>5243</v>
      </c>
    </row>
    <row r="5155" spans="1:6" x14ac:dyDescent="0.25">
      <c r="A5155" t="s">
        <v>5060</v>
      </c>
      <c r="B5155" t="s">
        <v>286</v>
      </c>
      <c r="C5155" t="s">
        <v>287</v>
      </c>
      <c r="D5155" t="str">
        <f>HYPERLINK("http://service.sap.com/sap/support/notes/1887552","1887552")</f>
        <v>1887552</v>
      </c>
      <c r="E5155">
        <v>1</v>
      </c>
      <c r="F5155" t="s">
        <v>5244</v>
      </c>
    </row>
    <row r="5156" spans="1:6" x14ac:dyDescent="0.25">
      <c r="A5156" t="s">
        <v>5060</v>
      </c>
      <c r="B5156" t="s">
        <v>286</v>
      </c>
      <c r="C5156" t="s">
        <v>287</v>
      </c>
      <c r="D5156" t="str">
        <f>HYPERLINK("http://service.sap.com/sap/support/notes/1887921","1887921")</f>
        <v>1887921</v>
      </c>
      <c r="E5156">
        <v>2</v>
      </c>
      <c r="F5156" t="s">
        <v>5245</v>
      </c>
    </row>
    <row r="5157" spans="1:6" x14ac:dyDescent="0.25">
      <c r="A5157" t="s">
        <v>5060</v>
      </c>
      <c r="B5157" t="s">
        <v>286</v>
      </c>
      <c r="C5157" t="s">
        <v>287</v>
      </c>
      <c r="D5157" t="str">
        <f>HYPERLINK("http://service.sap.com/sap/support/notes/1892312","1892312")</f>
        <v>1892312</v>
      </c>
      <c r="E5157">
        <v>1</v>
      </c>
      <c r="F5157" t="s">
        <v>5246</v>
      </c>
    </row>
    <row r="5158" spans="1:6" x14ac:dyDescent="0.25">
      <c r="A5158" t="s">
        <v>5060</v>
      </c>
      <c r="B5158" t="s">
        <v>286</v>
      </c>
      <c r="C5158" t="s">
        <v>287</v>
      </c>
      <c r="D5158" t="str">
        <f>HYPERLINK("http://service.sap.com/sap/support/notes/1892753","1892753")</f>
        <v>1892753</v>
      </c>
      <c r="E5158">
        <v>3</v>
      </c>
      <c r="F5158" t="s">
        <v>5247</v>
      </c>
    </row>
    <row r="5159" spans="1:6" x14ac:dyDescent="0.25">
      <c r="A5159" t="s">
        <v>5060</v>
      </c>
      <c r="B5159" t="s">
        <v>286</v>
      </c>
      <c r="C5159" t="s">
        <v>287</v>
      </c>
      <c r="D5159" t="str">
        <f>HYPERLINK("http://service.sap.com/sap/support/notes/1893177","1893177")</f>
        <v>1893177</v>
      </c>
      <c r="E5159">
        <v>1</v>
      </c>
      <c r="F5159" t="s">
        <v>5248</v>
      </c>
    </row>
    <row r="5160" spans="1:6" x14ac:dyDescent="0.25">
      <c r="A5160" t="s">
        <v>5060</v>
      </c>
      <c r="B5160" t="s">
        <v>286</v>
      </c>
      <c r="C5160" t="s">
        <v>287</v>
      </c>
      <c r="D5160" t="str">
        <f>HYPERLINK("http://service.sap.com/sap/support/notes/1893630","1893630")</f>
        <v>1893630</v>
      </c>
      <c r="E5160">
        <v>1</v>
      </c>
      <c r="F5160" t="s">
        <v>5249</v>
      </c>
    </row>
    <row r="5161" spans="1:6" x14ac:dyDescent="0.25">
      <c r="A5161" t="s">
        <v>5060</v>
      </c>
      <c r="B5161" t="s">
        <v>286</v>
      </c>
      <c r="C5161" t="s">
        <v>287</v>
      </c>
      <c r="D5161" t="str">
        <f>HYPERLINK("http://service.sap.com/sap/support/notes/1894634","1894634")</f>
        <v>1894634</v>
      </c>
      <c r="E5161">
        <v>1</v>
      </c>
      <c r="F5161" t="s">
        <v>5250</v>
      </c>
    </row>
    <row r="5162" spans="1:6" x14ac:dyDescent="0.25">
      <c r="A5162" t="s">
        <v>5060</v>
      </c>
      <c r="B5162" t="s">
        <v>286</v>
      </c>
      <c r="C5162" t="s">
        <v>287</v>
      </c>
      <c r="D5162" t="str">
        <f>HYPERLINK("http://service.sap.com/sap/support/notes/1894716","1894716")</f>
        <v>1894716</v>
      </c>
      <c r="E5162">
        <v>1</v>
      </c>
      <c r="F5162" t="s">
        <v>5251</v>
      </c>
    </row>
    <row r="5163" spans="1:6" x14ac:dyDescent="0.25">
      <c r="A5163" t="s">
        <v>5060</v>
      </c>
      <c r="B5163" t="s">
        <v>286</v>
      </c>
      <c r="C5163" t="s">
        <v>287</v>
      </c>
      <c r="D5163" t="str">
        <f>HYPERLINK("http://service.sap.com/sap/support/notes/1898091","1898091")</f>
        <v>1898091</v>
      </c>
      <c r="E5163">
        <v>1</v>
      </c>
      <c r="F5163" t="s">
        <v>5252</v>
      </c>
    </row>
    <row r="5164" spans="1:6" x14ac:dyDescent="0.25">
      <c r="A5164" t="s">
        <v>5060</v>
      </c>
      <c r="B5164" t="s">
        <v>286</v>
      </c>
      <c r="C5164" t="s">
        <v>287</v>
      </c>
      <c r="D5164" t="str">
        <f>HYPERLINK("http://service.sap.com/sap/support/notes/1898838","1898838")</f>
        <v>1898838</v>
      </c>
      <c r="E5164">
        <v>2</v>
      </c>
      <c r="F5164" t="s">
        <v>5253</v>
      </c>
    </row>
    <row r="5165" spans="1:6" x14ac:dyDescent="0.25">
      <c r="A5165" t="s">
        <v>5060</v>
      </c>
      <c r="B5165" t="s">
        <v>299</v>
      </c>
      <c r="C5165" t="s">
        <v>128</v>
      </c>
      <c r="D5165" t="str">
        <f>HYPERLINK("http://service.sap.com/sap/support/notes/1892336","1892336")</f>
        <v>1892336</v>
      </c>
      <c r="E5165">
        <v>1</v>
      </c>
      <c r="F5165" t="s">
        <v>5254</v>
      </c>
    </row>
    <row r="5166" spans="1:6" x14ac:dyDescent="0.25">
      <c r="A5166" t="s">
        <v>5060</v>
      </c>
      <c r="B5166" t="s">
        <v>299</v>
      </c>
      <c r="C5166" t="s">
        <v>128</v>
      </c>
      <c r="D5166" t="str">
        <f>HYPERLINK("http://service.sap.com/sap/support/notes/1894669","1894669")</f>
        <v>1894669</v>
      </c>
      <c r="E5166">
        <v>2</v>
      </c>
      <c r="F5166" t="s">
        <v>5255</v>
      </c>
    </row>
    <row r="5167" spans="1:6" x14ac:dyDescent="0.25">
      <c r="A5167" t="s">
        <v>5060</v>
      </c>
      <c r="B5167" t="s">
        <v>299</v>
      </c>
      <c r="C5167" t="s">
        <v>128</v>
      </c>
      <c r="D5167" t="str">
        <f>HYPERLINK("http://service.sap.com/sap/support/notes/1895455","1895455")</f>
        <v>1895455</v>
      </c>
      <c r="E5167">
        <v>1</v>
      </c>
      <c r="F5167" t="s">
        <v>5256</v>
      </c>
    </row>
    <row r="5168" spans="1:6" x14ac:dyDescent="0.25">
      <c r="A5168" t="s">
        <v>5060</v>
      </c>
      <c r="B5168" t="s">
        <v>306</v>
      </c>
      <c r="C5168" t="s">
        <v>307</v>
      </c>
      <c r="D5168" t="str">
        <f>HYPERLINK("http://service.sap.com/sap/support/notes/1889898","1889898")</f>
        <v>1889898</v>
      </c>
      <c r="E5168">
        <v>1</v>
      </c>
      <c r="F5168" t="s">
        <v>5257</v>
      </c>
    </row>
    <row r="5169" spans="1:6" x14ac:dyDescent="0.25">
      <c r="A5169" t="s">
        <v>5060</v>
      </c>
      <c r="B5169" t="s">
        <v>306</v>
      </c>
      <c r="C5169" t="s">
        <v>307</v>
      </c>
      <c r="D5169" t="str">
        <f>HYPERLINK("http://service.sap.com/sap/support/notes/1891127","1891127")</f>
        <v>1891127</v>
      </c>
      <c r="E5169">
        <v>4</v>
      </c>
      <c r="F5169" t="s">
        <v>5258</v>
      </c>
    </row>
    <row r="5170" spans="1:6" x14ac:dyDescent="0.25">
      <c r="A5170" t="s">
        <v>5060</v>
      </c>
      <c r="B5170" t="s">
        <v>306</v>
      </c>
      <c r="C5170" t="s">
        <v>307</v>
      </c>
      <c r="D5170" t="str">
        <f>HYPERLINK("http://service.sap.com/sap/support/notes/1900113","1900113")</f>
        <v>1900113</v>
      </c>
      <c r="E5170">
        <v>1</v>
      </c>
      <c r="F5170" t="s">
        <v>5259</v>
      </c>
    </row>
    <row r="5171" spans="1:6" x14ac:dyDescent="0.25">
      <c r="A5171" t="s">
        <v>5060</v>
      </c>
      <c r="B5171" t="s">
        <v>306</v>
      </c>
      <c r="C5171" t="s">
        <v>307</v>
      </c>
      <c r="D5171" t="str">
        <f>HYPERLINK("http://service.sap.com/sap/support/notes/1903293","1903293")</f>
        <v>1903293</v>
      </c>
      <c r="E5171">
        <v>1</v>
      </c>
      <c r="F5171" t="s">
        <v>5260</v>
      </c>
    </row>
    <row r="5172" spans="1:6" x14ac:dyDescent="0.25">
      <c r="A5172" t="s">
        <v>5060</v>
      </c>
      <c r="B5172" t="s">
        <v>313</v>
      </c>
      <c r="C5172" t="s">
        <v>314</v>
      </c>
      <c r="D5172" t="str">
        <f>HYPERLINK("http://service.sap.com/sap/support/notes/1778495","1778495")</f>
        <v>1778495</v>
      </c>
      <c r="E5172">
        <v>2</v>
      </c>
      <c r="F5172" t="s">
        <v>5261</v>
      </c>
    </row>
    <row r="5173" spans="1:6" x14ac:dyDescent="0.25">
      <c r="A5173" t="s">
        <v>5060</v>
      </c>
      <c r="B5173" t="s">
        <v>313</v>
      </c>
      <c r="C5173" t="s">
        <v>314</v>
      </c>
      <c r="D5173" t="str">
        <f>HYPERLINK("http://service.sap.com/sap/support/notes/1827337","1827337")</f>
        <v>1827337</v>
      </c>
      <c r="E5173">
        <v>1</v>
      </c>
      <c r="F5173" t="s">
        <v>5262</v>
      </c>
    </row>
    <row r="5174" spans="1:6" x14ac:dyDescent="0.25">
      <c r="A5174" t="s">
        <v>5060</v>
      </c>
      <c r="B5174" t="s">
        <v>313</v>
      </c>
      <c r="C5174" t="s">
        <v>314</v>
      </c>
      <c r="D5174" t="str">
        <f>HYPERLINK("http://service.sap.com/sap/support/notes/1896186","1896186")</f>
        <v>1896186</v>
      </c>
      <c r="E5174">
        <v>4</v>
      </c>
      <c r="F5174" t="s">
        <v>5263</v>
      </c>
    </row>
    <row r="5175" spans="1:6" x14ac:dyDescent="0.25">
      <c r="A5175" t="s">
        <v>5060</v>
      </c>
      <c r="B5175" t="s">
        <v>313</v>
      </c>
      <c r="C5175" t="s">
        <v>314</v>
      </c>
      <c r="D5175" t="str">
        <f>HYPERLINK("http://service.sap.com/sap/support/notes/1898402","1898402")</f>
        <v>1898402</v>
      </c>
      <c r="E5175">
        <v>2</v>
      </c>
      <c r="F5175" t="s">
        <v>5264</v>
      </c>
    </row>
    <row r="5176" spans="1:6" x14ac:dyDescent="0.25">
      <c r="A5176" t="s">
        <v>5060</v>
      </c>
      <c r="B5176" t="s">
        <v>313</v>
      </c>
      <c r="C5176" t="s">
        <v>314</v>
      </c>
      <c r="D5176" t="str">
        <f>HYPERLINK("http://service.sap.com/sap/support/notes/1902613","1902613")</f>
        <v>1902613</v>
      </c>
      <c r="E5176">
        <v>1</v>
      </c>
      <c r="F5176" t="s">
        <v>5265</v>
      </c>
    </row>
    <row r="5177" spans="1:6" x14ac:dyDescent="0.25">
      <c r="A5177" t="s">
        <v>5060</v>
      </c>
      <c r="B5177" t="s">
        <v>668</v>
      </c>
      <c r="C5177" t="s">
        <v>156</v>
      </c>
    </row>
    <row r="5178" spans="1:6" x14ac:dyDescent="0.25">
      <c r="A5178" t="s">
        <v>5060</v>
      </c>
      <c r="B5178" t="s">
        <v>669</v>
      </c>
      <c r="C5178" t="s">
        <v>303</v>
      </c>
      <c r="D5178" t="str">
        <f>HYPERLINK("http://service.sap.com/sap/support/notes/1901019","1901019")</f>
        <v>1901019</v>
      </c>
      <c r="E5178">
        <v>1</v>
      </c>
      <c r="F5178" t="s">
        <v>5266</v>
      </c>
    </row>
    <row r="5179" spans="1:6" x14ac:dyDescent="0.25">
      <c r="A5179" t="s">
        <v>5060</v>
      </c>
      <c r="B5179" t="s">
        <v>319</v>
      </c>
      <c r="C5179" t="s">
        <v>320</v>
      </c>
      <c r="D5179" t="str">
        <f>HYPERLINK("http://service.sap.com/sap/support/notes/1859232","1859232")</f>
        <v>1859232</v>
      </c>
      <c r="E5179">
        <v>4</v>
      </c>
      <c r="F5179" t="s">
        <v>5267</v>
      </c>
    </row>
    <row r="5180" spans="1:6" x14ac:dyDescent="0.25">
      <c r="A5180" t="s">
        <v>5060</v>
      </c>
      <c r="B5180" t="s">
        <v>319</v>
      </c>
      <c r="C5180" t="s">
        <v>320</v>
      </c>
      <c r="D5180" t="str">
        <f>HYPERLINK("http://service.sap.com/sap/support/notes/1878176","1878176")</f>
        <v>1878176</v>
      </c>
      <c r="E5180">
        <v>4</v>
      </c>
      <c r="F5180" t="s">
        <v>5268</v>
      </c>
    </row>
    <row r="5181" spans="1:6" x14ac:dyDescent="0.25">
      <c r="A5181" t="s">
        <v>5060</v>
      </c>
      <c r="B5181" t="s">
        <v>319</v>
      </c>
      <c r="C5181" t="s">
        <v>320</v>
      </c>
      <c r="D5181" t="str">
        <f>HYPERLINK("http://service.sap.com/sap/support/notes/1886190","1886190")</f>
        <v>1886190</v>
      </c>
      <c r="E5181">
        <v>2</v>
      </c>
      <c r="F5181" t="s">
        <v>5269</v>
      </c>
    </row>
    <row r="5182" spans="1:6" x14ac:dyDescent="0.25">
      <c r="A5182" t="s">
        <v>5060</v>
      </c>
      <c r="B5182" t="s">
        <v>319</v>
      </c>
      <c r="C5182" t="s">
        <v>320</v>
      </c>
      <c r="D5182" t="str">
        <f>HYPERLINK("http://service.sap.com/sap/support/notes/1886576","1886576")</f>
        <v>1886576</v>
      </c>
      <c r="E5182">
        <v>1</v>
      </c>
      <c r="F5182" t="s">
        <v>5270</v>
      </c>
    </row>
    <row r="5183" spans="1:6" x14ac:dyDescent="0.25">
      <c r="A5183" t="s">
        <v>5060</v>
      </c>
      <c r="B5183" t="s">
        <v>319</v>
      </c>
      <c r="C5183" t="s">
        <v>320</v>
      </c>
      <c r="D5183" t="str">
        <f>HYPERLINK("http://service.sap.com/sap/support/notes/1888834","1888834")</f>
        <v>1888834</v>
      </c>
      <c r="E5183">
        <v>2</v>
      </c>
      <c r="F5183" t="s">
        <v>5271</v>
      </c>
    </row>
    <row r="5184" spans="1:6" x14ac:dyDescent="0.25">
      <c r="A5184" t="s">
        <v>5060</v>
      </c>
      <c r="B5184" t="s">
        <v>319</v>
      </c>
      <c r="C5184" t="s">
        <v>320</v>
      </c>
      <c r="D5184" t="str">
        <f>HYPERLINK("http://service.sap.com/sap/support/notes/1893219","1893219")</f>
        <v>1893219</v>
      </c>
      <c r="E5184">
        <v>2</v>
      </c>
      <c r="F5184" t="s">
        <v>5272</v>
      </c>
    </row>
    <row r="5185" spans="1:6" x14ac:dyDescent="0.25">
      <c r="A5185" t="s">
        <v>5060</v>
      </c>
      <c r="B5185" t="s">
        <v>319</v>
      </c>
      <c r="C5185" t="s">
        <v>320</v>
      </c>
      <c r="D5185" t="str">
        <f>HYPERLINK("http://service.sap.com/sap/support/notes/1897219","1897219")</f>
        <v>1897219</v>
      </c>
      <c r="E5185">
        <v>2</v>
      </c>
      <c r="F5185" t="s">
        <v>5273</v>
      </c>
    </row>
    <row r="5186" spans="1:6" x14ac:dyDescent="0.25">
      <c r="A5186" t="s">
        <v>5060</v>
      </c>
      <c r="B5186" t="s">
        <v>319</v>
      </c>
      <c r="C5186" t="s">
        <v>320</v>
      </c>
      <c r="D5186" t="str">
        <f>HYPERLINK("http://service.sap.com/sap/support/notes/1901070","1901070")</f>
        <v>1901070</v>
      </c>
      <c r="E5186">
        <v>1</v>
      </c>
      <c r="F5186" t="s">
        <v>5274</v>
      </c>
    </row>
    <row r="5187" spans="1:6" x14ac:dyDescent="0.25">
      <c r="A5187" t="s">
        <v>5060</v>
      </c>
      <c r="B5187" t="s">
        <v>319</v>
      </c>
      <c r="C5187" t="s">
        <v>320</v>
      </c>
      <c r="D5187" t="str">
        <f>HYPERLINK("http://service.sap.com/sap/support/notes/1901554","1901554")</f>
        <v>1901554</v>
      </c>
      <c r="E5187">
        <v>2</v>
      </c>
      <c r="F5187" t="s">
        <v>5275</v>
      </c>
    </row>
    <row r="5188" spans="1:6" x14ac:dyDescent="0.25">
      <c r="A5188" t="s">
        <v>5060</v>
      </c>
      <c r="B5188" t="s">
        <v>327</v>
      </c>
      <c r="C5188" t="s">
        <v>328</v>
      </c>
      <c r="D5188" t="str">
        <f>HYPERLINK("http://service.sap.com/sap/support/notes/1765631","1765631")</f>
        <v>1765631</v>
      </c>
      <c r="E5188">
        <v>5</v>
      </c>
      <c r="F5188" t="s">
        <v>5276</v>
      </c>
    </row>
    <row r="5189" spans="1:6" x14ac:dyDescent="0.25">
      <c r="A5189" t="s">
        <v>5060</v>
      </c>
      <c r="B5189" t="s">
        <v>327</v>
      </c>
      <c r="C5189" t="s">
        <v>328</v>
      </c>
      <c r="D5189" t="str">
        <f>HYPERLINK("http://service.sap.com/sap/support/notes/1800729","1800729")</f>
        <v>1800729</v>
      </c>
      <c r="E5189">
        <v>1</v>
      </c>
      <c r="F5189" t="s">
        <v>5277</v>
      </c>
    </row>
    <row r="5190" spans="1:6" x14ac:dyDescent="0.25">
      <c r="A5190" t="s">
        <v>5060</v>
      </c>
      <c r="B5190" t="s">
        <v>327</v>
      </c>
      <c r="C5190" t="s">
        <v>328</v>
      </c>
      <c r="D5190" t="str">
        <f>HYPERLINK("http://service.sap.com/sap/support/notes/1858158","1858158")</f>
        <v>1858158</v>
      </c>
      <c r="E5190">
        <v>2</v>
      </c>
      <c r="F5190" t="s">
        <v>4192</v>
      </c>
    </row>
    <row r="5191" spans="1:6" x14ac:dyDescent="0.25">
      <c r="A5191" t="s">
        <v>5060</v>
      </c>
      <c r="B5191" t="s">
        <v>327</v>
      </c>
      <c r="C5191" t="s">
        <v>328</v>
      </c>
      <c r="D5191" t="str">
        <f>HYPERLINK("http://service.sap.com/sap/support/notes/1875897","1875897")</f>
        <v>1875897</v>
      </c>
      <c r="E5191">
        <v>2</v>
      </c>
      <c r="F5191" t="s">
        <v>5278</v>
      </c>
    </row>
    <row r="5192" spans="1:6" x14ac:dyDescent="0.25">
      <c r="A5192" t="s">
        <v>5060</v>
      </c>
      <c r="B5192" t="s">
        <v>327</v>
      </c>
      <c r="C5192" t="s">
        <v>328</v>
      </c>
      <c r="D5192" t="str">
        <f>HYPERLINK("http://service.sap.com/sap/support/notes/1876568","1876568")</f>
        <v>1876568</v>
      </c>
      <c r="E5192">
        <v>2</v>
      </c>
      <c r="F5192" t="s">
        <v>5279</v>
      </c>
    </row>
    <row r="5193" spans="1:6" x14ac:dyDescent="0.25">
      <c r="A5193" t="s">
        <v>5060</v>
      </c>
      <c r="B5193" t="s">
        <v>327</v>
      </c>
      <c r="C5193" t="s">
        <v>328</v>
      </c>
      <c r="D5193" t="str">
        <f>HYPERLINK("http://service.sap.com/sap/support/notes/1880691","1880691")</f>
        <v>1880691</v>
      </c>
      <c r="E5193">
        <v>4</v>
      </c>
      <c r="F5193" t="s">
        <v>5280</v>
      </c>
    </row>
    <row r="5194" spans="1:6" x14ac:dyDescent="0.25">
      <c r="A5194" t="s">
        <v>5060</v>
      </c>
      <c r="B5194" t="s">
        <v>327</v>
      </c>
      <c r="C5194" t="s">
        <v>328</v>
      </c>
      <c r="D5194" t="str">
        <f>HYPERLINK("http://service.sap.com/sap/support/notes/1884916","1884916")</f>
        <v>1884916</v>
      </c>
      <c r="E5194">
        <v>6</v>
      </c>
      <c r="F5194" t="s">
        <v>5281</v>
      </c>
    </row>
    <row r="5195" spans="1:6" x14ac:dyDescent="0.25">
      <c r="A5195" t="s">
        <v>5060</v>
      </c>
      <c r="B5195" t="s">
        <v>327</v>
      </c>
      <c r="C5195" t="s">
        <v>328</v>
      </c>
      <c r="D5195" t="str">
        <f>HYPERLINK("http://service.sap.com/sap/support/notes/1888620","1888620")</f>
        <v>1888620</v>
      </c>
      <c r="E5195">
        <v>3</v>
      </c>
      <c r="F5195" t="s">
        <v>5282</v>
      </c>
    </row>
    <row r="5196" spans="1:6" x14ac:dyDescent="0.25">
      <c r="A5196" t="s">
        <v>5060</v>
      </c>
      <c r="B5196" t="s">
        <v>327</v>
      </c>
      <c r="C5196" t="s">
        <v>328</v>
      </c>
      <c r="D5196" t="str">
        <f>HYPERLINK("http://service.sap.com/sap/support/notes/1893460","1893460")</f>
        <v>1893460</v>
      </c>
      <c r="E5196">
        <v>2</v>
      </c>
      <c r="F5196" t="s">
        <v>5283</v>
      </c>
    </row>
    <row r="5197" spans="1:6" x14ac:dyDescent="0.25">
      <c r="A5197" t="s">
        <v>5060</v>
      </c>
      <c r="B5197" t="s">
        <v>327</v>
      </c>
      <c r="C5197" t="s">
        <v>328</v>
      </c>
      <c r="D5197" t="str">
        <f>HYPERLINK("http://service.sap.com/sap/support/notes/1894161","1894161")</f>
        <v>1894161</v>
      </c>
      <c r="E5197">
        <v>2</v>
      </c>
      <c r="F5197" t="s">
        <v>5284</v>
      </c>
    </row>
    <row r="5198" spans="1:6" x14ac:dyDescent="0.25">
      <c r="A5198" t="s">
        <v>5060</v>
      </c>
      <c r="B5198" t="s">
        <v>327</v>
      </c>
      <c r="C5198" t="s">
        <v>328</v>
      </c>
      <c r="D5198" t="str">
        <f>HYPERLINK("http://service.sap.com/sap/support/notes/1895977","1895977")</f>
        <v>1895977</v>
      </c>
      <c r="E5198">
        <v>1</v>
      </c>
      <c r="F5198" t="s">
        <v>5285</v>
      </c>
    </row>
    <row r="5199" spans="1:6" x14ac:dyDescent="0.25">
      <c r="A5199" t="s">
        <v>5060</v>
      </c>
      <c r="B5199" t="s">
        <v>327</v>
      </c>
      <c r="C5199" t="s">
        <v>328</v>
      </c>
      <c r="D5199" t="str">
        <f>HYPERLINK("http://service.sap.com/sap/support/notes/1901969","1901969")</f>
        <v>1901969</v>
      </c>
      <c r="E5199">
        <v>1</v>
      </c>
      <c r="F5199" t="s">
        <v>5286</v>
      </c>
    </row>
    <row r="5200" spans="1:6" x14ac:dyDescent="0.25">
      <c r="A5200" t="s">
        <v>5060</v>
      </c>
      <c r="B5200" t="s">
        <v>337</v>
      </c>
      <c r="C5200" t="s">
        <v>48</v>
      </c>
      <c r="D5200" t="str">
        <f>HYPERLINK("http://service.sap.com/sap/support/notes/1896092","1896092")</f>
        <v>1896092</v>
      </c>
      <c r="E5200">
        <v>2</v>
      </c>
      <c r="F5200" t="s">
        <v>5287</v>
      </c>
    </row>
    <row r="5201" spans="1:6" x14ac:dyDescent="0.25">
      <c r="A5201" t="s">
        <v>5060</v>
      </c>
      <c r="B5201" t="s">
        <v>1885</v>
      </c>
      <c r="C5201" t="s">
        <v>196</v>
      </c>
    </row>
    <row r="5202" spans="1:6" x14ac:dyDescent="0.25">
      <c r="A5202" t="s">
        <v>5060</v>
      </c>
      <c r="B5202" t="s">
        <v>1890</v>
      </c>
      <c r="C5202" t="s">
        <v>1891</v>
      </c>
      <c r="D5202" t="str">
        <f>HYPERLINK("http://service.sap.com/sap/support/notes/1896614","1896614")</f>
        <v>1896614</v>
      </c>
      <c r="E5202">
        <v>1</v>
      </c>
      <c r="F5202" t="s">
        <v>5288</v>
      </c>
    </row>
    <row r="5203" spans="1:6" x14ac:dyDescent="0.25">
      <c r="A5203" t="s">
        <v>5060</v>
      </c>
      <c r="B5203" t="s">
        <v>340</v>
      </c>
      <c r="C5203" t="s">
        <v>52</v>
      </c>
      <c r="D5203" t="str">
        <f>HYPERLINK("http://service.sap.com/sap/support/notes/1877959","1877959")</f>
        <v>1877959</v>
      </c>
      <c r="E5203">
        <v>5</v>
      </c>
      <c r="F5203" t="s">
        <v>4612</v>
      </c>
    </row>
    <row r="5204" spans="1:6" x14ac:dyDescent="0.25">
      <c r="A5204" t="s">
        <v>5060</v>
      </c>
      <c r="B5204" t="s">
        <v>340</v>
      </c>
      <c r="C5204" t="s">
        <v>52</v>
      </c>
      <c r="D5204" t="str">
        <f>HYPERLINK("http://service.sap.com/sap/support/notes/1890624","1890624")</f>
        <v>1890624</v>
      </c>
      <c r="E5204">
        <v>2</v>
      </c>
      <c r="F5204" t="s">
        <v>5289</v>
      </c>
    </row>
    <row r="5205" spans="1:6" x14ac:dyDescent="0.25">
      <c r="A5205" t="s">
        <v>5060</v>
      </c>
      <c r="B5205" t="s">
        <v>340</v>
      </c>
      <c r="C5205" t="s">
        <v>52</v>
      </c>
      <c r="D5205" t="str">
        <f>HYPERLINK("http://service.sap.com/sap/support/notes/1893020","1893020")</f>
        <v>1893020</v>
      </c>
      <c r="E5205">
        <v>3</v>
      </c>
      <c r="F5205" t="s">
        <v>5290</v>
      </c>
    </row>
    <row r="5206" spans="1:6" x14ac:dyDescent="0.25">
      <c r="A5206" t="s">
        <v>5060</v>
      </c>
      <c r="B5206" t="s">
        <v>340</v>
      </c>
      <c r="C5206" t="s">
        <v>52</v>
      </c>
      <c r="D5206" t="str">
        <f>HYPERLINK("http://service.sap.com/sap/support/notes/1896142","1896142")</f>
        <v>1896142</v>
      </c>
      <c r="E5206">
        <v>3</v>
      </c>
      <c r="F5206" t="s">
        <v>5291</v>
      </c>
    </row>
    <row r="5207" spans="1:6" x14ac:dyDescent="0.25">
      <c r="A5207" t="s">
        <v>5060</v>
      </c>
      <c r="B5207" t="s">
        <v>344</v>
      </c>
      <c r="C5207" t="s">
        <v>345</v>
      </c>
      <c r="D5207" t="str">
        <f>HYPERLINK("http://service.sap.com/sap/support/notes/1880049","1880049")</f>
        <v>1880049</v>
      </c>
      <c r="E5207">
        <v>5</v>
      </c>
      <c r="F5207" t="s">
        <v>5292</v>
      </c>
    </row>
    <row r="5208" spans="1:6" x14ac:dyDescent="0.25">
      <c r="A5208" t="s">
        <v>5060</v>
      </c>
      <c r="B5208" t="s">
        <v>344</v>
      </c>
      <c r="C5208" t="s">
        <v>345</v>
      </c>
      <c r="D5208" t="str">
        <f>HYPERLINK("http://service.sap.com/sap/support/notes/1882378","1882378")</f>
        <v>1882378</v>
      </c>
      <c r="E5208">
        <v>2</v>
      </c>
      <c r="F5208" t="s">
        <v>5293</v>
      </c>
    </row>
    <row r="5209" spans="1:6" x14ac:dyDescent="0.25">
      <c r="A5209" t="s">
        <v>5060</v>
      </c>
      <c r="B5209" t="s">
        <v>344</v>
      </c>
      <c r="C5209" t="s">
        <v>345</v>
      </c>
      <c r="D5209" t="str">
        <f>HYPERLINK("http://service.sap.com/sap/support/notes/1883097","1883097")</f>
        <v>1883097</v>
      </c>
      <c r="E5209">
        <v>2</v>
      </c>
      <c r="F5209" t="s">
        <v>5294</v>
      </c>
    </row>
    <row r="5210" spans="1:6" x14ac:dyDescent="0.25">
      <c r="A5210" t="s">
        <v>5060</v>
      </c>
      <c r="B5210" t="s">
        <v>344</v>
      </c>
      <c r="C5210" t="s">
        <v>345</v>
      </c>
      <c r="D5210" t="str">
        <f>HYPERLINK("http://service.sap.com/sap/support/notes/1889202","1889202")</f>
        <v>1889202</v>
      </c>
      <c r="E5210">
        <v>2</v>
      </c>
      <c r="F5210" t="s">
        <v>5295</v>
      </c>
    </row>
    <row r="5211" spans="1:6" x14ac:dyDescent="0.25">
      <c r="A5211" t="s">
        <v>5060</v>
      </c>
      <c r="B5211" t="s">
        <v>344</v>
      </c>
      <c r="C5211" t="s">
        <v>345</v>
      </c>
      <c r="D5211" t="str">
        <f>HYPERLINK("http://service.sap.com/sap/support/notes/1891094","1891094")</f>
        <v>1891094</v>
      </c>
      <c r="E5211">
        <v>2</v>
      </c>
      <c r="F5211" t="s">
        <v>5296</v>
      </c>
    </row>
    <row r="5212" spans="1:6" x14ac:dyDescent="0.25">
      <c r="A5212" t="s">
        <v>5060</v>
      </c>
      <c r="B5212" t="s">
        <v>350</v>
      </c>
      <c r="C5212" t="s">
        <v>351</v>
      </c>
      <c r="D5212" t="str">
        <f>HYPERLINK("http://service.sap.com/sap/support/notes/1897747","1897747")</f>
        <v>1897747</v>
      </c>
      <c r="E5212">
        <v>2</v>
      </c>
      <c r="F5212" t="s">
        <v>5297</v>
      </c>
    </row>
    <row r="5213" spans="1:6" x14ac:dyDescent="0.25">
      <c r="A5213" t="s">
        <v>5060</v>
      </c>
      <c r="B5213" t="s">
        <v>350</v>
      </c>
      <c r="C5213" t="s">
        <v>351</v>
      </c>
      <c r="D5213" t="str">
        <f>HYPERLINK("http://service.sap.com/sap/support/notes/1902685","1902685")</f>
        <v>1902685</v>
      </c>
      <c r="E5213">
        <v>1</v>
      </c>
      <c r="F5213" t="s">
        <v>5298</v>
      </c>
    </row>
    <row r="5214" spans="1:6" x14ac:dyDescent="0.25">
      <c r="A5214" t="s">
        <v>5060</v>
      </c>
      <c r="B5214" t="s">
        <v>350</v>
      </c>
      <c r="C5214" t="s">
        <v>351</v>
      </c>
      <c r="D5214" t="str">
        <f>HYPERLINK("http://service.sap.com/sap/support/notes/1902688","1902688")</f>
        <v>1902688</v>
      </c>
      <c r="E5214">
        <v>1</v>
      </c>
      <c r="F5214" t="s">
        <v>5299</v>
      </c>
    </row>
    <row r="5215" spans="1:6" x14ac:dyDescent="0.25">
      <c r="A5215" t="s">
        <v>5060</v>
      </c>
      <c r="B5215" t="s">
        <v>350</v>
      </c>
      <c r="C5215" t="s">
        <v>351</v>
      </c>
      <c r="D5215" t="str">
        <f>HYPERLINK("http://service.sap.com/sap/support/notes/1903122","1903122")</f>
        <v>1903122</v>
      </c>
      <c r="E5215">
        <v>2</v>
      </c>
      <c r="F5215" t="s">
        <v>5300</v>
      </c>
    </row>
    <row r="5216" spans="1:6" x14ac:dyDescent="0.25">
      <c r="A5216" t="s">
        <v>5060</v>
      </c>
      <c r="B5216" t="s">
        <v>362</v>
      </c>
      <c r="C5216" t="s">
        <v>363</v>
      </c>
      <c r="D5216" t="str">
        <f>HYPERLINK("http://service.sap.com/sap/support/notes/1855081","1855081")</f>
        <v>1855081</v>
      </c>
      <c r="E5216">
        <v>2</v>
      </c>
      <c r="F5216" t="s">
        <v>5301</v>
      </c>
    </row>
    <row r="5217" spans="1:6" x14ac:dyDescent="0.25">
      <c r="A5217" t="s">
        <v>5060</v>
      </c>
      <c r="B5217" t="s">
        <v>362</v>
      </c>
      <c r="C5217" t="s">
        <v>363</v>
      </c>
      <c r="D5217" t="str">
        <f>HYPERLINK("http://service.sap.com/sap/support/notes/1855499","1855499")</f>
        <v>1855499</v>
      </c>
      <c r="E5217">
        <v>3</v>
      </c>
      <c r="F5217" t="s">
        <v>5302</v>
      </c>
    </row>
    <row r="5218" spans="1:6" x14ac:dyDescent="0.25">
      <c r="A5218" t="s">
        <v>5060</v>
      </c>
      <c r="B5218" t="s">
        <v>362</v>
      </c>
      <c r="C5218" t="s">
        <v>363</v>
      </c>
      <c r="D5218" t="str">
        <f>HYPERLINK("http://service.sap.com/sap/support/notes/1858641","1858641")</f>
        <v>1858641</v>
      </c>
      <c r="E5218">
        <v>7</v>
      </c>
      <c r="F5218" t="s">
        <v>5303</v>
      </c>
    </row>
    <row r="5219" spans="1:6" x14ac:dyDescent="0.25">
      <c r="A5219" t="s">
        <v>5060</v>
      </c>
      <c r="B5219" t="s">
        <v>362</v>
      </c>
      <c r="C5219" t="s">
        <v>363</v>
      </c>
      <c r="D5219" t="str">
        <f>HYPERLINK("http://service.sap.com/sap/support/notes/1884694","1884694")</f>
        <v>1884694</v>
      </c>
      <c r="E5219">
        <v>4</v>
      </c>
      <c r="F5219" t="s">
        <v>5304</v>
      </c>
    </row>
    <row r="5220" spans="1:6" x14ac:dyDescent="0.25">
      <c r="A5220" t="s">
        <v>5060</v>
      </c>
      <c r="B5220" t="s">
        <v>362</v>
      </c>
      <c r="C5220" t="s">
        <v>363</v>
      </c>
      <c r="D5220" t="str">
        <f>HYPERLINK("http://service.sap.com/sap/support/notes/1890155","1890155")</f>
        <v>1890155</v>
      </c>
      <c r="E5220">
        <v>2</v>
      </c>
      <c r="F5220" t="s">
        <v>5305</v>
      </c>
    </row>
    <row r="5221" spans="1:6" x14ac:dyDescent="0.25">
      <c r="A5221" t="s">
        <v>5060</v>
      </c>
      <c r="B5221" t="s">
        <v>362</v>
      </c>
      <c r="C5221" t="s">
        <v>363</v>
      </c>
      <c r="D5221" t="str">
        <f>HYPERLINK("http://service.sap.com/sap/support/notes/1890661","1890661")</f>
        <v>1890661</v>
      </c>
      <c r="E5221">
        <v>1</v>
      </c>
      <c r="F5221" t="s">
        <v>5306</v>
      </c>
    </row>
    <row r="5222" spans="1:6" x14ac:dyDescent="0.25">
      <c r="A5222" t="s">
        <v>5060</v>
      </c>
      <c r="B5222" t="s">
        <v>362</v>
      </c>
      <c r="C5222" t="s">
        <v>363</v>
      </c>
      <c r="D5222" t="str">
        <f>HYPERLINK("http://service.sap.com/sap/support/notes/1890786","1890786")</f>
        <v>1890786</v>
      </c>
      <c r="E5222">
        <v>1</v>
      </c>
      <c r="F5222" t="s">
        <v>5307</v>
      </c>
    </row>
    <row r="5223" spans="1:6" x14ac:dyDescent="0.25">
      <c r="A5223" t="s">
        <v>5060</v>
      </c>
      <c r="B5223" t="s">
        <v>362</v>
      </c>
      <c r="C5223" t="s">
        <v>363</v>
      </c>
      <c r="D5223" t="str">
        <f>HYPERLINK("http://service.sap.com/sap/support/notes/1890876","1890876")</f>
        <v>1890876</v>
      </c>
      <c r="E5223">
        <v>1</v>
      </c>
      <c r="F5223" t="s">
        <v>5308</v>
      </c>
    </row>
    <row r="5224" spans="1:6" x14ac:dyDescent="0.25">
      <c r="A5224" t="s">
        <v>5060</v>
      </c>
      <c r="B5224" t="s">
        <v>362</v>
      </c>
      <c r="C5224" t="s">
        <v>363</v>
      </c>
      <c r="D5224" t="str">
        <f>HYPERLINK("http://service.sap.com/sap/support/notes/1891998","1891998")</f>
        <v>1891998</v>
      </c>
      <c r="E5224">
        <v>1</v>
      </c>
      <c r="F5224" t="s">
        <v>5309</v>
      </c>
    </row>
    <row r="5225" spans="1:6" x14ac:dyDescent="0.25">
      <c r="A5225" t="s">
        <v>5060</v>
      </c>
      <c r="B5225" t="s">
        <v>362</v>
      </c>
      <c r="C5225" t="s">
        <v>363</v>
      </c>
      <c r="D5225" t="str">
        <f>HYPERLINK("http://service.sap.com/sap/support/notes/1892168","1892168")</f>
        <v>1892168</v>
      </c>
      <c r="E5225">
        <v>2</v>
      </c>
      <c r="F5225" t="s">
        <v>5310</v>
      </c>
    </row>
    <row r="5226" spans="1:6" x14ac:dyDescent="0.25">
      <c r="A5226" t="s">
        <v>5060</v>
      </c>
      <c r="B5226" t="s">
        <v>362</v>
      </c>
      <c r="C5226" t="s">
        <v>363</v>
      </c>
      <c r="D5226" t="str">
        <f>HYPERLINK("http://service.sap.com/sap/support/notes/1892428","1892428")</f>
        <v>1892428</v>
      </c>
      <c r="E5226">
        <v>1</v>
      </c>
      <c r="F5226" t="s">
        <v>5311</v>
      </c>
    </row>
    <row r="5227" spans="1:6" x14ac:dyDescent="0.25">
      <c r="A5227" t="s">
        <v>5060</v>
      </c>
      <c r="B5227" t="s">
        <v>362</v>
      </c>
      <c r="C5227" t="s">
        <v>363</v>
      </c>
      <c r="D5227" t="str">
        <f>HYPERLINK("http://service.sap.com/sap/support/notes/1893262","1893262")</f>
        <v>1893262</v>
      </c>
      <c r="E5227">
        <v>1</v>
      </c>
      <c r="F5227" t="s">
        <v>5312</v>
      </c>
    </row>
    <row r="5228" spans="1:6" x14ac:dyDescent="0.25">
      <c r="A5228" t="s">
        <v>5060</v>
      </c>
      <c r="B5228" t="s">
        <v>362</v>
      </c>
      <c r="C5228" t="s">
        <v>363</v>
      </c>
      <c r="D5228" t="str">
        <f>HYPERLINK("http://service.sap.com/sap/support/notes/1894662","1894662")</f>
        <v>1894662</v>
      </c>
      <c r="E5228">
        <v>1</v>
      </c>
      <c r="F5228" t="s">
        <v>5313</v>
      </c>
    </row>
    <row r="5229" spans="1:6" x14ac:dyDescent="0.25">
      <c r="A5229" t="s">
        <v>5060</v>
      </c>
      <c r="B5229" t="s">
        <v>362</v>
      </c>
      <c r="C5229" t="s">
        <v>363</v>
      </c>
      <c r="D5229" t="str">
        <f>HYPERLINK("http://service.sap.com/sap/support/notes/1901698","1901698")</f>
        <v>1901698</v>
      </c>
      <c r="E5229">
        <v>2</v>
      </c>
      <c r="F5229" t="s">
        <v>5314</v>
      </c>
    </row>
    <row r="5230" spans="1:6" x14ac:dyDescent="0.25">
      <c r="A5230" t="s">
        <v>5060</v>
      </c>
      <c r="B5230" t="s">
        <v>384</v>
      </c>
      <c r="C5230" t="s">
        <v>385</v>
      </c>
      <c r="D5230" t="str">
        <f>HYPERLINK("http://service.sap.com/sap/support/notes/1848583","1848583")</f>
        <v>1848583</v>
      </c>
      <c r="E5230">
        <v>1</v>
      </c>
      <c r="F5230" t="s">
        <v>5315</v>
      </c>
    </row>
    <row r="5231" spans="1:6" x14ac:dyDescent="0.25">
      <c r="A5231" t="s">
        <v>5060</v>
      </c>
      <c r="B5231" t="s">
        <v>384</v>
      </c>
      <c r="C5231" t="s">
        <v>385</v>
      </c>
      <c r="D5231" t="str">
        <f>HYPERLINK("http://service.sap.com/sap/support/notes/1865440","1865440")</f>
        <v>1865440</v>
      </c>
      <c r="E5231">
        <v>2</v>
      </c>
      <c r="F5231" t="s">
        <v>5316</v>
      </c>
    </row>
    <row r="5232" spans="1:6" x14ac:dyDescent="0.25">
      <c r="A5232" t="s">
        <v>5060</v>
      </c>
      <c r="B5232" t="s">
        <v>384</v>
      </c>
      <c r="C5232" t="s">
        <v>385</v>
      </c>
      <c r="D5232" t="str">
        <f>HYPERLINK("http://service.sap.com/sap/support/notes/1883266","1883266")</f>
        <v>1883266</v>
      </c>
      <c r="E5232">
        <v>3</v>
      </c>
      <c r="F5232" t="s">
        <v>4979</v>
      </c>
    </row>
    <row r="5233" spans="1:6" x14ac:dyDescent="0.25">
      <c r="A5233" t="s">
        <v>5060</v>
      </c>
      <c r="B5233" t="s">
        <v>384</v>
      </c>
      <c r="C5233" t="s">
        <v>385</v>
      </c>
      <c r="D5233" t="str">
        <f>HYPERLINK("http://service.sap.com/sap/support/notes/1886294","1886294")</f>
        <v>1886294</v>
      </c>
      <c r="E5233">
        <v>1</v>
      </c>
      <c r="F5233" t="s">
        <v>5317</v>
      </c>
    </row>
    <row r="5234" spans="1:6" x14ac:dyDescent="0.25">
      <c r="A5234" t="s">
        <v>5060</v>
      </c>
      <c r="B5234" t="s">
        <v>384</v>
      </c>
      <c r="C5234" t="s">
        <v>385</v>
      </c>
      <c r="D5234" t="str">
        <f>HYPERLINK("http://service.sap.com/sap/support/notes/1890040","1890040")</f>
        <v>1890040</v>
      </c>
      <c r="E5234">
        <v>1</v>
      </c>
      <c r="F5234" t="s">
        <v>5318</v>
      </c>
    </row>
    <row r="5235" spans="1:6" x14ac:dyDescent="0.25">
      <c r="A5235" t="s">
        <v>5060</v>
      </c>
      <c r="B5235" t="s">
        <v>384</v>
      </c>
      <c r="C5235" t="s">
        <v>385</v>
      </c>
      <c r="D5235" t="str">
        <f>HYPERLINK("http://service.sap.com/sap/support/notes/1890500","1890500")</f>
        <v>1890500</v>
      </c>
      <c r="E5235">
        <v>1</v>
      </c>
      <c r="F5235" t="s">
        <v>5319</v>
      </c>
    </row>
    <row r="5236" spans="1:6" x14ac:dyDescent="0.25">
      <c r="A5236" t="s">
        <v>5060</v>
      </c>
      <c r="B5236" t="s">
        <v>384</v>
      </c>
      <c r="C5236" t="s">
        <v>385</v>
      </c>
      <c r="D5236" t="str">
        <f>HYPERLINK("http://service.sap.com/sap/support/notes/1890612","1890612")</f>
        <v>1890612</v>
      </c>
      <c r="E5236">
        <v>3</v>
      </c>
      <c r="F5236" t="s">
        <v>5320</v>
      </c>
    </row>
    <row r="5237" spans="1:6" x14ac:dyDescent="0.25">
      <c r="A5237" t="s">
        <v>5060</v>
      </c>
      <c r="B5237" t="s">
        <v>384</v>
      </c>
      <c r="C5237" t="s">
        <v>385</v>
      </c>
      <c r="D5237" t="str">
        <f>HYPERLINK("http://service.sap.com/sap/support/notes/1892452","1892452")</f>
        <v>1892452</v>
      </c>
      <c r="E5237">
        <v>1</v>
      </c>
      <c r="F5237" t="s">
        <v>5321</v>
      </c>
    </row>
    <row r="5238" spans="1:6" x14ac:dyDescent="0.25">
      <c r="A5238" t="s">
        <v>5060</v>
      </c>
      <c r="B5238" t="s">
        <v>384</v>
      </c>
      <c r="C5238" t="s">
        <v>385</v>
      </c>
      <c r="D5238" t="str">
        <f>HYPERLINK("http://service.sap.com/sap/support/notes/1895573","1895573")</f>
        <v>1895573</v>
      </c>
      <c r="E5238">
        <v>1</v>
      </c>
      <c r="F5238" t="s">
        <v>5322</v>
      </c>
    </row>
    <row r="5239" spans="1:6" x14ac:dyDescent="0.25">
      <c r="A5239" t="s">
        <v>5060</v>
      </c>
      <c r="B5239" t="s">
        <v>384</v>
      </c>
      <c r="C5239" t="s">
        <v>385</v>
      </c>
      <c r="D5239" t="str">
        <f>HYPERLINK("http://service.sap.com/sap/support/notes/1897772","1897772")</f>
        <v>1897772</v>
      </c>
      <c r="E5239">
        <v>1</v>
      </c>
      <c r="F5239" t="s">
        <v>5323</v>
      </c>
    </row>
    <row r="5240" spans="1:6" x14ac:dyDescent="0.25">
      <c r="A5240" t="s">
        <v>5060</v>
      </c>
      <c r="B5240" t="s">
        <v>384</v>
      </c>
      <c r="C5240" t="s">
        <v>385</v>
      </c>
      <c r="D5240" t="str">
        <f>HYPERLINK("http://service.sap.com/sap/support/notes/1900133","1900133")</f>
        <v>1900133</v>
      </c>
      <c r="E5240">
        <v>1</v>
      </c>
      <c r="F5240" t="s">
        <v>5324</v>
      </c>
    </row>
    <row r="5241" spans="1:6" x14ac:dyDescent="0.25">
      <c r="A5241" t="s">
        <v>5060</v>
      </c>
      <c r="B5241" t="s">
        <v>384</v>
      </c>
      <c r="C5241" t="s">
        <v>385</v>
      </c>
      <c r="D5241" t="str">
        <f>HYPERLINK("http://service.sap.com/sap/support/notes/1900885","1900885")</f>
        <v>1900885</v>
      </c>
      <c r="E5241">
        <v>1</v>
      </c>
      <c r="F5241" t="s">
        <v>5325</v>
      </c>
    </row>
    <row r="5242" spans="1:6" x14ac:dyDescent="0.25">
      <c r="A5242" t="s">
        <v>5060</v>
      </c>
      <c r="B5242" t="s">
        <v>395</v>
      </c>
      <c r="C5242" t="s">
        <v>396</v>
      </c>
      <c r="D5242" t="str">
        <f>HYPERLINK("http://service.sap.com/sap/support/notes/1863117","1863117")</f>
        <v>1863117</v>
      </c>
      <c r="E5242">
        <v>2</v>
      </c>
      <c r="F5242" t="s">
        <v>5326</v>
      </c>
    </row>
    <row r="5243" spans="1:6" x14ac:dyDescent="0.25">
      <c r="A5243" t="s">
        <v>5060</v>
      </c>
      <c r="B5243" t="s">
        <v>395</v>
      </c>
      <c r="C5243" t="s">
        <v>396</v>
      </c>
      <c r="D5243" t="str">
        <f>HYPERLINK("http://service.sap.com/sap/support/notes/1886855","1886855")</f>
        <v>1886855</v>
      </c>
      <c r="E5243">
        <v>1</v>
      </c>
      <c r="F5243" t="s">
        <v>5327</v>
      </c>
    </row>
    <row r="5244" spans="1:6" x14ac:dyDescent="0.25">
      <c r="A5244" t="s">
        <v>5060</v>
      </c>
      <c r="B5244" t="s">
        <v>406</v>
      </c>
      <c r="C5244" t="s">
        <v>407</v>
      </c>
      <c r="D5244" t="str">
        <f>HYPERLINK("http://service.sap.com/sap/support/notes/1558275","1558275")</f>
        <v>1558275</v>
      </c>
      <c r="E5244">
        <v>4</v>
      </c>
      <c r="F5244" t="s">
        <v>5328</v>
      </c>
    </row>
    <row r="5245" spans="1:6" x14ac:dyDescent="0.25">
      <c r="A5245" t="s">
        <v>5060</v>
      </c>
      <c r="B5245" t="s">
        <v>406</v>
      </c>
      <c r="C5245" t="s">
        <v>407</v>
      </c>
      <c r="D5245" t="str">
        <f>HYPERLINK("http://service.sap.com/sap/support/notes/1853258","1853258")</f>
        <v>1853258</v>
      </c>
      <c r="E5245">
        <v>4</v>
      </c>
      <c r="F5245" t="s">
        <v>5329</v>
      </c>
    </row>
    <row r="5246" spans="1:6" x14ac:dyDescent="0.25">
      <c r="A5246" t="s">
        <v>5060</v>
      </c>
      <c r="B5246" t="s">
        <v>406</v>
      </c>
      <c r="C5246" t="s">
        <v>407</v>
      </c>
      <c r="D5246" t="str">
        <f>HYPERLINK("http://service.sap.com/sap/support/notes/1875887","1875887")</f>
        <v>1875887</v>
      </c>
      <c r="E5246">
        <v>4</v>
      </c>
      <c r="F5246" t="s">
        <v>5330</v>
      </c>
    </row>
    <row r="5247" spans="1:6" x14ac:dyDescent="0.25">
      <c r="A5247" t="s">
        <v>5060</v>
      </c>
      <c r="B5247" t="s">
        <v>406</v>
      </c>
      <c r="C5247" t="s">
        <v>407</v>
      </c>
      <c r="D5247" t="str">
        <f>HYPERLINK("http://service.sap.com/sap/support/notes/1880567","1880567")</f>
        <v>1880567</v>
      </c>
      <c r="E5247">
        <v>7</v>
      </c>
      <c r="F5247" t="s">
        <v>5331</v>
      </c>
    </row>
    <row r="5248" spans="1:6" x14ac:dyDescent="0.25">
      <c r="A5248" t="s">
        <v>5060</v>
      </c>
      <c r="B5248" t="s">
        <v>406</v>
      </c>
      <c r="C5248" t="s">
        <v>407</v>
      </c>
      <c r="D5248" t="str">
        <f>HYPERLINK("http://service.sap.com/sap/support/notes/1887859","1887859")</f>
        <v>1887859</v>
      </c>
      <c r="E5248">
        <v>11</v>
      </c>
      <c r="F5248" t="s">
        <v>5332</v>
      </c>
    </row>
    <row r="5249" spans="1:6" x14ac:dyDescent="0.25">
      <c r="A5249" t="s">
        <v>5060</v>
      </c>
      <c r="B5249" t="s">
        <v>406</v>
      </c>
      <c r="C5249" t="s">
        <v>407</v>
      </c>
      <c r="D5249" t="str">
        <f>HYPERLINK("http://service.sap.com/sap/support/notes/1903007","1903007")</f>
        <v>1903007</v>
      </c>
      <c r="E5249">
        <v>3</v>
      </c>
      <c r="F5249" t="s">
        <v>5333</v>
      </c>
    </row>
    <row r="5250" spans="1:6" x14ac:dyDescent="0.25">
      <c r="A5250" t="s">
        <v>5060</v>
      </c>
      <c r="B5250" t="s">
        <v>409</v>
      </c>
      <c r="C5250" t="s">
        <v>410</v>
      </c>
      <c r="D5250" t="str">
        <f>HYPERLINK("http://service.sap.com/sap/support/notes/1854743","1854743")</f>
        <v>1854743</v>
      </c>
      <c r="E5250">
        <v>15</v>
      </c>
      <c r="F5250" t="s">
        <v>5334</v>
      </c>
    </row>
    <row r="5251" spans="1:6" x14ac:dyDescent="0.25">
      <c r="A5251" t="s">
        <v>5060</v>
      </c>
      <c r="B5251" t="s">
        <v>409</v>
      </c>
      <c r="C5251" t="s">
        <v>410</v>
      </c>
      <c r="D5251" t="str">
        <f>HYPERLINK("http://service.sap.com/sap/support/notes/1885508","1885508")</f>
        <v>1885508</v>
      </c>
      <c r="E5251">
        <v>3</v>
      </c>
      <c r="F5251" t="s">
        <v>5335</v>
      </c>
    </row>
    <row r="5252" spans="1:6" x14ac:dyDescent="0.25">
      <c r="A5252" t="s">
        <v>5060</v>
      </c>
      <c r="B5252" t="s">
        <v>418</v>
      </c>
      <c r="C5252" t="s">
        <v>61</v>
      </c>
      <c r="D5252" t="str">
        <f>HYPERLINK("http://service.sap.com/sap/support/notes/1870396","1870396")</f>
        <v>1870396</v>
      </c>
      <c r="E5252">
        <v>1</v>
      </c>
      <c r="F5252" t="s">
        <v>5336</v>
      </c>
    </row>
    <row r="5253" spans="1:6" x14ac:dyDescent="0.25">
      <c r="A5253" t="s">
        <v>5060</v>
      </c>
      <c r="B5253" t="s">
        <v>423</v>
      </c>
      <c r="C5253" t="s">
        <v>424</v>
      </c>
      <c r="D5253" t="str">
        <f>HYPERLINK("http://service.sap.com/sap/support/notes/1880102","1880102")</f>
        <v>1880102</v>
      </c>
      <c r="E5253">
        <v>8</v>
      </c>
      <c r="F5253" t="s">
        <v>5337</v>
      </c>
    </row>
    <row r="5254" spans="1:6" x14ac:dyDescent="0.25">
      <c r="A5254" t="s">
        <v>5060</v>
      </c>
      <c r="B5254" t="s">
        <v>423</v>
      </c>
      <c r="C5254" t="s">
        <v>424</v>
      </c>
      <c r="D5254" t="str">
        <f>HYPERLINK("http://service.sap.com/sap/support/notes/1886688","1886688")</f>
        <v>1886688</v>
      </c>
      <c r="E5254">
        <v>1</v>
      </c>
      <c r="F5254" t="s">
        <v>5009</v>
      </c>
    </row>
    <row r="5255" spans="1:6" x14ac:dyDescent="0.25">
      <c r="A5255" t="s">
        <v>5060</v>
      </c>
      <c r="B5255" t="s">
        <v>423</v>
      </c>
      <c r="C5255" t="s">
        <v>424</v>
      </c>
      <c r="D5255" t="str">
        <f>HYPERLINK("http://service.sap.com/sap/support/notes/1889069","1889069")</f>
        <v>1889069</v>
      </c>
      <c r="E5255">
        <v>1</v>
      </c>
      <c r="F5255" t="s">
        <v>5338</v>
      </c>
    </row>
    <row r="5256" spans="1:6" x14ac:dyDescent="0.25">
      <c r="A5256" t="s">
        <v>5060</v>
      </c>
      <c r="B5256" t="s">
        <v>423</v>
      </c>
      <c r="C5256" t="s">
        <v>424</v>
      </c>
      <c r="D5256" t="str">
        <f>HYPERLINK("http://service.sap.com/sap/support/notes/1891080","1891080")</f>
        <v>1891080</v>
      </c>
      <c r="E5256">
        <v>1</v>
      </c>
      <c r="F5256" t="s">
        <v>5339</v>
      </c>
    </row>
    <row r="5257" spans="1:6" x14ac:dyDescent="0.25">
      <c r="A5257" t="s">
        <v>5060</v>
      </c>
      <c r="B5257" t="s">
        <v>423</v>
      </c>
      <c r="C5257" t="s">
        <v>424</v>
      </c>
      <c r="D5257" t="str">
        <f>HYPERLINK("http://service.sap.com/sap/support/notes/1892352","1892352")</f>
        <v>1892352</v>
      </c>
      <c r="E5257">
        <v>2</v>
      </c>
      <c r="F5257" t="s">
        <v>5340</v>
      </c>
    </row>
    <row r="5258" spans="1:6" x14ac:dyDescent="0.25">
      <c r="A5258" t="s">
        <v>5060</v>
      </c>
      <c r="B5258" t="s">
        <v>423</v>
      </c>
      <c r="C5258" t="s">
        <v>424</v>
      </c>
      <c r="D5258" t="str">
        <f>HYPERLINK("http://service.sap.com/sap/support/notes/1895423","1895423")</f>
        <v>1895423</v>
      </c>
      <c r="E5258">
        <v>2</v>
      </c>
      <c r="F5258" t="s">
        <v>5341</v>
      </c>
    </row>
    <row r="5259" spans="1:6" x14ac:dyDescent="0.25">
      <c r="A5259" t="s">
        <v>5060</v>
      </c>
      <c r="B5259" t="s">
        <v>423</v>
      </c>
      <c r="C5259" t="s">
        <v>424</v>
      </c>
      <c r="D5259" t="str">
        <f>HYPERLINK("http://service.sap.com/sap/support/notes/1896051","1896051")</f>
        <v>1896051</v>
      </c>
      <c r="E5259">
        <v>1</v>
      </c>
      <c r="F5259" t="s">
        <v>5342</v>
      </c>
    </row>
    <row r="5260" spans="1:6" x14ac:dyDescent="0.25">
      <c r="A5260" t="s">
        <v>5060</v>
      </c>
      <c r="B5260" t="s">
        <v>423</v>
      </c>
      <c r="C5260" t="s">
        <v>424</v>
      </c>
      <c r="D5260" t="str">
        <f>HYPERLINK("http://service.sap.com/sap/support/notes/1904017","1904017")</f>
        <v>1904017</v>
      </c>
      <c r="E5260">
        <v>1</v>
      </c>
      <c r="F5260" t="s">
        <v>5343</v>
      </c>
    </row>
    <row r="5261" spans="1:6" x14ac:dyDescent="0.25">
      <c r="A5261" t="s">
        <v>5060</v>
      </c>
      <c r="B5261" t="s">
        <v>437</v>
      </c>
      <c r="C5261" t="s">
        <v>438</v>
      </c>
      <c r="D5261" t="str">
        <f>HYPERLINK("http://service.sap.com/sap/support/notes/1807002","1807002")</f>
        <v>1807002</v>
      </c>
      <c r="E5261">
        <v>2</v>
      </c>
      <c r="F5261" t="s">
        <v>5344</v>
      </c>
    </row>
    <row r="5262" spans="1:6" x14ac:dyDescent="0.25">
      <c r="A5262" t="s">
        <v>5060</v>
      </c>
      <c r="B5262" t="s">
        <v>437</v>
      </c>
      <c r="C5262" t="s">
        <v>438</v>
      </c>
      <c r="D5262" t="str">
        <f>HYPERLINK("http://service.sap.com/sap/support/notes/1865654","1865654")</f>
        <v>1865654</v>
      </c>
      <c r="E5262">
        <v>1</v>
      </c>
      <c r="F5262" t="s">
        <v>5345</v>
      </c>
    </row>
    <row r="5263" spans="1:6" x14ac:dyDescent="0.25">
      <c r="A5263" t="s">
        <v>5060</v>
      </c>
      <c r="B5263" t="s">
        <v>437</v>
      </c>
      <c r="C5263" t="s">
        <v>438</v>
      </c>
      <c r="D5263" t="str">
        <f>HYPERLINK("http://service.sap.com/sap/support/notes/1884334","1884334")</f>
        <v>1884334</v>
      </c>
      <c r="E5263">
        <v>2</v>
      </c>
      <c r="F5263" t="s">
        <v>5346</v>
      </c>
    </row>
    <row r="5264" spans="1:6" x14ac:dyDescent="0.25">
      <c r="A5264" t="s">
        <v>5060</v>
      </c>
      <c r="B5264" t="s">
        <v>437</v>
      </c>
      <c r="C5264" t="s">
        <v>438</v>
      </c>
      <c r="D5264" t="str">
        <f>HYPERLINK("http://service.sap.com/sap/support/notes/1888844","1888844")</f>
        <v>1888844</v>
      </c>
      <c r="E5264">
        <v>1</v>
      </c>
      <c r="F5264" t="s">
        <v>5347</v>
      </c>
    </row>
    <row r="5265" spans="1:6" x14ac:dyDescent="0.25">
      <c r="A5265" t="s">
        <v>5060</v>
      </c>
      <c r="B5265" t="s">
        <v>437</v>
      </c>
      <c r="C5265" t="s">
        <v>438</v>
      </c>
      <c r="D5265" t="str">
        <f>HYPERLINK("http://service.sap.com/sap/support/notes/1889383","1889383")</f>
        <v>1889383</v>
      </c>
      <c r="E5265">
        <v>2</v>
      </c>
      <c r="F5265" t="s">
        <v>5348</v>
      </c>
    </row>
    <row r="5266" spans="1:6" x14ac:dyDescent="0.25">
      <c r="A5266" t="s">
        <v>5060</v>
      </c>
      <c r="B5266" t="s">
        <v>437</v>
      </c>
      <c r="C5266" t="s">
        <v>438</v>
      </c>
      <c r="D5266" t="str">
        <f>HYPERLINK("http://service.sap.com/sap/support/notes/1890103","1890103")</f>
        <v>1890103</v>
      </c>
      <c r="E5266">
        <v>2</v>
      </c>
      <c r="F5266" t="s">
        <v>5349</v>
      </c>
    </row>
    <row r="5267" spans="1:6" x14ac:dyDescent="0.25">
      <c r="A5267" t="s">
        <v>5060</v>
      </c>
      <c r="B5267" t="s">
        <v>437</v>
      </c>
      <c r="C5267" t="s">
        <v>438</v>
      </c>
      <c r="D5267" t="str">
        <f>HYPERLINK("http://service.sap.com/sap/support/notes/1892973","1892973")</f>
        <v>1892973</v>
      </c>
      <c r="E5267">
        <v>1</v>
      </c>
      <c r="F5267" t="s">
        <v>5350</v>
      </c>
    </row>
    <row r="5268" spans="1:6" x14ac:dyDescent="0.25">
      <c r="A5268" t="s">
        <v>5060</v>
      </c>
      <c r="B5268" t="s">
        <v>437</v>
      </c>
      <c r="C5268" t="s">
        <v>438</v>
      </c>
      <c r="D5268" t="str">
        <f>HYPERLINK("http://service.sap.com/sap/support/notes/1896086","1896086")</f>
        <v>1896086</v>
      </c>
      <c r="E5268">
        <v>2</v>
      </c>
      <c r="F5268" t="s">
        <v>5351</v>
      </c>
    </row>
    <row r="5269" spans="1:6" x14ac:dyDescent="0.25">
      <c r="A5269" t="s">
        <v>5060</v>
      </c>
      <c r="B5269" t="s">
        <v>437</v>
      </c>
      <c r="C5269" t="s">
        <v>438</v>
      </c>
      <c r="D5269" t="str">
        <f>HYPERLINK("http://service.sap.com/sap/support/notes/1900135","1900135")</f>
        <v>1900135</v>
      </c>
      <c r="E5269">
        <v>1</v>
      </c>
      <c r="F5269" t="s">
        <v>5352</v>
      </c>
    </row>
    <row r="5270" spans="1:6" x14ac:dyDescent="0.25">
      <c r="A5270" t="s">
        <v>5060</v>
      </c>
      <c r="B5270" t="s">
        <v>437</v>
      </c>
      <c r="C5270" t="s">
        <v>438</v>
      </c>
      <c r="D5270" t="str">
        <f>HYPERLINK("http://service.sap.com/sap/support/notes/1901519","1901519")</f>
        <v>1901519</v>
      </c>
      <c r="E5270">
        <v>1</v>
      </c>
      <c r="F5270" t="s">
        <v>5353</v>
      </c>
    </row>
    <row r="5271" spans="1:6" x14ac:dyDescent="0.25">
      <c r="A5271" t="s">
        <v>5060</v>
      </c>
      <c r="B5271" t="s">
        <v>443</v>
      </c>
      <c r="C5271" t="s">
        <v>444</v>
      </c>
      <c r="D5271" t="str">
        <f>HYPERLINK("http://service.sap.com/sap/support/notes/1889904","1889904")</f>
        <v>1889904</v>
      </c>
      <c r="E5271">
        <v>1</v>
      </c>
      <c r="F5271" t="s">
        <v>5029</v>
      </c>
    </row>
    <row r="5272" spans="1:6" x14ac:dyDescent="0.25">
      <c r="A5272" t="s">
        <v>5060</v>
      </c>
      <c r="B5272" t="s">
        <v>443</v>
      </c>
      <c r="C5272" t="s">
        <v>444</v>
      </c>
      <c r="D5272" t="str">
        <f>HYPERLINK("http://service.sap.com/sap/support/notes/1893572","1893572")</f>
        <v>1893572</v>
      </c>
      <c r="E5272">
        <v>1</v>
      </c>
      <c r="F5272" t="s">
        <v>5354</v>
      </c>
    </row>
    <row r="5273" spans="1:6" x14ac:dyDescent="0.25">
      <c r="A5273" t="s">
        <v>5060</v>
      </c>
      <c r="B5273" t="s">
        <v>443</v>
      </c>
      <c r="C5273" t="s">
        <v>444</v>
      </c>
      <c r="D5273" t="str">
        <f>HYPERLINK("http://service.sap.com/sap/support/notes/1895548","1895548")</f>
        <v>1895548</v>
      </c>
      <c r="E5273">
        <v>1</v>
      </c>
      <c r="F5273" t="s">
        <v>5355</v>
      </c>
    </row>
    <row r="5274" spans="1:6" x14ac:dyDescent="0.25">
      <c r="A5274" t="s">
        <v>5060</v>
      </c>
      <c r="B5274" t="s">
        <v>443</v>
      </c>
      <c r="C5274" t="s">
        <v>444</v>
      </c>
      <c r="D5274" t="str">
        <f>HYPERLINK("http://service.sap.com/sap/support/notes/1895597","1895597")</f>
        <v>1895597</v>
      </c>
      <c r="E5274">
        <v>1</v>
      </c>
      <c r="F5274" t="s">
        <v>5356</v>
      </c>
    </row>
    <row r="5275" spans="1:6" x14ac:dyDescent="0.25">
      <c r="A5275" t="s">
        <v>5060</v>
      </c>
      <c r="B5275" t="s">
        <v>443</v>
      </c>
      <c r="C5275" t="s">
        <v>444</v>
      </c>
      <c r="D5275" t="str">
        <f>HYPERLINK("http://service.sap.com/sap/support/notes/1896579","1896579")</f>
        <v>1896579</v>
      </c>
      <c r="E5275">
        <v>1</v>
      </c>
      <c r="F5275" t="s">
        <v>5357</v>
      </c>
    </row>
    <row r="5276" spans="1:6" x14ac:dyDescent="0.25">
      <c r="A5276" t="s">
        <v>5060</v>
      </c>
      <c r="B5276" t="s">
        <v>443</v>
      </c>
      <c r="C5276" t="s">
        <v>444</v>
      </c>
      <c r="D5276" t="str">
        <f>HYPERLINK("http://service.sap.com/sap/support/notes/1897331","1897331")</f>
        <v>1897331</v>
      </c>
      <c r="E5276">
        <v>1</v>
      </c>
      <c r="F5276" t="s">
        <v>5358</v>
      </c>
    </row>
    <row r="5277" spans="1:6" x14ac:dyDescent="0.25">
      <c r="A5277" t="s">
        <v>5060</v>
      </c>
      <c r="B5277" t="s">
        <v>450</v>
      </c>
      <c r="C5277" t="s">
        <v>451</v>
      </c>
      <c r="D5277" t="str">
        <f>HYPERLINK("http://service.sap.com/sap/support/notes/1886831","1886831")</f>
        <v>1886831</v>
      </c>
      <c r="E5277">
        <v>1</v>
      </c>
      <c r="F5277" t="s">
        <v>5359</v>
      </c>
    </row>
    <row r="5278" spans="1:6" x14ac:dyDescent="0.25">
      <c r="A5278" t="s">
        <v>5060</v>
      </c>
      <c r="B5278" t="s">
        <v>450</v>
      </c>
      <c r="C5278" t="s">
        <v>451</v>
      </c>
      <c r="D5278" t="str">
        <f>HYPERLINK("http://service.sap.com/sap/support/notes/1891783","1891783")</f>
        <v>1891783</v>
      </c>
      <c r="E5278">
        <v>1</v>
      </c>
      <c r="F5278" t="s">
        <v>5360</v>
      </c>
    </row>
    <row r="5279" spans="1:6" x14ac:dyDescent="0.25">
      <c r="A5279" t="s">
        <v>5060</v>
      </c>
      <c r="B5279" t="s">
        <v>450</v>
      </c>
      <c r="C5279" t="s">
        <v>451</v>
      </c>
      <c r="D5279" t="str">
        <f>HYPERLINK("http://service.sap.com/sap/support/notes/1892464","1892464")</f>
        <v>1892464</v>
      </c>
      <c r="E5279">
        <v>1</v>
      </c>
      <c r="F5279" t="s">
        <v>5361</v>
      </c>
    </row>
    <row r="5280" spans="1:6" x14ac:dyDescent="0.25">
      <c r="A5280" t="s">
        <v>5060</v>
      </c>
      <c r="B5280" t="s">
        <v>450</v>
      </c>
      <c r="C5280" t="s">
        <v>451</v>
      </c>
      <c r="D5280" t="str">
        <f>HYPERLINK("http://service.sap.com/sap/support/notes/1895034","1895034")</f>
        <v>1895034</v>
      </c>
      <c r="E5280">
        <v>2</v>
      </c>
      <c r="F5280" t="s">
        <v>5362</v>
      </c>
    </row>
    <row r="5281" spans="1:6" x14ac:dyDescent="0.25">
      <c r="A5281" t="s">
        <v>5060</v>
      </c>
      <c r="B5281" t="s">
        <v>450</v>
      </c>
      <c r="C5281" t="s">
        <v>451</v>
      </c>
      <c r="D5281" t="str">
        <f>HYPERLINK("http://service.sap.com/sap/support/notes/1896687","1896687")</f>
        <v>1896687</v>
      </c>
      <c r="E5281">
        <v>1</v>
      </c>
      <c r="F5281" t="s">
        <v>5363</v>
      </c>
    </row>
    <row r="5282" spans="1:6" x14ac:dyDescent="0.25">
      <c r="A5282" t="s">
        <v>5060</v>
      </c>
      <c r="B5282" t="s">
        <v>450</v>
      </c>
      <c r="C5282" t="s">
        <v>451</v>
      </c>
      <c r="D5282" t="str">
        <f>HYPERLINK("http://service.sap.com/sap/support/notes/1898939","1898939")</f>
        <v>1898939</v>
      </c>
      <c r="E5282">
        <v>1</v>
      </c>
      <c r="F5282" t="s">
        <v>5364</v>
      </c>
    </row>
    <row r="5283" spans="1:6" x14ac:dyDescent="0.25">
      <c r="A5283" t="s">
        <v>5060</v>
      </c>
      <c r="B5283" t="s">
        <v>450</v>
      </c>
      <c r="C5283" t="s">
        <v>451</v>
      </c>
      <c r="D5283" t="str">
        <f>HYPERLINK("http://service.sap.com/sap/support/notes/1901016","1901016")</f>
        <v>1901016</v>
      </c>
      <c r="E5283">
        <v>1</v>
      </c>
      <c r="F5283" t="s">
        <v>5365</v>
      </c>
    </row>
    <row r="5284" spans="1:6" x14ac:dyDescent="0.25">
      <c r="A5284" t="s">
        <v>5060</v>
      </c>
      <c r="B5284" t="s">
        <v>450</v>
      </c>
      <c r="C5284" t="s">
        <v>451</v>
      </c>
      <c r="D5284" t="str">
        <f>HYPERLINK("http://service.sap.com/sap/support/notes/1901088","1901088")</f>
        <v>1901088</v>
      </c>
      <c r="E5284">
        <v>1</v>
      </c>
      <c r="F5284" t="s">
        <v>5366</v>
      </c>
    </row>
    <row r="5285" spans="1:6" x14ac:dyDescent="0.25">
      <c r="A5285" t="s">
        <v>5060</v>
      </c>
      <c r="B5285" t="s">
        <v>453</v>
      </c>
      <c r="C5285" t="s">
        <v>74</v>
      </c>
      <c r="D5285" t="str">
        <f>HYPERLINK("http://service.sap.com/sap/support/notes/1806175","1806175")</f>
        <v>1806175</v>
      </c>
      <c r="E5285">
        <v>2</v>
      </c>
      <c r="F5285" t="s">
        <v>5367</v>
      </c>
    </row>
    <row r="5286" spans="1:6" x14ac:dyDescent="0.25">
      <c r="A5286" t="s">
        <v>5060</v>
      </c>
      <c r="B5286" t="s">
        <v>453</v>
      </c>
      <c r="C5286" t="s">
        <v>74</v>
      </c>
      <c r="D5286" t="str">
        <f>HYPERLINK("http://service.sap.com/sap/support/notes/1898776","1898776")</f>
        <v>1898776</v>
      </c>
      <c r="E5286">
        <v>2</v>
      </c>
      <c r="F5286" t="s">
        <v>5368</v>
      </c>
    </row>
    <row r="5287" spans="1:6" x14ac:dyDescent="0.25">
      <c r="A5287" t="s">
        <v>5060</v>
      </c>
      <c r="B5287" t="s">
        <v>453</v>
      </c>
      <c r="C5287" t="s">
        <v>74</v>
      </c>
      <c r="D5287" t="str">
        <f>HYPERLINK("http://service.sap.com/sap/support/notes/1901370","1901370")</f>
        <v>1901370</v>
      </c>
      <c r="E5287">
        <v>1</v>
      </c>
      <c r="F5287" t="s">
        <v>5369</v>
      </c>
    </row>
    <row r="5288" spans="1:6" x14ac:dyDescent="0.25">
      <c r="A5288" t="s">
        <v>5060</v>
      </c>
      <c r="B5288" t="s">
        <v>453</v>
      </c>
      <c r="C5288" t="s">
        <v>74</v>
      </c>
      <c r="D5288" t="str">
        <f>HYPERLINK("http://service.sap.com/sap/support/notes/1902484","1902484")</f>
        <v>1902484</v>
      </c>
      <c r="E5288">
        <v>1</v>
      </c>
      <c r="F5288" t="s">
        <v>5370</v>
      </c>
    </row>
    <row r="5289" spans="1:6" x14ac:dyDescent="0.25">
      <c r="A5289" t="s">
        <v>5060</v>
      </c>
      <c r="B5289" t="s">
        <v>453</v>
      </c>
      <c r="C5289" t="s">
        <v>74</v>
      </c>
      <c r="D5289" t="str">
        <f>HYPERLINK("http://service.sap.com/sap/support/notes/1903607","1903607")</f>
        <v>1903607</v>
      </c>
      <c r="E5289">
        <v>1</v>
      </c>
      <c r="F5289" t="s">
        <v>5371</v>
      </c>
    </row>
    <row r="5290" spans="1:6" x14ac:dyDescent="0.25">
      <c r="A5290" t="s">
        <v>5060</v>
      </c>
      <c r="B5290" t="s">
        <v>4316</v>
      </c>
      <c r="C5290" t="s">
        <v>5036</v>
      </c>
      <c r="D5290" t="str">
        <f>HYPERLINK("http://service.sap.com/sap/support/notes/1891832","1891832")</f>
        <v>1891832</v>
      </c>
      <c r="E5290">
        <v>1</v>
      </c>
      <c r="F5290" t="s">
        <v>5372</v>
      </c>
    </row>
    <row r="5291" spans="1:6" x14ac:dyDescent="0.25">
      <c r="A5291" t="s">
        <v>5060</v>
      </c>
      <c r="B5291" t="s">
        <v>4316</v>
      </c>
      <c r="C5291" t="s">
        <v>5036</v>
      </c>
      <c r="D5291" t="str">
        <f>HYPERLINK("http://service.sap.com/sap/support/notes/1893805","1893805")</f>
        <v>1893805</v>
      </c>
      <c r="E5291">
        <v>1</v>
      </c>
      <c r="F5291" t="s">
        <v>5373</v>
      </c>
    </row>
    <row r="5292" spans="1:6" x14ac:dyDescent="0.25">
      <c r="A5292" t="s">
        <v>5060</v>
      </c>
      <c r="B5292" t="s">
        <v>4316</v>
      </c>
      <c r="C5292" t="s">
        <v>5036</v>
      </c>
      <c r="D5292" t="str">
        <f>HYPERLINK("http://service.sap.com/sap/support/notes/1898564","1898564")</f>
        <v>1898564</v>
      </c>
      <c r="E5292">
        <v>2</v>
      </c>
      <c r="F5292" t="s">
        <v>5374</v>
      </c>
    </row>
    <row r="5293" spans="1:6" x14ac:dyDescent="0.25">
      <c r="A5293" t="s">
        <v>5060</v>
      </c>
      <c r="B5293" t="s">
        <v>607</v>
      </c>
      <c r="C5293" t="s">
        <v>156</v>
      </c>
      <c r="D5293" t="str">
        <f>HYPERLINK("http://service.sap.com/sap/support/notes/1893484","1893484")</f>
        <v>1893484</v>
      </c>
      <c r="E5293">
        <v>1</v>
      </c>
      <c r="F5293" t="s">
        <v>5375</v>
      </c>
    </row>
    <row r="5294" spans="1:6" x14ac:dyDescent="0.25">
      <c r="A5294" t="s">
        <v>5060</v>
      </c>
      <c r="B5294" t="s">
        <v>607</v>
      </c>
      <c r="C5294" t="s">
        <v>156</v>
      </c>
      <c r="D5294" t="str">
        <f>HYPERLINK("http://service.sap.com/sap/support/notes/1898194","1898194")</f>
        <v>1898194</v>
      </c>
      <c r="E5294">
        <v>2</v>
      </c>
      <c r="F5294" t="s">
        <v>5376</v>
      </c>
    </row>
    <row r="5295" spans="1:6" x14ac:dyDescent="0.25">
      <c r="A5295" t="s">
        <v>5060</v>
      </c>
      <c r="B5295" t="s">
        <v>607</v>
      </c>
      <c r="C5295" t="s">
        <v>156</v>
      </c>
      <c r="D5295" t="str">
        <f>HYPERLINK("http://service.sap.com/sap/support/notes/1898307","1898307")</f>
        <v>1898307</v>
      </c>
      <c r="E5295">
        <v>1</v>
      </c>
      <c r="F5295" t="s">
        <v>5377</v>
      </c>
    </row>
    <row r="5296" spans="1:6" x14ac:dyDescent="0.25">
      <c r="A5296" t="s">
        <v>5060</v>
      </c>
      <c r="B5296" t="s">
        <v>457</v>
      </c>
      <c r="C5296" t="s">
        <v>458</v>
      </c>
      <c r="D5296" t="str">
        <f>HYPERLINK("http://service.sap.com/sap/support/notes/1831687","1831687")</f>
        <v>1831687</v>
      </c>
      <c r="E5296">
        <v>4</v>
      </c>
      <c r="F5296" t="s">
        <v>5378</v>
      </c>
    </row>
    <row r="5297" spans="1:6" x14ac:dyDescent="0.25">
      <c r="A5297" t="s">
        <v>5060</v>
      </c>
      <c r="B5297" t="s">
        <v>457</v>
      </c>
      <c r="C5297" t="s">
        <v>458</v>
      </c>
      <c r="D5297" t="str">
        <f>HYPERLINK("http://service.sap.com/sap/support/notes/1845541","1845541")</f>
        <v>1845541</v>
      </c>
      <c r="E5297">
        <v>2</v>
      </c>
      <c r="F5297" t="s">
        <v>5379</v>
      </c>
    </row>
    <row r="5298" spans="1:6" x14ac:dyDescent="0.25">
      <c r="A5298" t="s">
        <v>5060</v>
      </c>
      <c r="B5298" t="s">
        <v>457</v>
      </c>
      <c r="C5298" t="s">
        <v>458</v>
      </c>
      <c r="D5298" t="str">
        <f>HYPERLINK("http://service.sap.com/sap/support/notes/1853896","1853896")</f>
        <v>1853896</v>
      </c>
      <c r="E5298">
        <v>2</v>
      </c>
      <c r="F5298" t="s">
        <v>5380</v>
      </c>
    </row>
    <row r="5299" spans="1:6" x14ac:dyDescent="0.25">
      <c r="A5299" t="s">
        <v>5060</v>
      </c>
      <c r="B5299" t="s">
        <v>457</v>
      </c>
      <c r="C5299" t="s">
        <v>458</v>
      </c>
      <c r="D5299" t="str">
        <f>HYPERLINK("http://service.sap.com/sap/support/notes/1858070","1858070")</f>
        <v>1858070</v>
      </c>
      <c r="E5299">
        <v>3</v>
      </c>
      <c r="F5299" t="s">
        <v>5381</v>
      </c>
    </row>
    <row r="5300" spans="1:6" x14ac:dyDescent="0.25">
      <c r="A5300" t="s">
        <v>5060</v>
      </c>
      <c r="B5300" t="s">
        <v>457</v>
      </c>
      <c r="C5300" t="s">
        <v>458</v>
      </c>
      <c r="D5300" t="str">
        <f>HYPERLINK("http://service.sap.com/sap/support/notes/1865481","1865481")</f>
        <v>1865481</v>
      </c>
      <c r="E5300">
        <v>3</v>
      </c>
      <c r="F5300" t="s">
        <v>5382</v>
      </c>
    </row>
    <row r="5301" spans="1:6" x14ac:dyDescent="0.25">
      <c r="A5301" t="s">
        <v>5060</v>
      </c>
      <c r="B5301" t="s">
        <v>457</v>
      </c>
      <c r="C5301" t="s">
        <v>458</v>
      </c>
      <c r="D5301" t="str">
        <f>HYPERLINK("http://service.sap.com/sap/support/notes/1881325","1881325")</f>
        <v>1881325</v>
      </c>
      <c r="E5301">
        <v>2</v>
      </c>
      <c r="F5301" t="s">
        <v>5383</v>
      </c>
    </row>
    <row r="5302" spans="1:6" x14ac:dyDescent="0.25">
      <c r="A5302" t="s">
        <v>5060</v>
      </c>
      <c r="B5302" t="s">
        <v>457</v>
      </c>
      <c r="C5302" t="s">
        <v>458</v>
      </c>
      <c r="D5302" t="str">
        <f>HYPERLINK("http://service.sap.com/sap/support/notes/1901291","1901291")</f>
        <v>1901291</v>
      </c>
      <c r="E5302">
        <v>2</v>
      </c>
      <c r="F5302" t="s">
        <v>5384</v>
      </c>
    </row>
    <row r="5303" spans="1:6" x14ac:dyDescent="0.25">
      <c r="A5303" t="s">
        <v>5060</v>
      </c>
      <c r="B5303" t="s">
        <v>608</v>
      </c>
      <c r="C5303" t="s">
        <v>609</v>
      </c>
      <c r="D5303" t="str">
        <f>HYPERLINK("http://service.sap.com/sap/support/notes/1901936","1901936")</f>
        <v>1901936</v>
      </c>
      <c r="E5303">
        <v>2</v>
      </c>
      <c r="F5303" t="s">
        <v>5385</v>
      </c>
    </row>
    <row r="5304" spans="1:6" x14ac:dyDescent="0.25">
      <c r="A5304" t="s">
        <v>5060</v>
      </c>
      <c r="B5304" t="s">
        <v>608</v>
      </c>
      <c r="C5304" t="s">
        <v>609</v>
      </c>
      <c r="D5304" t="str">
        <f>HYPERLINK("http://service.sap.com/sap/support/notes/1904126","1904126")</f>
        <v>1904126</v>
      </c>
      <c r="E5304">
        <v>1</v>
      </c>
      <c r="F5304" t="s">
        <v>5386</v>
      </c>
    </row>
    <row r="5305" spans="1:6" x14ac:dyDescent="0.25">
      <c r="A5305" t="s">
        <v>5060</v>
      </c>
      <c r="B5305" t="s">
        <v>610</v>
      </c>
      <c r="C5305" t="s">
        <v>635</v>
      </c>
      <c r="D5305" t="str">
        <f>HYPERLINK("http://service.sap.com/sap/support/notes/1895590","1895590")</f>
        <v>1895590</v>
      </c>
      <c r="E5305">
        <v>1</v>
      </c>
      <c r="F5305" t="s">
        <v>5387</v>
      </c>
    </row>
    <row r="5306" spans="1:6" x14ac:dyDescent="0.25">
      <c r="A5306" t="s">
        <v>5060</v>
      </c>
      <c r="B5306" t="s">
        <v>626</v>
      </c>
      <c r="C5306" t="s">
        <v>654</v>
      </c>
      <c r="D5306" t="str">
        <f>HYPERLINK("http://service.sap.com/sap/support/notes/1826229","1826229")</f>
        <v>1826229</v>
      </c>
      <c r="E5306">
        <v>2</v>
      </c>
      <c r="F5306" t="s">
        <v>3221</v>
      </c>
    </row>
    <row r="5307" spans="1:6" x14ac:dyDescent="0.25">
      <c r="A5307" t="s">
        <v>5060</v>
      </c>
      <c r="B5307" t="s">
        <v>464</v>
      </c>
      <c r="C5307" t="s">
        <v>465</v>
      </c>
      <c r="D5307" t="str">
        <f>HYPERLINK("http://service.sap.com/sap/support/notes/1848778","1848778")</f>
        <v>1848778</v>
      </c>
      <c r="E5307">
        <v>6</v>
      </c>
      <c r="F5307" t="s">
        <v>5388</v>
      </c>
    </row>
    <row r="5308" spans="1:6" x14ac:dyDescent="0.25">
      <c r="A5308" t="s">
        <v>5060</v>
      </c>
      <c r="B5308" t="s">
        <v>464</v>
      </c>
      <c r="C5308" t="s">
        <v>465</v>
      </c>
      <c r="D5308" t="str">
        <f>HYPERLINK("http://service.sap.com/sap/support/notes/1856842","1856842")</f>
        <v>1856842</v>
      </c>
      <c r="E5308">
        <v>4</v>
      </c>
      <c r="F5308" t="s">
        <v>5389</v>
      </c>
    </row>
    <row r="5309" spans="1:6" x14ac:dyDescent="0.25">
      <c r="A5309" t="s">
        <v>5060</v>
      </c>
      <c r="B5309" t="s">
        <v>464</v>
      </c>
      <c r="C5309" t="s">
        <v>465</v>
      </c>
      <c r="D5309" t="str">
        <f>HYPERLINK("http://service.sap.com/sap/support/notes/1866186","1866186")</f>
        <v>1866186</v>
      </c>
      <c r="E5309">
        <v>2</v>
      </c>
      <c r="F5309" t="s">
        <v>5390</v>
      </c>
    </row>
    <row r="5310" spans="1:6" x14ac:dyDescent="0.25">
      <c r="A5310" t="s">
        <v>5060</v>
      </c>
      <c r="B5310" t="s">
        <v>464</v>
      </c>
      <c r="C5310" t="s">
        <v>465</v>
      </c>
      <c r="D5310" t="str">
        <f>HYPERLINK("http://service.sap.com/sap/support/notes/1884509","1884509")</f>
        <v>1884509</v>
      </c>
      <c r="E5310">
        <v>1</v>
      </c>
      <c r="F5310" t="s">
        <v>5391</v>
      </c>
    </row>
    <row r="5311" spans="1:6" x14ac:dyDescent="0.25">
      <c r="A5311" t="s">
        <v>5060</v>
      </c>
      <c r="B5311" t="s">
        <v>464</v>
      </c>
      <c r="C5311" t="s">
        <v>465</v>
      </c>
      <c r="D5311" t="str">
        <f>HYPERLINK("http://service.sap.com/sap/support/notes/1890471","1890471")</f>
        <v>1890471</v>
      </c>
      <c r="E5311">
        <v>5</v>
      </c>
      <c r="F5311" t="s">
        <v>5392</v>
      </c>
    </row>
    <row r="5312" spans="1:6" x14ac:dyDescent="0.25">
      <c r="A5312" t="s">
        <v>5060</v>
      </c>
      <c r="B5312" t="s">
        <v>464</v>
      </c>
      <c r="C5312" t="s">
        <v>465</v>
      </c>
      <c r="D5312" t="str">
        <f>HYPERLINK("http://service.sap.com/sap/support/notes/1893087","1893087")</f>
        <v>1893087</v>
      </c>
      <c r="E5312">
        <v>1</v>
      </c>
      <c r="F5312" t="s">
        <v>5393</v>
      </c>
    </row>
    <row r="5313" spans="1:6" x14ac:dyDescent="0.25">
      <c r="A5313" t="s">
        <v>5060</v>
      </c>
      <c r="B5313" t="s">
        <v>464</v>
      </c>
      <c r="C5313" t="s">
        <v>465</v>
      </c>
      <c r="D5313" t="str">
        <f>HYPERLINK("http://service.sap.com/sap/support/notes/1893754","1893754")</f>
        <v>1893754</v>
      </c>
      <c r="E5313">
        <v>3</v>
      </c>
      <c r="F5313" t="s">
        <v>5394</v>
      </c>
    </row>
    <row r="5314" spans="1:6" x14ac:dyDescent="0.25">
      <c r="A5314" t="s">
        <v>5060</v>
      </c>
      <c r="B5314" t="s">
        <v>464</v>
      </c>
      <c r="C5314" t="s">
        <v>465</v>
      </c>
      <c r="D5314" t="str">
        <f>HYPERLINK("http://service.sap.com/sap/support/notes/1894966","1894966")</f>
        <v>1894966</v>
      </c>
      <c r="E5314">
        <v>2</v>
      </c>
      <c r="F5314" t="s">
        <v>5395</v>
      </c>
    </row>
    <row r="5315" spans="1:6" x14ac:dyDescent="0.25">
      <c r="A5315" t="s">
        <v>5060</v>
      </c>
      <c r="B5315" t="s">
        <v>5396</v>
      </c>
      <c r="C5315" t="s">
        <v>156</v>
      </c>
    </row>
    <row r="5316" spans="1:6" x14ac:dyDescent="0.25">
      <c r="A5316" t="s">
        <v>5060</v>
      </c>
      <c r="B5316" t="s">
        <v>5397</v>
      </c>
      <c r="C5316" t="s">
        <v>5398</v>
      </c>
      <c r="D5316" t="str">
        <f>HYPERLINK("http://service.sap.com/sap/support/notes/1901610","1901610")</f>
        <v>1901610</v>
      </c>
      <c r="E5316">
        <v>1</v>
      </c>
      <c r="F5316" t="s">
        <v>5399</v>
      </c>
    </row>
    <row r="5317" spans="1:6" x14ac:dyDescent="0.25">
      <c r="A5317" t="s">
        <v>5060</v>
      </c>
      <c r="B5317" t="s">
        <v>670</v>
      </c>
      <c r="C5317" t="s">
        <v>671</v>
      </c>
    </row>
    <row r="5318" spans="1:6" x14ac:dyDescent="0.25">
      <c r="A5318" t="s">
        <v>5060</v>
      </c>
      <c r="B5318" t="s">
        <v>692</v>
      </c>
      <c r="C5318" t="s">
        <v>693</v>
      </c>
    </row>
    <row r="5319" spans="1:6" x14ac:dyDescent="0.25">
      <c r="A5319" t="s">
        <v>5060</v>
      </c>
      <c r="B5319" t="s">
        <v>5400</v>
      </c>
      <c r="C5319" t="s">
        <v>5401</v>
      </c>
      <c r="D5319" t="str">
        <f>HYPERLINK("http://service.sap.com/sap/support/notes/1894060","1894060")</f>
        <v>1894060</v>
      </c>
      <c r="E5319">
        <v>3</v>
      </c>
      <c r="F5319" t="s">
        <v>5402</v>
      </c>
    </row>
    <row r="5322" spans="1:6" x14ac:dyDescent="0.25">
      <c r="A5322" t="s">
        <v>5403</v>
      </c>
      <c r="B5322" t="s">
        <v>481</v>
      </c>
      <c r="C5322" t="s">
        <v>482</v>
      </c>
    </row>
    <row r="5323" spans="1:6" x14ac:dyDescent="0.25">
      <c r="A5323" t="s">
        <v>5403</v>
      </c>
      <c r="B5323" t="s">
        <v>639</v>
      </c>
      <c r="C5323" t="s">
        <v>640</v>
      </c>
    </row>
    <row r="5324" spans="1:6" x14ac:dyDescent="0.25">
      <c r="A5324" t="s">
        <v>5403</v>
      </c>
      <c r="B5324" t="s">
        <v>5404</v>
      </c>
      <c r="C5324" t="s">
        <v>5405</v>
      </c>
      <c r="D5324" t="str">
        <f>HYPERLINK("http://service.sap.com/sap/support/notes/1018868","1018868")</f>
        <v>1018868</v>
      </c>
      <c r="E5324">
        <v>5</v>
      </c>
      <c r="F5324" t="s">
        <v>5406</v>
      </c>
    </row>
    <row r="5325" spans="1:6" x14ac:dyDescent="0.25">
      <c r="A5325" t="s">
        <v>5403</v>
      </c>
      <c r="B5325" t="s">
        <v>5404</v>
      </c>
      <c r="C5325" t="s">
        <v>5405</v>
      </c>
      <c r="D5325" t="str">
        <f>HYPERLINK("http://service.sap.com/sap/support/notes/1706753","1706753")</f>
        <v>1706753</v>
      </c>
      <c r="E5325">
        <v>3</v>
      </c>
      <c r="F5325" t="s">
        <v>5407</v>
      </c>
    </row>
    <row r="5326" spans="1:6" x14ac:dyDescent="0.25">
      <c r="A5326" t="s">
        <v>5403</v>
      </c>
      <c r="B5326" t="s">
        <v>5404</v>
      </c>
      <c r="C5326" t="s">
        <v>5405</v>
      </c>
      <c r="D5326" t="str">
        <f>HYPERLINK("http://service.sap.com/sap/support/notes/1713184","1713184")</f>
        <v>1713184</v>
      </c>
      <c r="E5326">
        <v>4</v>
      </c>
      <c r="F5326" t="s">
        <v>5408</v>
      </c>
    </row>
    <row r="5327" spans="1:6" x14ac:dyDescent="0.25">
      <c r="A5327" t="s">
        <v>5403</v>
      </c>
      <c r="B5327" t="s">
        <v>487</v>
      </c>
      <c r="C5327" t="s">
        <v>488</v>
      </c>
    </row>
    <row r="5328" spans="1:6" x14ac:dyDescent="0.25">
      <c r="A5328" t="s">
        <v>5403</v>
      </c>
      <c r="B5328" t="s">
        <v>489</v>
      </c>
      <c r="C5328" t="s">
        <v>641</v>
      </c>
      <c r="D5328" t="str">
        <f>HYPERLINK("http://service.sap.com/sap/support/notes/1715527","1715527")</f>
        <v>1715527</v>
      </c>
      <c r="E5328">
        <v>1</v>
      </c>
      <c r="F5328" t="s">
        <v>5409</v>
      </c>
    </row>
    <row r="5329" spans="1:6" x14ac:dyDescent="0.25">
      <c r="A5329" t="s">
        <v>5403</v>
      </c>
      <c r="B5329" t="s">
        <v>489</v>
      </c>
      <c r="C5329" t="s">
        <v>641</v>
      </c>
      <c r="D5329" t="str">
        <f>HYPERLINK("http://service.sap.com/sap/support/notes/1717062","1717062")</f>
        <v>1717062</v>
      </c>
      <c r="E5329">
        <v>1</v>
      </c>
      <c r="F5329" t="s">
        <v>5410</v>
      </c>
    </row>
    <row r="5330" spans="1:6" x14ac:dyDescent="0.25">
      <c r="A5330" t="s">
        <v>5403</v>
      </c>
      <c r="B5330" t="s">
        <v>489</v>
      </c>
      <c r="C5330" t="s">
        <v>641</v>
      </c>
      <c r="D5330" t="str">
        <f>HYPERLINK("http://service.sap.com/sap/support/notes/1718238","1718238")</f>
        <v>1718238</v>
      </c>
      <c r="E5330">
        <v>1</v>
      </c>
      <c r="F5330" t="s">
        <v>5411</v>
      </c>
    </row>
    <row r="5331" spans="1:6" x14ac:dyDescent="0.25">
      <c r="A5331" t="s">
        <v>5403</v>
      </c>
      <c r="B5331" t="s">
        <v>489</v>
      </c>
      <c r="C5331" t="s">
        <v>641</v>
      </c>
      <c r="D5331" t="str">
        <f>HYPERLINK("http://service.sap.com/sap/support/notes/1718821","1718821")</f>
        <v>1718821</v>
      </c>
      <c r="E5331">
        <v>1</v>
      </c>
      <c r="F5331" t="s">
        <v>5412</v>
      </c>
    </row>
    <row r="5332" spans="1:6" x14ac:dyDescent="0.25">
      <c r="A5332" t="s">
        <v>5403</v>
      </c>
      <c r="B5332" t="s">
        <v>489</v>
      </c>
      <c r="C5332" t="s">
        <v>641</v>
      </c>
      <c r="D5332" t="str">
        <f>HYPERLINK("http://service.sap.com/sap/support/notes/1727500","1727500")</f>
        <v>1727500</v>
      </c>
      <c r="E5332">
        <v>1</v>
      </c>
      <c r="F5332" t="s">
        <v>5413</v>
      </c>
    </row>
    <row r="5333" spans="1:6" x14ac:dyDescent="0.25">
      <c r="A5333" t="s">
        <v>5403</v>
      </c>
      <c r="B5333" t="s">
        <v>489</v>
      </c>
      <c r="C5333" t="s">
        <v>641</v>
      </c>
      <c r="D5333" t="str">
        <f>HYPERLINK("http://service.sap.com/sap/support/notes/1727526","1727526")</f>
        <v>1727526</v>
      </c>
      <c r="E5333">
        <v>1</v>
      </c>
      <c r="F5333" t="s">
        <v>5414</v>
      </c>
    </row>
    <row r="5334" spans="1:6" x14ac:dyDescent="0.25">
      <c r="A5334" t="s">
        <v>5403</v>
      </c>
      <c r="B5334" t="s">
        <v>489</v>
      </c>
      <c r="C5334" t="s">
        <v>641</v>
      </c>
      <c r="D5334" t="str">
        <f>HYPERLINK("http://service.sap.com/sap/support/notes/1727769","1727769")</f>
        <v>1727769</v>
      </c>
      <c r="E5334">
        <v>1</v>
      </c>
      <c r="F5334" t="s">
        <v>5415</v>
      </c>
    </row>
    <row r="5335" spans="1:6" x14ac:dyDescent="0.25">
      <c r="A5335" t="s">
        <v>5403</v>
      </c>
      <c r="B5335" t="s">
        <v>489</v>
      </c>
      <c r="C5335" t="s">
        <v>641</v>
      </c>
      <c r="D5335" t="str">
        <f>HYPERLINK("http://service.sap.com/sap/support/notes/1728068","1728068")</f>
        <v>1728068</v>
      </c>
      <c r="E5335">
        <v>1</v>
      </c>
      <c r="F5335" t="s">
        <v>5416</v>
      </c>
    </row>
    <row r="5336" spans="1:6" x14ac:dyDescent="0.25">
      <c r="A5336" t="s">
        <v>5403</v>
      </c>
      <c r="B5336" t="s">
        <v>489</v>
      </c>
      <c r="C5336" t="s">
        <v>641</v>
      </c>
      <c r="D5336" t="str">
        <f>HYPERLINK("http://service.sap.com/sap/support/notes/1728072","1728072")</f>
        <v>1728072</v>
      </c>
      <c r="E5336">
        <v>1</v>
      </c>
      <c r="F5336" t="s">
        <v>5417</v>
      </c>
    </row>
    <row r="5337" spans="1:6" x14ac:dyDescent="0.25">
      <c r="A5337" t="s">
        <v>5403</v>
      </c>
      <c r="B5337" t="s">
        <v>489</v>
      </c>
      <c r="C5337" t="s">
        <v>641</v>
      </c>
      <c r="D5337" t="str">
        <f>HYPERLINK("http://service.sap.com/sap/support/notes/1728334","1728334")</f>
        <v>1728334</v>
      </c>
      <c r="E5337">
        <v>1</v>
      </c>
      <c r="F5337" t="s">
        <v>5418</v>
      </c>
    </row>
    <row r="5338" spans="1:6" x14ac:dyDescent="0.25">
      <c r="A5338" t="s">
        <v>5403</v>
      </c>
      <c r="B5338" t="s">
        <v>489</v>
      </c>
      <c r="C5338" t="s">
        <v>641</v>
      </c>
      <c r="D5338" t="str">
        <f>HYPERLINK("http://service.sap.com/sap/support/notes/1728684","1728684")</f>
        <v>1728684</v>
      </c>
      <c r="E5338">
        <v>1</v>
      </c>
      <c r="F5338" t="s">
        <v>5419</v>
      </c>
    </row>
    <row r="5339" spans="1:6" x14ac:dyDescent="0.25">
      <c r="A5339" t="s">
        <v>5403</v>
      </c>
      <c r="B5339" t="s">
        <v>490</v>
      </c>
      <c r="C5339" t="s">
        <v>491</v>
      </c>
      <c r="D5339" t="str">
        <f>HYPERLINK("http://service.sap.com/sap/support/notes/1723674","1723674")</f>
        <v>1723674</v>
      </c>
      <c r="E5339">
        <v>1</v>
      </c>
      <c r="F5339" t="s">
        <v>5420</v>
      </c>
    </row>
    <row r="5340" spans="1:6" x14ac:dyDescent="0.25">
      <c r="A5340" t="s">
        <v>5403</v>
      </c>
      <c r="B5340" t="s">
        <v>722</v>
      </c>
      <c r="C5340" t="s">
        <v>723</v>
      </c>
    </row>
    <row r="5341" spans="1:6" x14ac:dyDescent="0.25">
      <c r="A5341" t="s">
        <v>5403</v>
      </c>
      <c r="B5341" t="s">
        <v>724</v>
      </c>
      <c r="C5341" t="s">
        <v>648</v>
      </c>
      <c r="D5341" t="str">
        <f>HYPERLINK("http://service.sap.com/sap/support/notes/1711889","1711889")</f>
        <v>1711889</v>
      </c>
      <c r="E5341">
        <v>1</v>
      </c>
      <c r="F5341" t="s">
        <v>5421</v>
      </c>
    </row>
    <row r="5342" spans="1:6" x14ac:dyDescent="0.25">
      <c r="A5342" t="s">
        <v>5403</v>
      </c>
      <c r="B5342" t="s">
        <v>493</v>
      </c>
      <c r="C5342" t="s">
        <v>494</v>
      </c>
    </row>
    <row r="5343" spans="1:6" x14ac:dyDescent="0.25">
      <c r="A5343" t="s">
        <v>5403</v>
      </c>
      <c r="B5343" t="s">
        <v>495</v>
      </c>
      <c r="C5343" t="s">
        <v>655</v>
      </c>
      <c r="D5343" t="str">
        <f>HYPERLINK("http://service.sap.com/sap/support/notes/1675632","1675632")</f>
        <v>1675632</v>
      </c>
      <c r="E5343">
        <v>7</v>
      </c>
      <c r="F5343" t="s">
        <v>5422</v>
      </c>
    </row>
    <row r="5344" spans="1:6" x14ac:dyDescent="0.25">
      <c r="A5344" t="s">
        <v>5403</v>
      </c>
      <c r="B5344" t="s">
        <v>495</v>
      </c>
      <c r="C5344" t="s">
        <v>655</v>
      </c>
      <c r="D5344" t="str">
        <f>HYPERLINK("http://service.sap.com/sap/support/notes/1706835","1706835")</f>
        <v>1706835</v>
      </c>
      <c r="E5344">
        <v>1</v>
      </c>
      <c r="F5344" t="s">
        <v>1567</v>
      </c>
    </row>
    <row r="5345" spans="1:6" x14ac:dyDescent="0.25">
      <c r="A5345" t="s">
        <v>5403</v>
      </c>
      <c r="B5345" t="s">
        <v>495</v>
      </c>
      <c r="C5345" t="s">
        <v>655</v>
      </c>
      <c r="D5345" t="str">
        <f>HYPERLINK("http://service.sap.com/sap/support/notes/1711514","1711514")</f>
        <v>1711514</v>
      </c>
      <c r="E5345">
        <v>3</v>
      </c>
      <c r="F5345" t="s">
        <v>5423</v>
      </c>
    </row>
    <row r="5346" spans="1:6" x14ac:dyDescent="0.25">
      <c r="A5346" t="s">
        <v>5403</v>
      </c>
      <c r="B5346" t="s">
        <v>495</v>
      </c>
      <c r="C5346" t="s">
        <v>655</v>
      </c>
      <c r="D5346" t="str">
        <f>HYPERLINK("http://service.sap.com/sap/support/notes/1713395","1713395")</f>
        <v>1713395</v>
      </c>
      <c r="E5346">
        <v>1</v>
      </c>
      <c r="F5346" t="s">
        <v>5424</v>
      </c>
    </row>
    <row r="5347" spans="1:6" x14ac:dyDescent="0.25">
      <c r="A5347" t="s">
        <v>5403</v>
      </c>
      <c r="B5347" t="s">
        <v>495</v>
      </c>
      <c r="C5347" t="s">
        <v>655</v>
      </c>
      <c r="D5347" t="str">
        <f>HYPERLINK("http://service.sap.com/sap/support/notes/1724134","1724134")</f>
        <v>1724134</v>
      </c>
      <c r="E5347">
        <v>1</v>
      </c>
      <c r="F5347" t="s">
        <v>5425</v>
      </c>
    </row>
    <row r="5348" spans="1:6" x14ac:dyDescent="0.25">
      <c r="A5348" t="s">
        <v>5403</v>
      </c>
      <c r="B5348" t="s">
        <v>495</v>
      </c>
      <c r="C5348" t="s">
        <v>655</v>
      </c>
      <c r="D5348" t="str">
        <f>HYPERLINK("http://service.sap.com/sap/support/notes/1725532","1725532")</f>
        <v>1725532</v>
      </c>
      <c r="E5348">
        <v>3</v>
      </c>
      <c r="F5348" t="s">
        <v>5426</v>
      </c>
    </row>
    <row r="5349" spans="1:6" x14ac:dyDescent="0.25">
      <c r="A5349" t="s">
        <v>5403</v>
      </c>
      <c r="B5349" t="s">
        <v>497</v>
      </c>
      <c r="C5349" t="s">
        <v>498</v>
      </c>
      <c r="D5349" t="str">
        <f>HYPERLINK("http://service.sap.com/sap/support/notes/1703229","1703229")</f>
        <v>1703229</v>
      </c>
      <c r="E5349">
        <v>3</v>
      </c>
      <c r="F5349" t="s">
        <v>5427</v>
      </c>
    </row>
    <row r="5350" spans="1:6" x14ac:dyDescent="0.25">
      <c r="A5350" t="s">
        <v>5403</v>
      </c>
      <c r="B5350" t="s">
        <v>497</v>
      </c>
      <c r="C5350" t="s">
        <v>498</v>
      </c>
      <c r="D5350" t="str">
        <f>HYPERLINK("http://service.sap.com/sap/support/notes/1710830","1710830")</f>
        <v>1710830</v>
      </c>
      <c r="E5350">
        <v>1</v>
      </c>
      <c r="F5350" t="s">
        <v>5428</v>
      </c>
    </row>
    <row r="5351" spans="1:6" x14ac:dyDescent="0.25">
      <c r="A5351" t="s">
        <v>5403</v>
      </c>
      <c r="B5351" t="s">
        <v>497</v>
      </c>
      <c r="C5351" t="s">
        <v>498</v>
      </c>
      <c r="D5351" t="str">
        <f>HYPERLINK("http://service.sap.com/sap/support/notes/1711239","1711239")</f>
        <v>1711239</v>
      </c>
      <c r="E5351">
        <v>2</v>
      </c>
      <c r="F5351" t="s">
        <v>5429</v>
      </c>
    </row>
    <row r="5352" spans="1:6" x14ac:dyDescent="0.25">
      <c r="A5352" t="s">
        <v>5403</v>
      </c>
      <c r="B5352" t="s">
        <v>497</v>
      </c>
      <c r="C5352" t="s">
        <v>498</v>
      </c>
      <c r="D5352" t="str">
        <f>HYPERLINK("http://service.sap.com/sap/support/notes/1712071","1712071")</f>
        <v>1712071</v>
      </c>
      <c r="E5352">
        <v>4</v>
      </c>
      <c r="F5352" t="s">
        <v>5430</v>
      </c>
    </row>
    <row r="5353" spans="1:6" x14ac:dyDescent="0.25">
      <c r="A5353" t="s">
        <v>5403</v>
      </c>
      <c r="B5353" t="s">
        <v>497</v>
      </c>
      <c r="C5353" t="s">
        <v>498</v>
      </c>
      <c r="D5353" t="str">
        <f>HYPERLINK("http://service.sap.com/sap/support/notes/1712154","1712154")</f>
        <v>1712154</v>
      </c>
      <c r="E5353">
        <v>4</v>
      </c>
      <c r="F5353" t="s">
        <v>5431</v>
      </c>
    </row>
    <row r="5354" spans="1:6" x14ac:dyDescent="0.25">
      <c r="A5354" t="s">
        <v>5403</v>
      </c>
      <c r="B5354" t="s">
        <v>497</v>
      </c>
      <c r="C5354" t="s">
        <v>498</v>
      </c>
      <c r="D5354" t="str">
        <f>HYPERLINK("http://service.sap.com/sap/support/notes/1712292","1712292")</f>
        <v>1712292</v>
      </c>
      <c r="E5354">
        <v>2</v>
      </c>
      <c r="F5354" t="s">
        <v>5432</v>
      </c>
    </row>
    <row r="5355" spans="1:6" x14ac:dyDescent="0.25">
      <c r="A5355" t="s">
        <v>5403</v>
      </c>
      <c r="B5355" t="s">
        <v>497</v>
      </c>
      <c r="C5355" t="s">
        <v>498</v>
      </c>
      <c r="D5355" t="str">
        <f>HYPERLINK("http://service.sap.com/sap/support/notes/1712962","1712962")</f>
        <v>1712962</v>
      </c>
      <c r="E5355">
        <v>1</v>
      </c>
      <c r="F5355" t="s">
        <v>5433</v>
      </c>
    </row>
    <row r="5356" spans="1:6" x14ac:dyDescent="0.25">
      <c r="A5356" t="s">
        <v>5403</v>
      </c>
      <c r="B5356" t="s">
        <v>497</v>
      </c>
      <c r="C5356" t="s">
        <v>498</v>
      </c>
      <c r="D5356" t="str">
        <f>HYPERLINK("http://service.sap.com/sap/support/notes/1715068","1715068")</f>
        <v>1715068</v>
      </c>
      <c r="E5356">
        <v>1</v>
      </c>
      <c r="F5356" t="s">
        <v>5434</v>
      </c>
    </row>
    <row r="5357" spans="1:6" x14ac:dyDescent="0.25">
      <c r="A5357" t="s">
        <v>5403</v>
      </c>
      <c r="B5357" t="s">
        <v>497</v>
      </c>
      <c r="C5357" t="s">
        <v>498</v>
      </c>
      <c r="D5357" t="str">
        <f>HYPERLINK("http://service.sap.com/sap/support/notes/1715673","1715673")</f>
        <v>1715673</v>
      </c>
      <c r="E5357">
        <v>1</v>
      </c>
      <c r="F5357" t="s">
        <v>5435</v>
      </c>
    </row>
    <row r="5358" spans="1:6" x14ac:dyDescent="0.25">
      <c r="A5358" t="s">
        <v>5403</v>
      </c>
      <c r="B5358" t="s">
        <v>497</v>
      </c>
      <c r="C5358" t="s">
        <v>498</v>
      </c>
      <c r="D5358" t="str">
        <f>HYPERLINK("http://service.sap.com/sap/support/notes/1715741","1715741")</f>
        <v>1715741</v>
      </c>
      <c r="E5358">
        <v>1</v>
      </c>
      <c r="F5358" t="s">
        <v>5436</v>
      </c>
    </row>
    <row r="5359" spans="1:6" x14ac:dyDescent="0.25">
      <c r="A5359" t="s">
        <v>5403</v>
      </c>
      <c r="B5359" t="s">
        <v>497</v>
      </c>
      <c r="C5359" t="s">
        <v>498</v>
      </c>
      <c r="D5359" t="str">
        <f>HYPERLINK("http://service.sap.com/sap/support/notes/1717316","1717316")</f>
        <v>1717316</v>
      </c>
      <c r="E5359">
        <v>2</v>
      </c>
      <c r="F5359" t="s">
        <v>5437</v>
      </c>
    </row>
    <row r="5360" spans="1:6" x14ac:dyDescent="0.25">
      <c r="A5360" t="s">
        <v>5403</v>
      </c>
      <c r="B5360" t="s">
        <v>497</v>
      </c>
      <c r="C5360" t="s">
        <v>498</v>
      </c>
      <c r="D5360" t="str">
        <f>HYPERLINK("http://service.sap.com/sap/support/notes/1718677","1718677")</f>
        <v>1718677</v>
      </c>
      <c r="E5360">
        <v>2</v>
      </c>
      <c r="F5360" t="s">
        <v>5438</v>
      </c>
    </row>
    <row r="5361" spans="1:6" x14ac:dyDescent="0.25">
      <c r="A5361" t="s">
        <v>5403</v>
      </c>
      <c r="B5361" t="s">
        <v>497</v>
      </c>
      <c r="C5361" t="s">
        <v>498</v>
      </c>
      <c r="D5361" t="str">
        <f>HYPERLINK("http://service.sap.com/sap/support/notes/1719034","1719034")</f>
        <v>1719034</v>
      </c>
      <c r="E5361">
        <v>1</v>
      </c>
      <c r="F5361" t="s">
        <v>5439</v>
      </c>
    </row>
    <row r="5362" spans="1:6" x14ac:dyDescent="0.25">
      <c r="A5362" t="s">
        <v>5403</v>
      </c>
      <c r="B5362" t="s">
        <v>497</v>
      </c>
      <c r="C5362" t="s">
        <v>498</v>
      </c>
      <c r="D5362" t="str">
        <f>HYPERLINK("http://service.sap.com/sap/support/notes/1719206","1719206")</f>
        <v>1719206</v>
      </c>
      <c r="E5362">
        <v>1</v>
      </c>
      <c r="F5362" t="s">
        <v>5440</v>
      </c>
    </row>
    <row r="5363" spans="1:6" x14ac:dyDescent="0.25">
      <c r="A5363" t="s">
        <v>5403</v>
      </c>
      <c r="B5363" t="s">
        <v>497</v>
      </c>
      <c r="C5363" t="s">
        <v>498</v>
      </c>
      <c r="D5363" t="str">
        <f>HYPERLINK("http://service.sap.com/sap/support/notes/1719590","1719590")</f>
        <v>1719590</v>
      </c>
      <c r="E5363">
        <v>1</v>
      </c>
      <c r="F5363" t="s">
        <v>5441</v>
      </c>
    </row>
    <row r="5364" spans="1:6" x14ac:dyDescent="0.25">
      <c r="A5364" t="s">
        <v>5403</v>
      </c>
      <c r="B5364" t="s">
        <v>497</v>
      </c>
      <c r="C5364" t="s">
        <v>498</v>
      </c>
      <c r="D5364" t="str">
        <f>HYPERLINK("http://service.sap.com/sap/support/notes/1721160","1721160")</f>
        <v>1721160</v>
      </c>
      <c r="E5364">
        <v>3</v>
      </c>
      <c r="F5364" t="s">
        <v>5442</v>
      </c>
    </row>
    <row r="5365" spans="1:6" x14ac:dyDescent="0.25">
      <c r="A5365" t="s">
        <v>5403</v>
      </c>
      <c r="B5365" t="s">
        <v>497</v>
      </c>
      <c r="C5365" t="s">
        <v>498</v>
      </c>
      <c r="D5365" t="str">
        <f>HYPERLINK("http://service.sap.com/sap/support/notes/1722093","1722093")</f>
        <v>1722093</v>
      </c>
      <c r="E5365">
        <v>2</v>
      </c>
      <c r="F5365" t="s">
        <v>5443</v>
      </c>
    </row>
    <row r="5366" spans="1:6" x14ac:dyDescent="0.25">
      <c r="A5366" t="s">
        <v>5403</v>
      </c>
      <c r="B5366" t="s">
        <v>497</v>
      </c>
      <c r="C5366" t="s">
        <v>498</v>
      </c>
      <c r="D5366" t="str">
        <f>HYPERLINK("http://service.sap.com/sap/support/notes/1724985","1724985")</f>
        <v>1724985</v>
      </c>
      <c r="E5366">
        <v>1</v>
      </c>
      <c r="F5366" t="s">
        <v>5444</v>
      </c>
    </row>
    <row r="5367" spans="1:6" x14ac:dyDescent="0.25">
      <c r="A5367" t="s">
        <v>5403</v>
      </c>
      <c r="B5367" t="s">
        <v>497</v>
      </c>
      <c r="C5367" t="s">
        <v>498</v>
      </c>
      <c r="D5367" t="str">
        <f>HYPERLINK("http://service.sap.com/sap/support/notes/1725117","1725117")</f>
        <v>1725117</v>
      </c>
      <c r="E5367">
        <v>1</v>
      </c>
      <c r="F5367" t="s">
        <v>5445</v>
      </c>
    </row>
    <row r="5368" spans="1:6" x14ac:dyDescent="0.25">
      <c r="A5368" t="s">
        <v>5403</v>
      </c>
      <c r="B5368" t="s">
        <v>497</v>
      </c>
      <c r="C5368" t="s">
        <v>498</v>
      </c>
      <c r="D5368" t="str">
        <f>HYPERLINK("http://service.sap.com/sap/support/notes/1725649","1725649")</f>
        <v>1725649</v>
      </c>
      <c r="E5368">
        <v>2</v>
      </c>
      <c r="F5368" t="s">
        <v>5446</v>
      </c>
    </row>
    <row r="5369" spans="1:6" x14ac:dyDescent="0.25">
      <c r="A5369" t="s">
        <v>5403</v>
      </c>
      <c r="B5369" t="s">
        <v>497</v>
      </c>
      <c r="C5369" t="s">
        <v>498</v>
      </c>
      <c r="D5369" t="str">
        <f>HYPERLINK("http://service.sap.com/sap/support/notes/1726117","1726117")</f>
        <v>1726117</v>
      </c>
      <c r="E5369">
        <v>1</v>
      </c>
      <c r="F5369" t="s">
        <v>5447</v>
      </c>
    </row>
    <row r="5370" spans="1:6" x14ac:dyDescent="0.25">
      <c r="A5370" t="s">
        <v>5403</v>
      </c>
      <c r="B5370" t="s">
        <v>497</v>
      </c>
      <c r="C5370" t="s">
        <v>498</v>
      </c>
      <c r="D5370" t="str">
        <f>HYPERLINK("http://service.sap.com/sap/support/notes/1726348","1726348")</f>
        <v>1726348</v>
      </c>
      <c r="E5370">
        <v>1</v>
      </c>
      <c r="F5370" t="s">
        <v>5448</v>
      </c>
    </row>
    <row r="5371" spans="1:6" x14ac:dyDescent="0.25">
      <c r="A5371" t="s">
        <v>5403</v>
      </c>
      <c r="B5371" t="s">
        <v>497</v>
      </c>
      <c r="C5371" t="s">
        <v>498</v>
      </c>
      <c r="D5371" t="str">
        <f>HYPERLINK("http://service.sap.com/sap/support/notes/1726550","1726550")</f>
        <v>1726550</v>
      </c>
      <c r="E5371">
        <v>1</v>
      </c>
      <c r="F5371" t="s">
        <v>5449</v>
      </c>
    </row>
    <row r="5372" spans="1:6" x14ac:dyDescent="0.25">
      <c r="A5372" t="s">
        <v>5403</v>
      </c>
      <c r="B5372" t="s">
        <v>497</v>
      </c>
      <c r="C5372" t="s">
        <v>498</v>
      </c>
      <c r="D5372" t="str">
        <f>HYPERLINK("http://service.sap.com/sap/support/notes/1726782","1726782")</f>
        <v>1726782</v>
      </c>
      <c r="E5372">
        <v>1</v>
      </c>
      <c r="F5372" t="s">
        <v>5450</v>
      </c>
    </row>
    <row r="5373" spans="1:6" x14ac:dyDescent="0.25">
      <c r="A5373" t="s">
        <v>5403</v>
      </c>
      <c r="B5373" t="s">
        <v>497</v>
      </c>
      <c r="C5373" t="s">
        <v>498</v>
      </c>
      <c r="D5373" t="str">
        <f>HYPERLINK("http://service.sap.com/sap/support/notes/1728566","1728566")</f>
        <v>1728566</v>
      </c>
      <c r="E5373">
        <v>1</v>
      </c>
      <c r="F5373" t="s">
        <v>5451</v>
      </c>
    </row>
    <row r="5374" spans="1:6" x14ac:dyDescent="0.25">
      <c r="A5374" t="s">
        <v>5403</v>
      </c>
      <c r="B5374" t="s">
        <v>497</v>
      </c>
      <c r="C5374" t="s">
        <v>498</v>
      </c>
      <c r="D5374" t="str">
        <f>HYPERLINK("http://service.sap.com/sap/support/notes/1728582","1728582")</f>
        <v>1728582</v>
      </c>
      <c r="E5374">
        <v>1</v>
      </c>
      <c r="F5374" t="s">
        <v>5452</v>
      </c>
    </row>
    <row r="5375" spans="1:6" x14ac:dyDescent="0.25">
      <c r="A5375" t="s">
        <v>5403</v>
      </c>
      <c r="B5375" t="s">
        <v>497</v>
      </c>
      <c r="C5375" t="s">
        <v>498</v>
      </c>
      <c r="D5375" t="str">
        <f>HYPERLINK("http://service.sap.com/sap/support/notes/1729515","1729515")</f>
        <v>1729515</v>
      </c>
      <c r="E5375">
        <v>2</v>
      </c>
      <c r="F5375" t="s">
        <v>5453</v>
      </c>
    </row>
    <row r="5376" spans="1:6" x14ac:dyDescent="0.25">
      <c r="A5376" t="s">
        <v>5403</v>
      </c>
      <c r="B5376" t="s">
        <v>656</v>
      </c>
      <c r="C5376" t="s">
        <v>657</v>
      </c>
      <c r="D5376" t="str">
        <f>HYPERLINK("http://service.sap.com/sap/support/notes/1673014","1673014")</f>
        <v>1673014</v>
      </c>
      <c r="E5376">
        <v>2</v>
      </c>
      <c r="F5376" t="s">
        <v>5454</v>
      </c>
    </row>
    <row r="5377" spans="1:6" x14ac:dyDescent="0.25">
      <c r="A5377" t="s">
        <v>5403</v>
      </c>
      <c r="B5377" t="s">
        <v>656</v>
      </c>
      <c r="C5377" t="s">
        <v>657</v>
      </c>
      <c r="D5377" t="str">
        <f>HYPERLINK("http://service.sap.com/sap/support/notes/1698260","1698260")</f>
        <v>1698260</v>
      </c>
      <c r="E5377">
        <v>1</v>
      </c>
      <c r="F5377" t="s">
        <v>5455</v>
      </c>
    </row>
    <row r="5378" spans="1:6" x14ac:dyDescent="0.25">
      <c r="A5378" t="s">
        <v>5403</v>
      </c>
      <c r="B5378" t="s">
        <v>656</v>
      </c>
      <c r="C5378" t="s">
        <v>657</v>
      </c>
      <c r="D5378" t="str">
        <f>HYPERLINK("http://service.sap.com/sap/support/notes/1703375","1703375")</f>
        <v>1703375</v>
      </c>
      <c r="E5378">
        <v>3</v>
      </c>
      <c r="F5378" t="s">
        <v>5456</v>
      </c>
    </row>
    <row r="5379" spans="1:6" x14ac:dyDescent="0.25">
      <c r="A5379" t="s">
        <v>5403</v>
      </c>
      <c r="B5379" t="s">
        <v>656</v>
      </c>
      <c r="C5379" t="s">
        <v>657</v>
      </c>
      <c r="D5379" t="str">
        <f>HYPERLINK("http://service.sap.com/sap/support/notes/1708218","1708218")</f>
        <v>1708218</v>
      </c>
      <c r="E5379">
        <v>2</v>
      </c>
      <c r="F5379" t="s">
        <v>5457</v>
      </c>
    </row>
    <row r="5380" spans="1:6" x14ac:dyDescent="0.25">
      <c r="A5380" t="s">
        <v>5403</v>
      </c>
      <c r="B5380" t="s">
        <v>656</v>
      </c>
      <c r="C5380" t="s">
        <v>657</v>
      </c>
      <c r="D5380" t="str">
        <f>HYPERLINK("http://service.sap.com/sap/support/notes/1709579","1709579")</f>
        <v>1709579</v>
      </c>
      <c r="E5380">
        <v>2</v>
      </c>
      <c r="F5380" t="s">
        <v>5458</v>
      </c>
    </row>
    <row r="5381" spans="1:6" x14ac:dyDescent="0.25">
      <c r="A5381" t="s">
        <v>5403</v>
      </c>
      <c r="B5381" t="s">
        <v>656</v>
      </c>
      <c r="C5381" t="s">
        <v>657</v>
      </c>
      <c r="D5381" t="str">
        <f>HYPERLINK("http://service.sap.com/sap/support/notes/1709752","1709752")</f>
        <v>1709752</v>
      </c>
      <c r="E5381">
        <v>3</v>
      </c>
      <c r="F5381" t="s">
        <v>5459</v>
      </c>
    </row>
    <row r="5382" spans="1:6" x14ac:dyDescent="0.25">
      <c r="A5382" t="s">
        <v>5403</v>
      </c>
      <c r="B5382" t="s">
        <v>656</v>
      </c>
      <c r="C5382" t="s">
        <v>657</v>
      </c>
      <c r="D5382" t="str">
        <f>HYPERLINK("http://service.sap.com/sap/support/notes/1710188","1710188")</f>
        <v>1710188</v>
      </c>
      <c r="E5382">
        <v>1</v>
      </c>
      <c r="F5382" t="s">
        <v>5460</v>
      </c>
    </row>
    <row r="5383" spans="1:6" x14ac:dyDescent="0.25">
      <c r="A5383" t="s">
        <v>5403</v>
      </c>
      <c r="B5383" t="s">
        <v>656</v>
      </c>
      <c r="C5383" t="s">
        <v>657</v>
      </c>
      <c r="D5383" t="str">
        <f>HYPERLINK("http://service.sap.com/sap/support/notes/1710418","1710418")</f>
        <v>1710418</v>
      </c>
      <c r="E5383">
        <v>2</v>
      </c>
      <c r="F5383" t="s">
        <v>5461</v>
      </c>
    </row>
    <row r="5384" spans="1:6" x14ac:dyDescent="0.25">
      <c r="A5384" t="s">
        <v>5403</v>
      </c>
      <c r="B5384" t="s">
        <v>656</v>
      </c>
      <c r="C5384" t="s">
        <v>657</v>
      </c>
      <c r="D5384" t="str">
        <f>HYPERLINK("http://service.sap.com/sap/support/notes/1710878","1710878")</f>
        <v>1710878</v>
      </c>
      <c r="E5384">
        <v>2</v>
      </c>
      <c r="F5384" t="s">
        <v>5462</v>
      </c>
    </row>
    <row r="5385" spans="1:6" x14ac:dyDescent="0.25">
      <c r="A5385" t="s">
        <v>5403</v>
      </c>
      <c r="B5385" t="s">
        <v>656</v>
      </c>
      <c r="C5385" t="s">
        <v>657</v>
      </c>
      <c r="D5385" t="str">
        <f>HYPERLINK("http://service.sap.com/sap/support/notes/1711002","1711002")</f>
        <v>1711002</v>
      </c>
      <c r="E5385">
        <v>2</v>
      </c>
      <c r="F5385" t="s">
        <v>5463</v>
      </c>
    </row>
    <row r="5386" spans="1:6" x14ac:dyDescent="0.25">
      <c r="A5386" t="s">
        <v>5403</v>
      </c>
      <c r="B5386" t="s">
        <v>656</v>
      </c>
      <c r="C5386" t="s">
        <v>657</v>
      </c>
      <c r="D5386" t="str">
        <f>HYPERLINK("http://service.sap.com/sap/support/notes/1711838","1711838")</f>
        <v>1711838</v>
      </c>
      <c r="E5386">
        <v>1</v>
      </c>
      <c r="F5386" t="s">
        <v>5464</v>
      </c>
    </row>
    <row r="5387" spans="1:6" x14ac:dyDescent="0.25">
      <c r="A5387" t="s">
        <v>5403</v>
      </c>
      <c r="B5387" t="s">
        <v>656</v>
      </c>
      <c r="C5387" t="s">
        <v>657</v>
      </c>
      <c r="D5387" t="str">
        <f>HYPERLINK("http://service.sap.com/sap/support/notes/1711921","1711921")</f>
        <v>1711921</v>
      </c>
      <c r="E5387">
        <v>2</v>
      </c>
      <c r="F5387" t="s">
        <v>5465</v>
      </c>
    </row>
    <row r="5388" spans="1:6" x14ac:dyDescent="0.25">
      <c r="A5388" t="s">
        <v>5403</v>
      </c>
      <c r="B5388" t="s">
        <v>656</v>
      </c>
      <c r="C5388" t="s">
        <v>657</v>
      </c>
      <c r="D5388" t="str">
        <f>HYPERLINK("http://service.sap.com/sap/support/notes/1712876","1712876")</f>
        <v>1712876</v>
      </c>
      <c r="E5388">
        <v>2</v>
      </c>
      <c r="F5388" t="s">
        <v>5466</v>
      </c>
    </row>
    <row r="5389" spans="1:6" x14ac:dyDescent="0.25">
      <c r="A5389" t="s">
        <v>5403</v>
      </c>
      <c r="B5389" t="s">
        <v>656</v>
      </c>
      <c r="C5389" t="s">
        <v>657</v>
      </c>
      <c r="D5389" t="str">
        <f>HYPERLINK("http://service.sap.com/sap/support/notes/1714756","1714756")</f>
        <v>1714756</v>
      </c>
      <c r="E5389">
        <v>2</v>
      </c>
      <c r="F5389" t="s">
        <v>5467</v>
      </c>
    </row>
    <row r="5390" spans="1:6" x14ac:dyDescent="0.25">
      <c r="A5390" t="s">
        <v>5403</v>
      </c>
      <c r="B5390" t="s">
        <v>656</v>
      </c>
      <c r="C5390" t="s">
        <v>657</v>
      </c>
      <c r="D5390" t="str">
        <f>HYPERLINK("http://service.sap.com/sap/support/notes/1715858","1715858")</f>
        <v>1715858</v>
      </c>
      <c r="E5390">
        <v>1</v>
      </c>
      <c r="F5390" t="s">
        <v>5468</v>
      </c>
    </row>
    <row r="5391" spans="1:6" x14ac:dyDescent="0.25">
      <c r="A5391" t="s">
        <v>5403</v>
      </c>
      <c r="B5391" t="s">
        <v>656</v>
      </c>
      <c r="C5391" t="s">
        <v>657</v>
      </c>
      <c r="D5391" t="str">
        <f>HYPERLINK("http://service.sap.com/sap/support/notes/1717258","1717258")</f>
        <v>1717258</v>
      </c>
      <c r="E5391">
        <v>2</v>
      </c>
      <c r="F5391" t="s">
        <v>5469</v>
      </c>
    </row>
    <row r="5392" spans="1:6" x14ac:dyDescent="0.25">
      <c r="A5392" t="s">
        <v>5403</v>
      </c>
      <c r="B5392" t="s">
        <v>656</v>
      </c>
      <c r="C5392" t="s">
        <v>657</v>
      </c>
      <c r="D5392" t="str">
        <f>HYPERLINK("http://service.sap.com/sap/support/notes/1717270","1717270")</f>
        <v>1717270</v>
      </c>
      <c r="E5392">
        <v>1</v>
      </c>
      <c r="F5392" t="s">
        <v>5470</v>
      </c>
    </row>
    <row r="5393" spans="1:6" x14ac:dyDescent="0.25">
      <c r="A5393" t="s">
        <v>5403</v>
      </c>
      <c r="B5393" t="s">
        <v>656</v>
      </c>
      <c r="C5393" t="s">
        <v>657</v>
      </c>
      <c r="D5393" t="str">
        <f>HYPERLINK("http://service.sap.com/sap/support/notes/1717337","1717337")</f>
        <v>1717337</v>
      </c>
      <c r="E5393">
        <v>1</v>
      </c>
      <c r="F5393" t="s">
        <v>5471</v>
      </c>
    </row>
    <row r="5394" spans="1:6" x14ac:dyDescent="0.25">
      <c r="A5394" t="s">
        <v>5403</v>
      </c>
      <c r="B5394" t="s">
        <v>656</v>
      </c>
      <c r="C5394" t="s">
        <v>657</v>
      </c>
      <c r="D5394" t="str">
        <f>HYPERLINK("http://service.sap.com/sap/support/notes/1717437","1717437")</f>
        <v>1717437</v>
      </c>
      <c r="E5394">
        <v>3</v>
      </c>
      <c r="F5394" t="s">
        <v>5472</v>
      </c>
    </row>
    <row r="5395" spans="1:6" x14ac:dyDescent="0.25">
      <c r="A5395" t="s">
        <v>5403</v>
      </c>
      <c r="B5395" t="s">
        <v>656</v>
      </c>
      <c r="C5395" t="s">
        <v>657</v>
      </c>
      <c r="D5395" t="str">
        <f>HYPERLINK("http://service.sap.com/sap/support/notes/1718012","1718012")</f>
        <v>1718012</v>
      </c>
      <c r="E5395">
        <v>1</v>
      </c>
      <c r="F5395" t="s">
        <v>5473</v>
      </c>
    </row>
    <row r="5396" spans="1:6" x14ac:dyDescent="0.25">
      <c r="A5396" t="s">
        <v>5403</v>
      </c>
      <c r="B5396" t="s">
        <v>656</v>
      </c>
      <c r="C5396" t="s">
        <v>657</v>
      </c>
      <c r="D5396" t="str">
        <f>HYPERLINK("http://service.sap.com/sap/support/notes/1719123","1719123")</f>
        <v>1719123</v>
      </c>
      <c r="E5396">
        <v>1</v>
      </c>
      <c r="F5396" t="s">
        <v>5474</v>
      </c>
    </row>
    <row r="5397" spans="1:6" x14ac:dyDescent="0.25">
      <c r="A5397" t="s">
        <v>5403</v>
      </c>
      <c r="B5397" t="s">
        <v>656</v>
      </c>
      <c r="C5397" t="s">
        <v>657</v>
      </c>
      <c r="D5397" t="str">
        <f>HYPERLINK("http://service.sap.com/sap/support/notes/1719138","1719138")</f>
        <v>1719138</v>
      </c>
      <c r="E5397">
        <v>1</v>
      </c>
      <c r="F5397" t="s">
        <v>5475</v>
      </c>
    </row>
    <row r="5398" spans="1:6" x14ac:dyDescent="0.25">
      <c r="A5398" t="s">
        <v>5403</v>
      </c>
      <c r="B5398" t="s">
        <v>656</v>
      </c>
      <c r="C5398" t="s">
        <v>657</v>
      </c>
      <c r="D5398" t="str">
        <f>HYPERLINK("http://service.sap.com/sap/support/notes/1719202","1719202")</f>
        <v>1719202</v>
      </c>
      <c r="E5398">
        <v>2</v>
      </c>
      <c r="F5398" t="s">
        <v>5476</v>
      </c>
    </row>
    <row r="5399" spans="1:6" x14ac:dyDescent="0.25">
      <c r="A5399" t="s">
        <v>5403</v>
      </c>
      <c r="B5399" t="s">
        <v>656</v>
      </c>
      <c r="C5399" t="s">
        <v>657</v>
      </c>
      <c r="D5399" t="str">
        <f>HYPERLINK("http://service.sap.com/sap/support/notes/1719228","1719228")</f>
        <v>1719228</v>
      </c>
      <c r="E5399">
        <v>6</v>
      </c>
      <c r="F5399" t="s">
        <v>5477</v>
      </c>
    </row>
    <row r="5400" spans="1:6" x14ac:dyDescent="0.25">
      <c r="A5400" t="s">
        <v>5403</v>
      </c>
      <c r="B5400" t="s">
        <v>656</v>
      </c>
      <c r="C5400" t="s">
        <v>657</v>
      </c>
      <c r="D5400" t="str">
        <f>HYPERLINK("http://service.sap.com/sap/support/notes/1720453","1720453")</f>
        <v>1720453</v>
      </c>
      <c r="E5400">
        <v>1</v>
      </c>
      <c r="F5400" t="s">
        <v>5478</v>
      </c>
    </row>
    <row r="5401" spans="1:6" x14ac:dyDescent="0.25">
      <c r="A5401" t="s">
        <v>5403</v>
      </c>
      <c r="B5401" t="s">
        <v>656</v>
      </c>
      <c r="C5401" t="s">
        <v>657</v>
      </c>
      <c r="D5401" t="str">
        <f>HYPERLINK("http://service.sap.com/sap/support/notes/1721065","1721065")</f>
        <v>1721065</v>
      </c>
      <c r="E5401">
        <v>3</v>
      </c>
      <c r="F5401" t="s">
        <v>5479</v>
      </c>
    </row>
    <row r="5402" spans="1:6" x14ac:dyDescent="0.25">
      <c r="A5402" t="s">
        <v>5403</v>
      </c>
      <c r="B5402" t="s">
        <v>656</v>
      </c>
      <c r="C5402" t="s">
        <v>657</v>
      </c>
      <c r="D5402" t="str">
        <f>HYPERLINK("http://service.sap.com/sap/support/notes/1721196","1721196")</f>
        <v>1721196</v>
      </c>
      <c r="E5402">
        <v>1</v>
      </c>
      <c r="F5402" t="s">
        <v>5480</v>
      </c>
    </row>
    <row r="5403" spans="1:6" x14ac:dyDescent="0.25">
      <c r="A5403" t="s">
        <v>5403</v>
      </c>
      <c r="B5403" t="s">
        <v>656</v>
      </c>
      <c r="C5403" t="s">
        <v>657</v>
      </c>
      <c r="D5403" t="str">
        <f>HYPERLINK("http://service.sap.com/sap/support/notes/1721584","1721584")</f>
        <v>1721584</v>
      </c>
      <c r="E5403">
        <v>1</v>
      </c>
      <c r="F5403" t="s">
        <v>5481</v>
      </c>
    </row>
    <row r="5404" spans="1:6" x14ac:dyDescent="0.25">
      <c r="A5404" t="s">
        <v>5403</v>
      </c>
      <c r="B5404" t="s">
        <v>656</v>
      </c>
      <c r="C5404" t="s">
        <v>657</v>
      </c>
      <c r="D5404" t="str">
        <f>HYPERLINK("http://service.sap.com/sap/support/notes/1721760","1721760")</f>
        <v>1721760</v>
      </c>
      <c r="E5404">
        <v>3</v>
      </c>
      <c r="F5404" t="s">
        <v>5482</v>
      </c>
    </row>
    <row r="5405" spans="1:6" x14ac:dyDescent="0.25">
      <c r="A5405" t="s">
        <v>5403</v>
      </c>
      <c r="B5405" t="s">
        <v>656</v>
      </c>
      <c r="C5405" t="s">
        <v>657</v>
      </c>
      <c r="D5405" t="str">
        <f>HYPERLINK("http://service.sap.com/sap/support/notes/1722333","1722333")</f>
        <v>1722333</v>
      </c>
      <c r="E5405">
        <v>2</v>
      </c>
      <c r="F5405" t="s">
        <v>5483</v>
      </c>
    </row>
    <row r="5406" spans="1:6" x14ac:dyDescent="0.25">
      <c r="A5406" t="s">
        <v>5403</v>
      </c>
      <c r="B5406" t="s">
        <v>656</v>
      </c>
      <c r="C5406" t="s">
        <v>657</v>
      </c>
      <c r="D5406" t="str">
        <f>HYPERLINK("http://service.sap.com/sap/support/notes/1724549","1724549")</f>
        <v>1724549</v>
      </c>
      <c r="E5406">
        <v>1</v>
      </c>
      <c r="F5406" t="s">
        <v>5484</v>
      </c>
    </row>
    <row r="5407" spans="1:6" x14ac:dyDescent="0.25">
      <c r="A5407" t="s">
        <v>5403</v>
      </c>
      <c r="B5407" t="s">
        <v>656</v>
      </c>
      <c r="C5407" t="s">
        <v>657</v>
      </c>
      <c r="D5407" t="str">
        <f>HYPERLINK("http://service.sap.com/sap/support/notes/1724599","1724599")</f>
        <v>1724599</v>
      </c>
      <c r="E5407">
        <v>1</v>
      </c>
      <c r="F5407" t="s">
        <v>5485</v>
      </c>
    </row>
    <row r="5408" spans="1:6" x14ac:dyDescent="0.25">
      <c r="A5408" t="s">
        <v>5403</v>
      </c>
      <c r="B5408" t="s">
        <v>656</v>
      </c>
      <c r="C5408" t="s">
        <v>657</v>
      </c>
      <c r="D5408" t="str">
        <f>HYPERLINK("http://service.sap.com/sap/support/notes/1724640","1724640")</f>
        <v>1724640</v>
      </c>
      <c r="E5408">
        <v>1</v>
      </c>
      <c r="F5408" t="s">
        <v>5486</v>
      </c>
    </row>
    <row r="5409" spans="1:6" x14ac:dyDescent="0.25">
      <c r="A5409" t="s">
        <v>5403</v>
      </c>
      <c r="B5409" t="s">
        <v>656</v>
      </c>
      <c r="C5409" t="s">
        <v>657</v>
      </c>
      <c r="D5409" t="str">
        <f>HYPERLINK("http://service.sap.com/sap/support/notes/1725032","1725032")</f>
        <v>1725032</v>
      </c>
      <c r="E5409">
        <v>1</v>
      </c>
      <c r="F5409" t="s">
        <v>5487</v>
      </c>
    </row>
    <row r="5410" spans="1:6" x14ac:dyDescent="0.25">
      <c r="A5410" t="s">
        <v>5403</v>
      </c>
      <c r="B5410" t="s">
        <v>656</v>
      </c>
      <c r="C5410" t="s">
        <v>657</v>
      </c>
      <c r="D5410" t="str">
        <f>HYPERLINK("http://service.sap.com/sap/support/notes/1726155","1726155")</f>
        <v>1726155</v>
      </c>
      <c r="E5410">
        <v>1</v>
      </c>
      <c r="F5410" t="s">
        <v>5488</v>
      </c>
    </row>
    <row r="5411" spans="1:6" x14ac:dyDescent="0.25">
      <c r="A5411" t="s">
        <v>5403</v>
      </c>
      <c r="B5411" t="s">
        <v>656</v>
      </c>
      <c r="C5411" t="s">
        <v>657</v>
      </c>
      <c r="D5411" t="str">
        <f>HYPERLINK("http://service.sap.com/sap/support/notes/1726158","1726158")</f>
        <v>1726158</v>
      </c>
      <c r="E5411">
        <v>1</v>
      </c>
      <c r="F5411" t="s">
        <v>5489</v>
      </c>
    </row>
    <row r="5412" spans="1:6" x14ac:dyDescent="0.25">
      <c r="A5412" t="s">
        <v>5403</v>
      </c>
      <c r="B5412" t="s">
        <v>656</v>
      </c>
      <c r="C5412" t="s">
        <v>657</v>
      </c>
      <c r="D5412" t="str">
        <f>HYPERLINK("http://service.sap.com/sap/support/notes/1728434","1728434")</f>
        <v>1728434</v>
      </c>
      <c r="E5412">
        <v>1</v>
      </c>
      <c r="F5412" t="s">
        <v>5490</v>
      </c>
    </row>
    <row r="5413" spans="1:6" x14ac:dyDescent="0.25">
      <c r="A5413" t="s">
        <v>5403</v>
      </c>
      <c r="B5413" t="s">
        <v>656</v>
      </c>
      <c r="C5413" t="s">
        <v>657</v>
      </c>
      <c r="D5413" t="str">
        <f>HYPERLINK("http://service.sap.com/sap/support/notes/1730190","1730190")</f>
        <v>1730190</v>
      </c>
      <c r="E5413">
        <v>1</v>
      </c>
      <c r="F5413" t="s">
        <v>5491</v>
      </c>
    </row>
    <row r="5414" spans="1:6" x14ac:dyDescent="0.25">
      <c r="A5414" t="s">
        <v>5403</v>
      </c>
      <c r="B5414" t="s">
        <v>656</v>
      </c>
      <c r="C5414" t="s">
        <v>657</v>
      </c>
      <c r="D5414" t="str">
        <f>HYPERLINK("http://service.sap.com/sap/support/notes/1730366","1730366")</f>
        <v>1730366</v>
      </c>
      <c r="E5414">
        <v>2</v>
      </c>
      <c r="F5414" t="s">
        <v>5492</v>
      </c>
    </row>
    <row r="5415" spans="1:6" x14ac:dyDescent="0.25">
      <c r="A5415" t="s">
        <v>5403</v>
      </c>
      <c r="B5415" t="s">
        <v>5493</v>
      </c>
      <c r="C5415" t="s">
        <v>5494</v>
      </c>
      <c r="D5415" t="str">
        <f>HYPERLINK("http://service.sap.com/sap/support/notes/1718536","1718536")</f>
        <v>1718536</v>
      </c>
      <c r="E5415">
        <v>2</v>
      </c>
      <c r="F5415" t="s">
        <v>5495</v>
      </c>
    </row>
    <row r="5416" spans="1:6" x14ac:dyDescent="0.25">
      <c r="A5416" t="s">
        <v>5403</v>
      </c>
      <c r="B5416" t="s">
        <v>694</v>
      </c>
      <c r="C5416" t="s">
        <v>695</v>
      </c>
      <c r="D5416" t="str">
        <f>HYPERLINK("http://service.sap.com/sap/support/notes/1723141","1723141")</f>
        <v>1723141</v>
      </c>
      <c r="E5416">
        <v>1</v>
      </c>
      <c r="F5416" t="s">
        <v>5496</v>
      </c>
    </row>
    <row r="5417" spans="1:6" x14ac:dyDescent="0.25">
      <c r="A5417" t="s">
        <v>5403</v>
      </c>
      <c r="B5417" t="s">
        <v>694</v>
      </c>
      <c r="C5417" t="s">
        <v>695</v>
      </c>
      <c r="D5417" t="str">
        <f>HYPERLINK("http://service.sap.com/sap/support/notes/1723990","1723990")</f>
        <v>1723990</v>
      </c>
      <c r="E5417">
        <v>2</v>
      </c>
      <c r="F5417" t="s">
        <v>5497</v>
      </c>
    </row>
    <row r="5418" spans="1:6" x14ac:dyDescent="0.25">
      <c r="A5418" t="s">
        <v>5403</v>
      </c>
      <c r="B5418" t="s">
        <v>5498</v>
      </c>
      <c r="C5418" t="s">
        <v>5499</v>
      </c>
      <c r="D5418" t="str">
        <f>HYPERLINK("http://service.sap.com/sap/support/notes/1537353","1537353")</f>
        <v>1537353</v>
      </c>
      <c r="E5418">
        <v>3</v>
      </c>
      <c r="F5418" t="s">
        <v>5500</v>
      </c>
    </row>
    <row r="5419" spans="1:6" x14ac:dyDescent="0.25">
      <c r="A5419" t="s">
        <v>5403</v>
      </c>
      <c r="B5419" t="s">
        <v>5498</v>
      </c>
      <c r="C5419" t="s">
        <v>5499</v>
      </c>
      <c r="D5419" t="str">
        <f>HYPERLINK("http://service.sap.com/sap/support/notes/1689511","1689511")</f>
        <v>1689511</v>
      </c>
      <c r="E5419">
        <v>5</v>
      </c>
      <c r="F5419" t="s">
        <v>5501</v>
      </c>
    </row>
    <row r="5420" spans="1:6" x14ac:dyDescent="0.25">
      <c r="A5420" t="s">
        <v>5403</v>
      </c>
      <c r="B5420" t="s">
        <v>5502</v>
      </c>
      <c r="C5420" t="s">
        <v>5503</v>
      </c>
      <c r="D5420" t="str">
        <f>HYPERLINK("http://service.sap.com/sap/support/notes/1717364","1717364")</f>
        <v>1717364</v>
      </c>
      <c r="E5420">
        <v>2</v>
      </c>
      <c r="F5420" t="s">
        <v>5504</v>
      </c>
    </row>
    <row r="5421" spans="1:6" x14ac:dyDescent="0.25">
      <c r="A5421" t="s">
        <v>5403</v>
      </c>
      <c r="B5421" t="s">
        <v>24</v>
      </c>
      <c r="C5421" t="s">
        <v>10</v>
      </c>
    </row>
    <row r="5422" spans="1:6" x14ac:dyDescent="0.25">
      <c r="A5422" t="s">
        <v>5403</v>
      </c>
      <c r="B5422" t="s">
        <v>5505</v>
      </c>
      <c r="C5422" t="s">
        <v>5506</v>
      </c>
      <c r="D5422" t="str">
        <f>HYPERLINK("http://service.sap.com/sap/support/notes/1714444","1714444")</f>
        <v>1714444</v>
      </c>
      <c r="E5422">
        <v>1</v>
      </c>
      <c r="F5422" t="s">
        <v>5507</v>
      </c>
    </row>
    <row r="5423" spans="1:6" x14ac:dyDescent="0.25">
      <c r="A5423" t="s">
        <v>5403</v>
      </c>
      <c r="B5423" t="s">
        <v>5505</v>
      </c>
      <c r="C5423" t="s">
        <v>5506</v>
      </c>
      <c r="D5423" t="str">
        <f>HYPERLINK("http://service.sap.com/sap/support/notes/1719625","1719625")</f>
        <v>1719625</v>
      </c>
      <c r="E5423">
        <v>1</v>
      </c>
      <c r="F5423" t="s">
        <v>5508</v>
      </c>
    </row>
    <row r="5424" spans="1:6" x14ac:dyDescent="0.25">
      <c r="A5424" t="s">
        <v>5403</v>
      </c>
      <c r="B5424" t="s">
        <v>5505</v>
      </c>
      <c r="C5424" t="s">
        <v>5506</v>
      </c>
      <c r="D5424" t="str">
        <f>HYPERLINK("http://service.sap.com/sap/support/notes/1727140","1727140")</f>
        <v>1727140</v>
      </c>
      <c r="E5424">
        <v>1</v>
      </c>
      <c r="F5424" t="s">
        <v>5509</v>
      </c>
    </row>
    <row r="5425" spans="1:6" x14ac:dyDescent="0.25">
      <c r="A5425" t="s">
        <v>5403</v>
      </c>
      <c r="B5425" t="s">
        <v>5505</v>
      </c>
      <c r="C5425" t="s">
        <v>5506</v>
      </c>
      <c r="D5425" t="str">
        <f>HYPERLINK("http://service.sap.com/sap/support/notes/1727205","1727205")</f>
        <v>1727205</v>
      </c>
      <c r="E5425">
        <v>1</v>
      </c>
      <c r="F5425" t="s">
        <v>5510</v>
      </c>
    </row>
    <row r="5426" spans="1:6" x14ac:dyDescent="0.25">
      <c r="A5426" t="s">
        <v>5403</v>
      </c>
      <c r="B5426" t="s">
        <v>5505</v>
      </c>
      <c r="C5426" t="s">
        <v>5506</v>
      </c>
      <c r="D5426" t="str">
        <f>HYPERLINK("http://service.sap.com/sap/support/notes/1727248","1727248")</f>
        <v>1727248</v>
      </c>
      <c r="E5426">
        <v>1</v>
      </c>
      <c r="F5426" t="s">
        <v>5511</v>
      </c>
    </row>
    <row r="5427" spans="1:6" x14ac:dyDescent="0.25">
      <c r="A5427" t="s">
        <v>5403</v>
      </c>
      <c r="B5427" t="s">
        <v>5505</v>
      </c>
      <c r="C5427" t="s">
        <v>5506</v>
      </c>
      <c r="D5427" t="str">
        <f>HYPERLINK("http://service.sap.com/sap/support/notes/1730199","1730199")</f>
        <v>1730199</v>
      </c>
      <c r="E5427">
        <v>1</v>
      </c>
      <c r="F5427" t="s">
        <v>5512</v>
      </c>
    </row>
    <row r="5428" spans="1:6" x14ac:dyDescent="0.25">
      <c r="A5428" t="s">
        <v>5403</v>
      </c>
      <c r="B5428" t="s">
        <v>503</v>
      </c>
      <c r="C5428" t="s">
        <v>504</v>
      </c>
      <c r="D5428" t="str">
        <f>HYPERLINK("http://service.sap.com/sap/support/notes/1653914","1653914")</f>
        <v>1653914</v>
      </c>
      <c r="E5428">
        <v>3</v>
      </c>
      <c r="F5428" t="s">
        <v>5513</v>
      </c>
    </row>
    <row r="5429" spans="1:6" x14ac:dyDescent="0.25">
      <c r="A5429" t="s">
        <v>5403</v>
      </c>
      <c r="B5429" t="s">
        <v>5514</v>
      </c>
      <c r="C5429" t="s">
        <v>5515</v>
      </c>
      <c r="D5429" t="str">
        <f>HYPERLINK("http://service.sap.com/sap/support/notes/1667439","1667439")</f>
        <v>1667439</v>
      </c>
      <c r="E5429">
        <v>3</v>
      </c>
      <c r="F5429" t="s">
        <v>5516</v>
      </c>
    </row>
    <row r="5430" spans="1:6" x14ac:dyDescent="0.25">
      <c r="A5430" t="s">
        <v>5403</v>
      </c>
      <c r="B5430" t="s">
        <v>5514</v>
      </c>
      <c r="C5430" t="s">
        <v>5515</v>
      </c>
      <c r="D5430" t="str">
        <f>HYPERLINK("http://service.sap.com/sap/support/notes/1675426","1675426")</f>
        <v>1675426</v>
      </c>
      <c r="E5430">
        <v>2</v>
      </c>
      <c r="F5430" t="s">
        <v>5517</v>
      </c>
    </row>
    <row r="5431" spans="1:6" x14ac:dyDescent="0.25">
      <c r="A5431" t="s">
        <v>5403</v>
      </c>
      <c r="B5431" t="s">
        <v>5514</v>
      </c>
      <c r="C5431" t="s">
        <v>5515</v>
      </c>
      <c r="D5431" t="str">
        <f>HYPERLINK("http://service.sap.com/sap/support/notes/1695924","1695924")</f>
        <v>1695924</v>
      </c>
      <c r="E5431">
        <v>2</v>
      </c>
      <c r="F5431" t="s">
        <v>5518</v>
      </c>
    </row>
    <row r="5432" spans="1:6" x14ac:dyDescent="0.25">
      <c r="A5432" t="s">
        <v>5403</v>
      </c>
      <c r="B5432" t="s">
        <v>5514</v>
      </c>
      <c r="C5432" t="s">
        <v>5515</v>
      </c>
      <c r="D5432" t="str">
        <f>HYPERLINK("http://service.sap.com/sap/support/notes/1709700","1709700")</f>
        <v>1709700</v>
      </c>
      <c r="E5432">
        <v>2</v>
      </c>
      <c r="F5432" t="s">
        <v>5519</v>
      </c>
    </row>
    <row r="5433" spans="1:6" x14ac:dyDescent="0.25">
      <c r="A5433" t="s">
        <v>5403</v>
      </c>
      <c r="B5433" t="s">
        <v>5514</v>
      </c>
      <c r="C5433" t="s">
        <v>5515</v>
      </c>
      <c r="D5433" t="str">
        <f>HYPERLINK("http://service.sap.com/sap/support/notes/1720952","1720952")</f>
        <v>1720952</v>
      </c>
      <c r="E5433">
        <v>2</v>
      </c>
      <c r="F5433" t="s">
        <v>5520</v>
      </c>
    </row>
    <row r="5434" spans="1:6" x14ac:dyDescent="0.25">
      <c r="A5434" t="s">
        <v>5403</v>
      </c>
      <c r="B5434" t="s">
        <v>5514</v>
      </c>
      <c r="C5434" t="s">
        <v>5515</v>
      </c>
      <c r="D5434" t="str">
        <f>HYPERLINK("http://service.sap.com/sap/support/notes/1722117","1722117")</f>
        <v>1722117</v>
      </c>
      <c r="E5434">
        <v>2</v>
      </c>
      <c r="F5434" t="s">
        <v>5521</v>
      </c>
    </row>
    <row r="5435" spans="1:6" x14ac:dyDescent="0.25">
      <c r="A5435" t="s">
        <v>5403</v>
      </c>
      <c r="B5435" t="s">
        <v>5514</v>
      </c>
      <c r="C5435" t="s">
        <v>5515</v>
      </c>
      <c r="D5435" t="str">
        <f>HYPERLINK("http://service.sap.com/sap/support/notes/1725513","1725513")</f>
        <v>1725513</v>
      </c>
      <c r="E5435">
        <v>1</v>
      </c>
      <c r="F5435" t="s">
        <v>5522</v>
      </c>
    </row>
    <row r="5436" spans="1:6" x14ac:dyDescent="0.25">
      <c r="A5436" t="s">
        <v>5403</v>
      </c>
      <c r="B5436" t="s">
        <v>5514</v>
      </c>
      <c r="C5436" t="s">
        <v>5515</v>
      </c>
      <c r="D5436" t="str">
        <f>HYPERLINK("http://service.sap.com/sap/support/notes/1727983","1727983")</f>
        <v>1727983</v>
      </c>
      <c r="E5436">
        <v>1</v>
      </c>
      <c r="F5436" t="s">
        <v>5523</v>
      </c>
    </row>
    <row r="5437" spans="1:6" x14ac:dyDescent="0.25">
      <c r="A5437" t="s">
        <v>5403</v>
      </c>
      <c r="B5437" t="s">
        <v>5524</v>
      </c>
      <c r="C5437" t="s">
        <v>5525</v>
      </c>
      <c r="D5437" t="str">
        <f>HYPERLINK("http://service.sap.com/sap/support/notes/1646373","1646373")</f>
        <v>1646373</v>
      </c>
      <c r="E5437">
        <v>3</v>
      </c>
      <c r="F5437" t="s">
        <v>5526</v>
      </c>
    </row>
    <row r="5438" spans="1:6" x14ac:dyDescent="0.25">
      <c r="A5438" t="s">
        <v>5403</v>
      </c>
      <c r="B5438" t="s">
        <v>5524</v>
      </c>
      <c r="C5438" t="s">
        <v>5525</v>
      </c>
      <c r="D5438" t="str">
        <f>HYPERLINK("http://service.sap.com/sap/support/notes/1647698","1647698")</f>
        <v>1647698</v>
      </c>
      <c r="E5438">
        <v>3</v>
      </c>
      <c r="F5438" t="s">
        <v>5527</v>
      </c>
    </row>
    <row r="5439" spans="1:6" x14ac:dyDescent="0.25">
      <c r="A5439" t="s">
        <v>5403</v>
      </c>
      <c r="B5439" t="s">
        <v>5524</v>
      </c>
      <c r="C5439" t="s">
        <v>5525</v>
      </c>
      <c r="D5439" t="str">
        <f>HYPERLINK("http://service.sap.com/sap/support/notes/1708471","1708471")</f>
        <v>1708471</v>
      </c>
      <c r="E5439">
        <v>3</v>
      </c>
      <c r="F5439" t="s">
        <v>5528</v>
      </c>
    </row>
    <row r="5440" spans="1:6" x14ac:dyDescent="0.25">
      <c r="A5440" t="s">
        <v>5403</v>
      </c>
      <c r="B5440" t="s">
        <v>5524</v>
      </c>
      <c r="C5440" t="s">
        <v>5525</v>
      </c>
      <c r="D5440" t="str">
        <f>HYPERLINK("http://service.sap.com/sap/support/notes/1715839","1715839")</f>
        <v>1715839</v>
      </c>
      <c r="E5440">
        <v>1</v>
      </c>
      <c r="F5440" t="s">
        <v>5529</v>
      </c>
    </row>
    <row r="5441" spans="1:6" x14ac:dyDescent="0.25">
      <c r="A5441" t="s">
        <v>5403</v>
      </c>
      <c r="B5441" t="s">
        <v>5524</v>
      </c>
      <c r="C5441" t="s">
        <v>5525</v>
      </c>
      <c r="D5441" t="str">
        <f>HYPERLINK("http://service.sap.com/sap/support/notes/1719873","1719873")</f>
        <v>1719873</v>
      </c>
      <c r="E5441">
        <v>2</v>
      </c>
      <c r="F5441" t="s">
        <v>5530</v>
      </c>
    </row>
    <row r="5442" spans="1:6" x14ac:dyDescent="0.25">
      <c r="A5442" t="s">
        <v>5403</v>
      </c>
      <c r="B5442" t="s">
        <v>5524</v>
      </c>
      <c r="C5442" t="s">
        <v>5525</v>
      </c>
      <c r="D5442" t="str">
        <f>HYPERLINK("http://service.sap.com/sap/support/notes/1721987","1721987")</f>
        <v>1721987</v>
      </c>
      <c r="E5442">
        <v>1</v>
      </c>
      <c r="F5442" t="s">
        <v>5531</v>
      </c>
    </row>
    <row r="5443" spans="1:6" x14ac:dyDescent="0.25">
      <c r="A5443" t="s">
        <v>5403</v>
      </c>
      <c r="B5443" t="s">
        <v>5532</v>
      </c>
      <c r="C5443" t="s">
        <v>5533</v>
      </c>
      <c r="D5443" t="str">
        <f>HYPERLINK("http://service.sap.com/sap/support/notes/1721020","1721020")</f>
        <v>1721020</v>
      </c>
      <c r="E5443">
        <v>1</v>
      </c>
      <c r="F5443" t="s">
        <v>5534</v>
      </c>
    </row>
    <row r="5444" spans="1:6" x14ac:dyDescent="0.25">
      <c r="A5444" t="s">
        <v>5403</v>
      </c>
      <c r="B5444" t="s">
        <v>5532</v>
      </c>
      <c r="C5444" t="s">
        <v>5533</v>
      </c>
      <c r="D5444" t="str">
        <f>HYPERLINK("http://service.sap.com/sap/support/notes/1722300","1722300")</f>
        <v>1722300</v>
      </c>
      <c r="E5444">
        <v>1</v>
      </c>
      <c r="F5444" t="s">
        <v>5535</v>
      </c>
    </row>
    <row r="5445" spans="1:6" x14ac:dyDescent="0.25">
      <c r="A5445" t="s">
        <v>5403</v>
      </c>
      <c r="B5445" t="s">
        <v>5536</v>
      </c>
      <c r="C5445" t="s">
        <v>5537</v>
      </c>
      <c r="D5445" t="str">
        <f>HYPERLINK("http://service.sap.com/sap/support/notes/1713229","1713229")</f>
        <v>1713229</v>
      </c>
      <c r="E5445">
        <v>4</v>
      </c>
      <c r="F5445" t="s">
        <v>5538</v>
      </c>
    </row>
    <row r="5446" spans="1:6" x14ac:dyDescent="0.25">
      <c r="A5446" t="s">
        <v>5403</v>
      </c>
      <c r="B5446" t="s">
        <v>5539</v>
      </c>
      <c r="C5446" t="s">
        <v>5540</v>
      </c>
    </row>
    <row r="5447" spans="1:6" x14ac:dyDescent="0.25">
      <c r="A5447" t="s">
        <v>5403</v>
      </c>
      <c r="B5447" t="s">
        <v>5541</v>
      </c>
      <c r="C5447" t="s">
        <v>5542</v>
      </c>
      <c r="D5447" t="str">
        <f>HYPERLINK("http://service.sap.com/sap/support/notes/1640432","1640432")</f>
        <v>1640432</v>
      </c>
      <c r="E5447">
        <v>1</v>
      </c>
      <c r="F5447" t="s">
        <v>5543</v>
      </c>
    </row>
    <row r="5448" spans="1:6" x14ac:dyDescent="0.25">
      <c r="A5448" t="s">
        <v>5403</v>
      </c>
      <c r="B5448" t="s">
        <v>5541</v>
      </c>
      <c r="C5448" t="s">
        <v>5542</v>
      </c>
      <c r="D5448" t="str">
        <f>HYPERLINK("http://service.sap.com/sap/support/notes/1671704","1671704")</f>
        <v>1671704</v>
      </c>
      <c r="E5448">
        <v>2</v>
      </c>
      <c r="F5448" t="s">
        <v>5544</v>
      </c>
    </row>
    <row r="5449" spans="1:6" x14ac:dyDescent="0.25">
      <c r="A5449" t="s">
        <v>5403</v>
      </c>
      <c r="B5449" t="s">
        <v>5541</v>
      </c>
      <c r="C5449" t="s">
        <v>5542</v>
      </c>
      <c r="D5449" t="str">
        <f>HYPERLINK("http://service.sap.com/sap/support/notes/1719528","1719528")</f>
        <v>1719528</v>
      </c>
      <c r="E5449">
        <v>1</v>
      </c>
      <c r="F5449" t="s">
        <v>5545</v>
      </c>
    </row>
    <row r="5450" spans="1:6" x14ac:dyDescent="0.25">
      <c r="A5450" t="s">
        <v>5403</v>
      </c>
      <c r="B5450" t="s">
        <v>5546</v>
      </c>
      <c r="C5450" t="s">
        <v>5547</v>
      </c>
      <c r="D5450" t="str">
        <f>HYPERLINK("http://service.sap.com/sap/support/notes/1715412","1715412")</f>
        <v>1715412</v>
      </c>
      <c r="E5450">
        <v>2</v>
      </c>
      <c r="F5450" t="s">
        <v>5548</v>
      </c>
    </row>
    <row r="5451" spans="1:6" x14ac:dyDescent="0.25">
      <c r="A5451" t="s">
        <v>5403</v>
      </c>
      <c r="B5451" t="s">
        <v>5546</v>
      </c>
      <c r="C5451" t="s">
        <v>5547</v>
      </c>
      <c r="D5451" t="str">
        <f>HYPERLINK("http://service.sap.com/sap/support/notes/1716083","1716083")</f>
        <v>1716083</v>
      </c>
      <c r="E5451">
        <v>2</v>
      </c>
      <c r="F5451" t="s">
        <v>5549</v>
      </c>
    </row>
    <row r="5452" spans="1:6" x14ac:dyDescent="0.25">
      <c r="A5452" t="s">
        <v>5403</v>
      </c>
      <c r="B5452" t="s">
        <v>5546</v>
      </c>
      <c r="C5452" t="s">
        <v>5547</v>
      </c>
      <c r="D5452" t="str">
        <f>HYPERLINK("http://service.sap.com/sap/support/notes/1716145","1716145")</f>
        <v>1716145</v>
      </c>
      <c r="E5452">
        <v>2</v>
      </c>
      <c r="F5452" t="s">
        <v>5550</v>
      </c>
    </row>
    <row r="5453" spans="1:6" x14ac:dyDescent="0.25">
      <c r="A5453" t="s">
        <v>5403</v>
      </c>
      <c r="B5453" t="s">
        <v>5546</v>
      </c>
      <c r="C5453" t="s">
        <v>5547</v>
      </c>
      <c r="D5453" t="str">
        <f>HYPERLINK("http://service.sap.com/sap/support/notes/1717427","1717427")</f>
        <v>1717427</v>
      </c>
      <c r="E5453">
        <v>2</v>
      </c>
      <c r="F5453" t="s">
        <v>5551</v>
      </c>
    </row>
    <row r="5454" spans="1:6" x14ac:dyDescent="0.25">
      <c r="A5454" t="s">
        <v>5403</v>
      </c>
      <c r="B5454" t="s">
        <v>5546</v>
      </c>
      <c r="C5454" t="s">
        <v>5547</v>
      </c>
      <c r="D5454" t="str">
        <f>HYPERLINK("http://service.sap.com/sap/support/notes/1717920","1717920")</f>
        <v>1717920</v>
      </c>
      <c r="E5454">
        <v>1</v>
      </c>
      <c r="F5454" t="s">
        <v>5552</v>
      </c>
    </row>
    <row r="5455" spans="1:6" x14ac:dyDescent="0.25">
      <c r="A5455" t="s">
        <v>5403</v>
      </c>
      <c r="B5455" t="s">
        <v>5546</v>
      </c>
      <c r="C5455" t="s">
        <v>5547</v>
      </c>
      <c r="D5455" t="str">
        <f>HYPERLINK("http://service.sap.com/sap/support/notes/1718750","1718750")</f>
        <v>1718750</v>
      </c>
      <c r="E5455">
        <v>1</v>
      </c>
      <c r="F5455" t="s">
        <v>5553</v>
      </c>
    </row>
    <row r="5456" spans="1:6" x14ac:dyDescent="0.25">
      <c r="A5456" t="s">
        <v>5403</v>
      </c>
      <c r="B5456" t="s">
        <v>5546</v>
      </c>
      <c r="C5456" t="s">
        <v>5547</v>
      </c>
      <c r="D5456" t="str">
        <f>HYPERLINK("http://service.sap.com/sap/support/notes/1726470","1726470")</f>
        <v>1726470</v>
      </c>
      <c r="E5456">
        <v>2</v>
      </c>
      <c r="F5456" t="s">
        <v>5554</v>
      </c>
    </row>
    <row r="5457" spans="1:6" x14ac:dyDescent="0.25">
      <c r="A5457" t="s">
        <v>5403</v>
      </c>
      <c r="B5457" t="s">
        <v>5546</v>
      </c>
      <c r="C5457" t="s">
        <v>5547</v>
      </c>
      <c r="D5457" t="str">
        <f>HYPERLINK("http://service.sap.com/sap/support/notes/1727067","1727067")</f>
        <v>1727067</v>
      </c>
      <c r="E5457">
        <v>4</v>
      </c>
      <c r="F5457" t="s">
        <v>5555</v>
      </c>
    </row>
    <row r="5458" spans="1:6" x14ac:dyDescent="0.25">
      <c r="A5458" t="s">
        <v>5403</v>
      </c>
      <c r="B5458" t="s">
        <v>5546</v>
      </c>
      <c r="C5458" t="s">
        <v>5547</v>
      </c>
      <c r="D5458" t="str">
        <f>HYPERLINK("http://service.sap.com/sap/support/notes/1727133","1727133")</f>
        <v>1727133</v>
      </c>
      <c r="E5458">
        <v>1</v>
      </c>
      <c r="F5458" t="s">
        <v>5556</v>
      </c>
    </row>
    <row r="5459" spans="1:6" x14ac:dyDescent="0.25">
      <c r="A5459" t="s">
        <v>5403</v>
      </c>
      <c r="B5459" t="s">
        <v>5546</v>
      </c>
      <c r="C5459" t="s">
        <v>5547</v>
      </c>
      <c r="D5459" t="str">
        <f>HYPERLINK("http://service.sap.com/sap/support/notes/1728226","1728226")</f>
        <v>1728226</v>
      </c>
      <c r="E5459">
        <v>1</v>
      </c>
      <c r="F5459" t="s">
        <v>5557</v>
      </c>
    </row>
    <row r="5460" spans="1:6" x14ac:dyDescent="0.25">
      <c r="A5460" t="s">
        <v>5403</v>
      </c>
      <c r="B5460" t="s">
        <v>5558</v>
      </c>
      <c r="C5460" t="s">
        <v>5559</v>
      </c>
      <c r="D5460" t="str">
        <f>HYPERLINK("http://service.sap.com/sap/support/notes/1614318","1614318")</f>
        <v>1614318</v>
      </c>
      <c r="E5460">
        <v>6</v>
      </c>
      <c r="F5460" t="s">
        <v>5560</v>
      </c>
    </row>
    <row r="5461" spans="1:6" x14ac:dyDescent="0.25">
      <c r="A5461" t="s">
        <v>5403</v>
      </c>
      <c r="B5461" t="s">
        <v>5558</v>
      </c>
      <c r="C5461" t="s">
        <v>5559</v>
      </c>
      <c r="D5461" t="str">
        <f>HYPERLINK("http://service.sap.com/sap/support/notes/1707417","1707417")</f>
        <v>1707417</v>
      </c>
      <c r="E5461">
        <v>3</v>
      </c>
      <c r="F5461" t="s">
        <v>5561</v>
      </c>
    </row>
    <row r="5462" spans="1:6" x14ac:dyDescent="0.25">
      <c r="A5462" t="s">
        <v>5403</v>
      </c>
      <c r="B5462" t="s">
        <v>510</v>
      </c>
      <c r="C5462" t="s">
        <v>5562</v>
      </c>
      <c r="D5462" t="str">
        <f>HYPERLINK("http://service.sap.com/sap/support/notes/1713951","1713951")</f>
        <v>1713951</v>
      </c>
      <c r="E5462">
        <v>3</v>
      </c>
      <c r="F5462" t="s">
        <v>5563</v>
      </c>
    </row>
    <row r="5463" spans="1:6" x14ac:dyDescent="0.25">
      <c r="A5463" t="s">
        <v>5403</v>
      </c>
      <c r="B5463" t="s">
        <v>510</v>
      </c>
      <c r="C5463" t="s">
        <v>5562</v>
      </c>
      <c r="D5463" t="str">
        <f>HYPERLINK("http://service.sap.com/sap/support/notes/1727683","1727683")</f>
        <v>1727683</v>
      </c>
      <c r="E5463">
        <v>2</v>
      </c>
      <c r="F5463" t="s">
        <v>5564</v>
      </c>
    </row>
    <row r="5464" spans="1:6" x14ac:dyDescent="0.25">
      <c r="A5464" t="s">
        <v>5403</v>
      </c>
      <c r="B5464" t="s">
        <v>25</v>
      </c>
      <c r="C5464" t="s">
        <v>26</v>
      </c>
    </row>
    <row r="5465" spans="1:6" x14ac:dyDescent="0.25">
      <c r="A5465" t="s">
        <v>5403</v>
      </c>
      <c r="B5465" t="s">
        <v>642</v>
      </c>
      <c r="C5465" t="s">
        <v>145</v>
      </c>
      <c r="D5465" t="str">
        <f>HYPERLINK("http://service.sap.com/sap/support/notes/1675960","1675960")</f>
        <v>1675960</v>
      </c>
      <c r="E5465">
        <v>2</v>
      </c>
      <c r="F5465" t="s">
        <v>5565</v>
      </c>
    </row>
    <row r="5466" spans="1:6" x14ac:dyDescent="0.25">
      <c r="A5466" t="s">
        <v>5403</v>
      </c>
      <c r="B5466" t="s">
        <v>33</v>
      </c>
      <c r="C5466" t="s">
        <v>34</v>
      </c>
      <c r="D5466" t="str">
        <f>HYPERLINK("http://service.sap.com/sap/support/notes/1632904","1632904")</f>
        <v>1632904</v>
      </c>
      <c r="E5466">
        <v>1</v>
      </c>
      <c r="F5466" t="s">
        <v>5566</v>
      </c>
    </row>
    <row r="5467" spans="1:6" x14ac:dyDescent="0.25">
      <c r="A5467" t="s">
        <v>5403</v>
      </c>
      <c r="B5467" t="s">
        <v>40</v>
      </c>
      <c r="C5467" t="s">
        <v>41</v>
      </c>
      <c r="D5467" t="str">
        <f>HYPERLINK("http://service.sap.com/sap/support/notes/1689968","1689968")</f>
        <v>1689968</v>
      </c>
      <c r="E5467">
        <v>2</v>
      </c>
      <c r="F5467" t="s">
        <v>5567</v>
      </c>
    </row>
    <row r="5468" spans="1:6" x14ac:dyDescent="0.25">
      <c r="A5468" t="s">
        <v>5403</v>
      </c>
      <c r="B5468" t="s">
        <v>5568</v>
      </c>
      <c r="C5468" t="s">
        <v>363</v>
      </c>
      <c r="D5468" t="str">
        <f>HYPERLINK("http://service.sap.com/sap/support/notes/1704847","1704847")</f>
        <v>1704847</v>
      </c>
      <c r="E5468">
        <v>1</v>
      </c>
      <c r="F5468" t="s">
        <v>5569</v>
      </c>
    </row>
    <row r="5469" spans="1:6" x14ac:dyDescent="0.25">
      <c r="A5469" t="s">
        <v>5403</v>
      </c>
      <c r="B5469" t="s">
        <v>5570</v>
      </c>
      <c r="C5469" t="s">
        <v>396</v>
      </c>
      <c r="D5469" t="str">
        <f>HYPERLINK("http://service.sap.com/sap/support/notes/1728811","1728811")</f>
        <v>1728811</v>
      </c>
      <c r="E5469">
        <v>1</v>
      </c>
      <c r="F5469" t="s">
        <v>5571</v>
      </c>
    </row>
    <row r="5470" spans="1:6" x14ac:dyDescent="0.25">
      <c r="A5470" t="s">
        <v>5403</v>
      </c>
      <c r="B5470" t="s">
        <v>63</v>
      </c>
      <c r="C5470" t="s">
        <v>64</v>
      </c>
      <c r="D5470" t="str">
        <f>HYPERLINK("http://service.sap.com/sap/support/notes/960754","960754")</f>
        <v>960754</v>
      </c>
      <c r="E5470">
        <v>9</v>
      </c>
      <c r="F5470" t="s">
        <v>65</v>
      </c>
    </row>
    <row r="5471" spans="1:6" x14ac:dyDescent="0.25">
      <c r="A5471" t="s">
        <v>5403</v>
      </c>
      <c r="B5471" t="s">
        <v>63</v>
      </c>
      <c r="C5471" t="s">
        <v>64</v>
      </c>
      <c r="D5471" t="str">
        <f>HYPERLINK("http://service.sap.com/sap/support/notes/1498461","1498461")</f>
        <v>1498461</v>
      </c>
      <c r="E5471">
        <v>3</v>
      </c>
      <c r="F5471" t="s">
        <v>5572</v>
      </c>
    </row>
    <row r="5472" spans="1:6" x14ac:dyDescent="0.25">
      <c r="A5472" t="s">
        <v>5403</v>
      </c>
      <c r="B5472" t="s">
        <v>63</v>
      </c>
      <c r="C5472" t="s">
        <v>64</v>
      </c>
      <c r="D5472" t="str">
        <f>HYPERLINK("http://service.sap.com/sap/support/notes/1651443","1651443")</f>
        <v>1651443</v>
      </c>
      <c r="E5472">
        <v>1</v>
      </c>
      <c r="F5472" t="s">
        <v>5573</v>
      </c>
    </row>
    <row r="5473" spans="1:6" x14ac:dyDescent="0.25">
      <c r="A5473" t="s">
        <v>5403</v>
      </c>
      <c r="B5473" t="s">
        <v>63</v>
      </c>
      <c r="C5473" t="s">
        <v>64</v>
      </c>
      <c r="D5473" t="str">
        <f>HYPERLINK("http://service.sap.com/sap/support/notes/1705960","1705960")</f>
        <v>1705960</v>
      </c>
      <c r="E5473">
        <v>2</v>
      </c>
      <c r="F5473" t="s">
        <v>5574</v>
      </c>
    </row>
    <row r="5474" spans="1:6" x14ac:dyDescent="0.25">
      <c r="A5474" t="s">
        <v>5403</v>
      </c>
      <c r="B5474" t="s">
        <v>63</v>
      </c>
      <c r="C5474" t="s">
        <v>64</v>
      </c>
      <c r="D5474" t="str">
        <f>HYPERLINK("http://service.sap.com/sap/support/notes/1710248","1710248")</f>
        <v>1710248</v>
      </c>
      <c r="E5474">
        <v>2</v>
      </c>
      <c r="F5474" t="s">
        <v>5575</v>
      </c>
    </row>
    <row r="5475" spans="1:6" x14ac:dyDescent="0.25">
      <c r="A5475" t="s">
        <v>5403</v>
      </c>
      <c r="B5475" t="s">
        <v>63</v>
      </c>
      <c r="C5475" t="s">
        <v>64</v>
      </c>
      <c r="D5475" t="str">
        <f>HYPERLINK("http://service.sap.com/sap/support/notes/1713831","1713831")</f>
        <v>1713831</v>
      </c>
      <c r="E5475">
        <v>1</v>
      </c>
      <c r="F5475" t="s">
        <v>5576</v>
      </c>
    </row>
    <row r="5476" spans="1:6" x14ac:dyDescent="0.25">
      <c r="A5476" t="s">
        <v>5403</v>
      </c>
      <c r="B5476" t="s">
        <v>63</v>
      </c>
      <c r="C5476" t="s">
        <v>64</v>
      </c>
      <c r="D5476" t="str">
        <f>HYPERLINK("http://service.sap.com/sap/support/notes/1715432","1715432")</f>
        <v>1715432</v>
      </c>
      <c r="E5476">
        <v>3</v>
      </c>
      <c r="F5476" t="s">
        <v>5577</v>
      </c>
    </row>
    <row r="5477" spans="1:6" x14ac:dyDescent="0.25">
      <c r="A5477" t="s">
        <v>5403</v>
      </c>
      <c r="B5477" t="s">
        <v>63</v>
      </c>
      <c r="C5477" t="s">
        <v>64</v>
      </c>
      <c r="D5477" t="str">
        <f>HYPERLINK("http://service.sap.com/sap/support/notes/1720550","1720550")</f>
        <v>1720550</v>
      </c>
      <c r="E5477">
        <v>1</v>
      </c>
      <c r="F5477" t="s">
        <v>5578</v>
      </c>
    </row>
    <row r="5478" spans="1:6" x14ac:dyDescent="0.25">
      <c r="A5478" t="s">
        <v>5403</v>
      </c>
      <c r="B5478" t="s">
        <v>661</v>
      </c>
      <c r="C5478" t="s">
        <v>438</v>
      </c>
      <c r="D5478" t="str">
        <f>HYPERLINK("http://service.sap.com/sap/support/notes/1724296","1724296")</f>
        <v>1724296</v>
      </c>
      <c r="E5478">
        <v>1</v>
      </c>
      <c r="F5478" t="s">
        <v>5579</v>
      </c>
    </row>
    <row r="5479" spans="1:6" x14ac:dyDescent="0.25">
      <c r="A5479" t="s">
        <v>5403</v>
      </c>
      <c r="B5479" t="s">
        <v>73</v>
      </c>
      <c r="C5479" t="s">
        <v>74</v>
      </c>
    </row>
    <row r="5480" spans="1:6" x14ac:dyDescent="0.25">
      <c r="A5480" t="s">
        <v>5403</v>
      </c>
      <c r="B5480" t="s">
        <v>5580</v>
      </c>
      <c r="C5480" t="s">
        <v>5581</v>
      </c>
      <c r="D5480" t="str">
        <f>HYPERLINK("http://service.sap.com/sap/support/notes/1687725","1687725")</f>
        <v>1687725</v>
      </c>
      <c r="E5480">
        <v>2</v>
      </c>
      <c r="F5480" t="s">
        <v>5582</v>
      </c>
    </row>
    <row r="5481" spans="1:6" x14ac:dyDescent="0.25">
      <c r="A5481" t="s">
        <v>5403</v>
      </c>
      <c r="B5481" t="s">
        <v>5580</v>
      </c>
      <c r="C5481" t="s">
        <v>5581</v>
      </c>
      <c r="D5481" t="str">
        <f>HYPERLINK("http://service.sap.com/sap/support/notes/1703008","1703008")</f>
        <v>1703008</v>
      </c>
      <c r="E5481">
        <v>2</v>
      </c>
      <c r="F5481" t="s">
        <v>5583</v>
      </c>
    </row>
    <row r="5482" spans="1:6" x14ac:dyDescent="0.25">
      <c r="A5482" t="s">
        <v>5403</v>
      </c>
      <c r="B5482" t="s">
        <v>531</v>
      </c>
      <c r="C5482" t="s">
        <v>532</v>
      </c>
      <c r="D5482" t="str">
        <f>HYPERLINK("http://service.sap.com/sap/support/notes/990247","990247")</f>
        <v>990247</v>
      </c>
      <c r="E5482">
        <v>1</v>
      </c>
      <c r="F5482" t="s">
        <v>5584</v>
      </c>
    </row>
    <row r="5483" spans="1:6" x14ac:dyDescent="0.25">
      <c r="A5483" t="s">
        <v>5403</v>
      </c>
      <c r="B5483" t="s">
        <v>531</v>
      </c>
      <c r="C5483" t="s">
        <v>532</v>
      </c>
      <c r="D5483" t="str">
        <f>HYPERLINK("http://service.sap.com/sap/support/notes/1336916","1336916")</f>
        <v>1336916</v>
      </c>
      <c r="E5483">
        <v>3</v>
      </c>
      <c r="F5483" t="s">
        <v>5585</v>
      </c>
    </row>
    <row r="5484" spans="1:6" x14ac:dyDescent="0.25">
      <c r="A5484" t="s">
        <v>5403</v>
      </c>
      <c r="B5484" t="s">
        <v>531</v>
      </c>
      <c r="C5484" t="s">
        <v>532</v>
      </c>
      <c r="D5484" t="str">
        <f>HYPERLINK("http://service.sap.com/sap/support/notes/1662329","1662329")</f>
        <v>1662329</v>
      </c>
      <c r="E5484">
        <v>3</v>
      </c>
      <c r="F5484" t="s">
        <v>5586</v>
      </c>
    </row>
    <row r="5485" spans="1:6" x14ac:dyDescent="0.25">
      <c r="A5485" t="s">
        <v>5403</v>
      </c>
      <c r="B5485" t="s">
        <v>531</v>
      </c>
      <c r="C5485" t="s">
        <v>532</v>
      </c>
      <c r="D5485" t="str">
        <f>HYPERLINK("http://service.sap.com/sap/support/notes/1674514","1674514")</f>
        <v>1674514</v>
      </c>
      <c r="E5485">
        <v>1</v>
      </c>
      <c r="F5485" t="s">
        <v>5587</v>
      </c>
    </row>
    <row r="5486" spans="1:6" x14ac:dyDescent="0.25">
      <c r="A5486" t="s">
        <v>5403</v>
      </c>
      <c r="B5486" t="s">
        <v>531</v>
      </c>
      <c r="C5486" t="s">
        <v>532</v>
      </c>
      <c r="D5486" t="str">
        <f>HYPERLINK("http://service.sap.com/sap/support/notes/1708544","1708544")</f>
        <v>1708544</v>
      </c>
      <c r="E5486">
        <v>1</v>
      </c>
      <c r="F5486" t="s">
        <v>5588</v>
      </c>
    </row>
    <row r="5487" spans="1:6" x14ac:dyDescent="0.25">
      <c r="A5487" t="s">
        <v>5403</v>
      </c>
      <c r="B5487" t="s">
        <v>531</v>
      </c>
      <c r="C5487" t="s">
        <v>532</v>
      </c>
      <c r="D5487" t="str">
        <f>HYPERLINK("http://service.sap.com/sap/support/notes/1715843","1715843")</f>
        <v>1715843</v>
      </c>
      <c r="E5487">
        <v>2</v>
      </c>
      <c r="F5487" t="s">
        <v>5589</v>
      </c>
    </row>
    <row r="5488" spans="1:6" x14ac:dyDescent="0.25">
      <c r="A5488" t="s">
        <v>5403</v>
      </c>
      <c r="B5488" t="s">
        <v>531</v>
      </c>
      <c r="C5488" t="s">
        <v>532</v>
      </c>
      <c r="D5488" t="str">
        <f>HYPERLINK("http://service.sap.com/sap/support/notes/1715935","1715935")</f>
        <v>1715935</v>
      </c>
      <c r="E5488">
        <v>3</v>
      </c>
      <c r="F5488" t="s">
        <v>5590</v>
      </c>
    </row>
    <row r="5489" spans="1:6" x14ac:dyDescent="0.25">
      <c r="A5489" t="s">
        <v>5403</v>
      </c>
      <c r="B5489" t="s">
        <v>531</v>
      </c>
      <c r="C5489" t="s">
        <v>532</v>
      </c>
      <c r="D5489" t="str">
        <f>HYPERLINK("http://service.sap.com/sap/support/notes/1718173","1718173")</f>
        <v>1718173</v>
      </c>
      <c r="E5489">
        <v>2</v>
      </c>
      <c r="F5489" t="s">
        <v>5591</v>
      </c>
    </row>
    <row r="5490" spans="1:6" x14ac:dyDescent="0.25">
      <c r="A5490" t="s">
        <v>5403</v>
      </c>
      <c r="B5490" t="s">
        <v>531</v>
      </c>
      <c r="C5490" t="s">
        <v>532</v>
      </c>
      <c r="D5490" t="str">
        <f>HYPERLINK("http://service.sap.com/sap/support/notes/1719577","1719577")</f>
        <v>1719577</v>
      </c>
      <c r="E5490">
        <v>1</v>
      </c>
      <c r="F5490" t="s">
        <v>5592</v>
      </c>
    </row>
    <row r="5491" spans="1:6" x14ac:dyDescent="0.25">
      <c r="A5491" t="s">
        <v>5403</v>
      </c>
      <c r="B5491" t="s">
        <v>531</v>
      </c>
      <c r="C5491" t="s">
        <v>532</v>
      </c>
      <c r="D5491" t="str">
        <f>HYPERLINK("http://service.sap.com/sap/support/notes/1721017","1721017")</f>
        <v>1721017</v>
      </c>
      <c r="E5491">
        <v>1</v>
      </c>
      <c r="F5491" t="s">
        <v>5593</v>
      </c>
    </row>
    <row r="5492" spans="1:6" x14ac:dyDescent="0.25">
      <c r="A5492" t="s">
        <v>5403</v>
      </c>
      <c r="B5492" t="s">
        <v>536</v>
      </c>
      <c r="C5492" t="s">
        <v>537</v>
      </c>
    </row>
    <row r="5493" spans="1:6" x14ac:dyDescent="0.25">
      <c r="A5493" t="s">
        <v>5403</v>
      </c>
      <c r="B5493" t="s">
        <v>5594</v>
      </c>
      <c r="C5493" t="s">
        <v>5595</v>
      </c>
      <c r="D5493" t="str">
        <f>HYPERLINK("http://service.sap.com/sap/support/notes/1660380","1660380")</f>
        <v>1660380</v>
      </c>
      <c r="E5493">
        <v>6</v>
      </c>
      <c r="F5493" t="s">
        <v>5596</v>
      </c>
    </row>
    <row r="5494" spans="1:6" x14ac:dyDescent="0.25">
      <c r="A5494" t="s">
        <v>5403</v>
      </c>
      <c r="B5494" t="s">
        <v>5594</v>
      </c>
      <c r="C5494" t="s">
        <v>5595</v>
      </c>
      <c r="D5494" t="str">
        <f>HYPERLINK("http://service.sap.com/sap/support/notes/1683886","1683886")</f>
        <v>1683886</v>
      </c>
      <c r="E5494">
        <v>2</v>
      </c>
      <c r="F5494" t="s">
        <v>5597</v>
      </c>
    </row>
    <row r="5495" spans="1:6" x14ac:dyDescent="0.25">
      <c r="A5495" t="s">
        <v>5403</v>
      </c>
      <c r="B5495" t="s">
        <v>5594</v>
      </c>
      <c r="C5495" t="s">
        <v>5595</v>
      </c>
      <c r="D5495" t="str">
        <f>HYPERLINK("http://service.sap.com/sap/support/notes/1696195","1696195")</f>
        <v>1696195</v>
      </c>
      <c r="E5495">
        <v>4</v>
      </c>
      <c r="F5495" t="s">
        <v>5598</v>
      </c>
    </row>
    <row r="5496" spans="1:6" x14ac:dyDescent="0.25">
      <c r="A5496" t="s">
        <v>5403</v>
      </c>
      <c r="B5496" t="s">
        <v>5594</v>
      </c>
      <c r="C5496" t="s">
        <v>5595</v>
      </c>
      <c r="D5496" t="str">
        <f>HYPERLINK("http://service.sap.com/sap/support/notes/1709563","1709563")</f>
        <v>1709563</v>
      </c>
      <c r="E5496">
        <v>3</v>
      </c>
      <c r="F5496" t="s">
        <v>5599</v>
      </c>
    </row>
    <row r="5497" spans="1:6" x14ac:dyDescent="0.25">
      <c r="A5497" t="s">
        <v>5403</v>
      </c>
      <c r="B5497" t="s">
        <v>5594</v>
      </c>
      <c r="C5497" t="s">
        <v>5595</v>
      </c>
      <c r="D5497" t="str">
        <f>HYPERLINK("http://service.sap.com/sap/support/notes/1710932","1710932")</f>
        <v>1710932</v>
      </c>
      <c r="E5497">
        <v>3</v>
      </c>
      <c r="F5497" t="s">
        <v>5600</v>
      </c>
    </row>
    <row r="5498" spans="1:6" x14ac:dyDescent="0.25">
      <c r="A5498" t="s">
        <v>5403</v>
      </c>
      <c r="B5498" t="s">
        <v>5594</v>
      </c>
      <c r="C5498" t="s">
        <v>5595</v>
      </c>
      <c r="D5498" t="str">
        <f>HYPERLINK("http://service.sap.com/sap/support/notes/1711624","1711624")</f>
        <v>1711624</v>
      </c>
      <c r="E5498">
        <v>1</v>
      </c>
      <c r="F5498" t="s">
        <v>5601</v>
      </c>
    </row>
    <row r="5499" spans="1:6" x14ac:dyDescent="0.25">
      <c r="A5499" t="s">
        <v>5403</v>
      </c>
      <c r="B5499" t="s">
        <v>5594</v>
      </c>
      <c r="C5499" t="s">
        <v>5595</v>
      </c>
      <c r="D5499" t="str">
        <f>HYPERLINK("http://service.sap.com/sap/support/notes/1718635","1718635")</f>
        <v>1718635</v>
      </c>
      <c r="E5499">
        <v>2</v>
      </c>
      <c r="F5499" t="s">
        <v>5602</v>
      </c>
    </row>
    <row r="5500" spans="1:6" x14ac:dyDescent="0.25">
      <c r="A5500" t="s">
        <v>5403</v>
      </c>
      <c r="B5500" t="s">
        <v>5594</v>
      </c>
      <c r="C5500" t="s">
        <v>5595</v>
      </c>
      <c r="D5500" t="str">
        <f>HYPERLINK("http://service.sap.com/sap/support/notes/1718719","1718719")</f>
        <v>1718719</v>
      </c>
      <c r="E5500">
        <v>1</v>
      </c>
      <c r="F5500" t="s">
        <v>5603</v>
      </c>
    </row>
    <row r="5501" spans="1:6" x14ac:dyDescent="0.25">
      <c r="A5501" t="s">
        <v>5403</v>
      </c>
      <c r="B5501" t="s">
        <v>540</v>
      </c>
      <c r="C5501" t="s">
        <v>541</v>
      </c>
    </row>
    <row r="5502" spans="1:6" x14ac:dyDescent="0.25">
      <c r="A5502" t="s">
        <v>5403</v>
      </c>
      <c r="B5502" t="s">
        <v>542</v>
      </c>
      <c r="C5502" t="s">
        <v>5604</v>
      </c>
      <c r="D5502" t="str">
        <f>HYPERLINK("http://service.sap.com/sap/support/notes/1677827","1677827")</f>
        <v>1677827</v>
      </c>
      <c r="E5502">
        <v>4</v>
      </c>
      <c r="F5502" t="s">
        <v>5605</v>
      </c>
    </row>
    <row r="5503" spans="1:6" x14ac:dyDescent="0.25">
      <c r="A5503" t="s">
        <v>5403</v>
      </c>
      <c r="B5503" t="s">
        <v>542</v>
      </c>
      <c r="C5503" t="s">
        <v>5604</v>
      </c>
      <c r="D5503" t="str">
        <f>HYPERLINK("http://service.sap.com/sap/support/notes/1682525","1682525")</f>
        <v>1682525</v>
      </c>
      <c r="E5503">
        <v>7</v>
      </c>
      <c r="F5503" t="s">
        <v>5606</v>
      </c>
    </row>
    <row r="5504" spans="1:6" x14ac:dyDescent="0.25">
      <c r="A5504" t="s">
        <v>5403</v>
      </c>
      <c r="B5504" t="s">
        <v>542</v>
      </c>
      <c r="C5504" t="s">
        <v>5604</v>
      </c>
      <c r="D5504" t="str">
        <f>HYPERLINK("http://service.sap.com/sap/support/notes/1715818","1715818")</f>
        <v>1715818</v>
      </c>
      <c r="E5504">
        <v>3</v>
      </c>
      <c r="F5504" t="s">
        <v>5607</v>
      </c>
    </row>
    <row r="5505" spans="1:6" x14ac:dyDescent="0.25">
      <c r="A5505" t="s">
        <v>5403</v>
      </c>
      <c r="B5505" t="s">
        <v>542</v>
      </c>
      <c r="C5505" t="s">
        <v>5604</v>
      </c>
      <c r="D5505" t="str">
        <f>HYPERLINK("http://service.sap.com/sap/support/notes/1717519","1717519")</f>
        <v>1717519</v>
      </c>
      <c r="E5505">
        <v>3</v>
      </c>
      <c r="F5505" t="s">
        <v>5608</v>
      </c>
    </row>
    <row r="5506" spans="1:6" x14ac:dyDescent="0.25">
      <c r="A5506" t="s">
        <v>5403</v>
      </c>
      <c r="B5506" t="s">
        <v>542</v>
      </c>
      <c r="C5506" t="s">
        <v>5604</v>
      </c>
      <c r="D5506" t="str">
        <f>HYPERLINK("http://service.sap.com/sap/support/notes/1726373","1726373")</f>
        <v>1726373</v>
      </c>
      <c r="E5506">
        <v>1</v>
      </c>
      <c r="F5506" t="s">
        <v>5609</v>
      </c>
    </row>
    <row r="5507" spans="1:6" x14ac:dyDescent="0.25">
      <c r="A5507" t="s">
        <v>5403</v>
      </c>
      <c r="B5507" t="s">
        <v>544</v>
      </c>
      <c r="C5507" t="s">
        <v>5610</v>
      </c>
      <c r="D5507" t="str">
        <f>HYPERLINK("http://service.sap.com/sap/support/notes/1684065","1684065")</f>
        <v>1684065</v>
      </c>
      <c r="E5507">
        <v>10</v>
      </c>
      <c r="F5507" t="s">
        <v>5611</v>
      </c>
    </row>
    <row r="5508" spans="1:6" x14ac:dyDescent="0.25">
      <c r="A5508" t="s">
        <v>5403</v>
      </c>
      <c r="B5508" t="s">
        <v>5612</v>
      </c>
      <c r="C5508" t="s">
        <v>707</v>
      </c>
      <c r="D5508" t="str">
        <f>HYPERLINK("http://service.sap.com/sap/support/notes/1622866","1622866")</f>
        <v>1622866</v>
      </c>
      <c r="E5508">
        <v>14</v>
      </c>
      <c r="F5508" t="s">
        <v>5613</v>
      </c>
    </row>
    <row r="5509" spans="1:6" x14ac:dyDescent="0.25">
      <c r="A5509" t="s">
        <v>5403</v>
      </c>
      <c r="B5509" t="s">
        <v>5612</v>
      </c>
      <c r="C5509" t="s">
        <v>707</v>
      </c>
      <c r="D5509" t="str">
        <f>HYPERLINK("http://service.sap.com/sap/support/notes/1726754","1726754")</f>
        <v>1726754</v>
      </c>
      <c r="E5509">
        <v>4</v>
      </c>
      <c r="F5509" t="s">
        <v>5614</v>
      </c>
    </row>
    <row r="5510" spans="1:6" x14ac:dyDescent="0.25">
      <c r="A5510" t="s">
        <v>5403</v>
      </c>
      <c r="B5510" t="s">
        <v>5615</v>
      </c>
      <c r="C5510" t="s">
        <v>5616</v>
      </c>
      <c r="D5510" t="str">
        <f>HYPERLINK("http://service.sap.com/sap/support/notes/1712017","1712017")</f>
        <v>1712017</v>
      </c>
      <c r="E5510">
        <v>3</v>
      </c>
      <c r="F5510" t="s">
        <v>5617</v>
      </c>
    </row>
    <row r="5511" spans="1:6" x14ac:dyDescent="0.25">
      <c r="A5511" t="s">
        <v>5403</v>
      </c>
      <c r="B5511" t="s">
        <v>5615</v>
      </c>
      <c r="C5511" t="s">
        <v>5616</v>
      </c>
      <c r="D5511" t="str">
        <f>HYPERLINK("http://service.sap.com/sap/support/notes/1714066","1714066")</f>
        <v>1714066</v>
      </c>
      <c r="E5511">
        <v>2</v>
      </c>
      <c r="F5511" t="s">
        <v>5618</v>
      </c>
    </row>
    <row r="5512" spans="1:6" x14ac:dyDescent="0.25">
      <c r="A5512" t="s">
        <v>5403</v>
      </c>
      <c r="B5512" t="s">
        <v>5615</v>
      </c>
      <c r="C5512" t="s">
        <v>5616</v>
      </c>
      <c r="D5512" t="str">
        <f>HYPERLINK("http://service.sap.com/sap/support/notes/1716328","1716328")</f>
        <v>1716328</v>
      </c>
      <c r="E5512">
        <v>2</v>
      </c>
      <c r="F5512" t="s">
        <v>5619</v>
      </c>
    </row>
    <row r="5513" spans="1:6" x14ac:dyDescent="0.25">
      <c r="A5513" t="s">
        <v>5403</v>
      </c>
      <c r="B5513" t="s">
        <v>5615</v>
      </c>
      <c r="C5513" t="s">
        <v>5616</v>
      </c>
      <c r="D5513" t="str">
        <f>HYPERLINK("http://service.sap.com/sap/support/notes/1717518","1717518")</f>
        <v>1717518</v>
      </c>
      <c r="E5513">
        <v>1</v>
      </c>
      <c r="F5513" t="s">
        <v>5620</v>
      </c>
    </row>
    <row r="5514" spans="1:6" x14ac:dyDescent="0.25">
      <c r="A5514" t="s">
        <v>5403</v>
      </c>
      <c r="B5514" t="s">
        <v>5615</v>
      </c>
      <c r="C5514" t="s">
        <v>5616</v>
      </c>
      <c r="D5514" t="str">
        <f>HYPERLINK("http://service.sap.com/sap/support/notes/1718947","1718947")</f>
        <v>1718947</v>
      </c>
      <c r="E5514">
        <v>2</v>
      </c>
      <c r="F5514" t="s">
        <v>5621</v>
      </c>
    </row>
    <row r="5515" spans="1:6" x14ac:dyDescent="0.25">
      <c r="A5515" t="s">
        <v>5403</v>
      </c>
      <c r="B5515" t="s">
        <v>5615</v>
      </c>
      <c r="C5515" t="s">
        <v>5616</v>
      </c>
      <c r="D5515" t="str">
        <f>HYPERLINK("http://service.sap.com/sap/support/notes/1720470","1720470")</f>
        <v>1720470</v>
      </c>
      <c r="E5515">
        <v>1</v>
      </c>
      <c r="F5515" t="s">
        <v>5622</v>
      </c>
    </row>
    <row r="5516" spans="1:6" x14ac:dyDescent="0.25">
      <c r="A5516" t="s">
        <v>5403</v>
      </c>
      <c r="B5516" t="s">
        <v>5615</v>
      </c>
      <c r="C5516" t="s">
        <v>5616</v>
      </c>
      <c r="D5516" t="str">
        <f>HYPERLINK("http://service.sap.com/sap/support/notes/1720590","1720590")</f>
        <v>1720590</v>
      </c>
      <c r="E5516">
        <v>2</v>
      </c>
      <c r="F5516" t="s">
        <v>5623</v>
      </c>
    </row>
    <row r="5517" spans="1:6" x14ac:dyDescent="0.25">
      <c r="A5517" t="s">
        <v>5403</v>
      </c>
      <c r="B5517" t="s">
        <v>5615</v>
      </c>
      <c r="C5517" t="s">
        <v>5616</v>
      </c>
      <c r="D5517" t="str">
        <f>HYPERLINK("http://service.sap.com/sap/support/notes/1721011","1721011")</f>
        <v>1721011</v>
      </c>
      <c r="E5517">
        <v>1</v>
      </c>
      <c r="F5517" t="s">
        <v>5624</v>
      </c>
    </row>
    <row r="5518" spans="1:6" x14ac:dyDescent="0.25">
      <c r="A5518" t="s">
        <v>5403</v>
      </c>
      <c r="B5518" t="s">
        <v>5615</v>
      </c>
      <c r="C5518" t="s">
        <v>5616</v>
      </c>
      <c r="D5518" t="str">
        <f>HYPERLINK("http://service.sap.com/sap/support/notes/1722309","1722309")</f>
        <v>1722309</v>
      </c>
      <c r="E5518">
        <v>1</v>
      </c>
      <c r="F5518" t="s">
        <v>5625</v>
      </c>
    </row>
    <row r="5519" spans="1:6" x14ac:dyDescent="0.25">
      <c r="A5519" t="s">
        <v>5403</v>
      </c>
      <c r="B5519" t="s">
        <v>5615</v>
      </c>
      <c r="C5519" t="s">
        <v>5616</v>
      </c>
      <c r="D5519" t="str">
        <f>HYPERLINK("http://service.sap.com/sap/support/notes/1725057","1725057")</f>
        <v>1725057</v>
      </c>
      <c r="E5519">
        <v>3</v>
      </c>
      <c r="F5519" t="s">
        <v>5626</v>
      </c>
    </row>
    <row r="5520" spans="1:6" x14ac:dyDescent="0.25">
      <c r="A5520" t="s">
        <v>5403</v>
      </c>
      <c r="B5520" t="s">
        <v>85</v>
      </c>
      <c r="C5520" t="s">
        <v>86</v>
      </c>
    </row>
    <row r="5521" spans="1:6" x14ac:dyDescent="0.25">
      <c r="A5521" t="s">
        <v>5403</v>
      </c>
      <c r="B5521" t="s">
        <v>696</v>
      </c>
      <c r="C5521" t="s">
        <v>697</v>
      </c>
    </row>
    <row r="5522" spans="1:6" x14ac:dyDescent="0.25">
      <c r="A5522" t="s">
        <v>5403</v>
      </c>
      <c r="B5522" t="s">
        <v>3380</v>
      </c>
      <c r="C5522" t="s">
        <v>3381</v>
      </c>
      <c r="D5522" t="str">
        <f>HYPERLINK("http://service.sap.com/sap/support/notes/1713780","1713780")</f>
        <v>1713780</v>
      </c>
      <c r="E5522">
        <v>1</v>
      </c>
      <c r="F5522" t="s">
        <v>5627</v>
      </c>
    </row>
    <row r="5523" spans="1:6" x14ac:dyDescent="0.25">
      <c r="A5523" t="s">
        <v>5403</v>
      </c>
      <c r="B5523" t="s">
        <v>3380</v>
      </c>
      <c r="C5523" t="s">
        <v>3381</v>
      </c>
      <c r="D5523" t="str">
        <f>HYPERLINK("http://service.sap.com/sap/support/notes/1718266","1718266")</f>
        <v>1718266</v>
      </c>
      <c r="E5523">
        <v>2</v>
      </c>
      <c r="F5523" t="s">
        <v>5628</v>
      </c>
    </row>
    <row r="5524" spans="1:6" x14ac:dyDescent="0.25">
      <c r="A5524" t="s">
        <v>5403</v>
      </c>
      <c r="B5524" t="s">
        <v>3380</v>
      </c>
      <c r="C5524" t="s">
        <v>3381</v>
      </c>
      <c r="D5524" t="str">
        <f>HYPERLINK("http://service.sap.com/sap/support/notes/1719395","1719395")</f>
        <v>1719395</v>
      </c>
      <c r="E5524">
        <v>2</v>
      </c>
      <c r="F5524" t="s">
        <v>5629</v>
      </c>
    </row>
    <row r="5525" spans="1:6" x14ac:dyDescent="0.25">
      <c r="A5525" t="s">
        <v>5403</v>
      </c>
      <c r="B5525" t="s">
        <v>3380</v>
      </c>
      <c r="C5525" t="s">
        <v>3381</v>
      </c>
      <c r="D5525" t="str">
        <f>HYPERLINK("http://service.sap.com/sap/support/notes/1720025","1720025")</f>
        <v>1720025</v>
      </c>
      <c r="E5525">
        <v>3</v>
      </c>
      <c r="F5525" t="s">
        <v>5630</v>
      </c>
    </row>
    <row r="5526" spans="1:6" x14ac:dyDescent="0.25">
      <c r="A5526" t="s">
        <v>5403</v>
      </c>
      <c r="B5526" t="s">
        <v>3380</v>
      </c>
      <c r="C5526" t="s">
        <v>3381</v>
      </c>
      <c r="D5526" t="str">
        <f>HYPERLINK("http://service.sap.com/sap/support/notes/1726656","1726656")</f>
        <v>1726656</v>
      </c>
      <c r="E5526">
        <v>2</v>
      </c>
      <c r="F5526" t="s">
        <v>5631</v>
      </c>
    </row>
    <row r="5527" spans="1:6" x14ac:dyDescent="0.25">
      <c r="A5527" t="s">
        <v>5403</v>
      </c>
      <c r="B5527" t="s">
        <v>3380</v>
      </c>
      <c r="C5527" t="s">
        <v>3381</v>
      </c>
      <c r="D5527" t="str">
        <f>HYPERLINK("http://service.sap.com/sap/support/notes/1728438","1728438")</f>
        <v>1728438</v>
      </c>
      <c r="E5527">
        <v>2</v>
      </c>
      <c r="F5527" t="s">
        <v>5632</v>
      </c>
    </row>
    <row r="5528" spans="1:6" x14ac:dyDescent="0.25">
      <c r="A5528" t="s">
        <v>5403</v>
      </c>
      <c r="B5528" t="s">
        <v>698</v>
      </c>
      <c r="C5528" t="s">
        <v>699</v>
      </c>
      <c r="D5528" t="str">
        <f>HYPERLINK("http://service.sap.com/sap/support/notes/1448255","1448255")</f>
        <v>1448255</v>
      </c>
      <c r="E5528">
        <v>2</v>
      </c>
      <c r="F5528" t="s">
        <v>5633</v>
      </c>
    </row>
    <row r="5529" spans="1:6" x14ac:dyDescent="0.25">
      <c r="A5529" t="s">
        <v>5403</v>
      </c>
      <c r="B5529" t="s">
        <v>698</v>
      </c>
      <c r="C5529" t="s">
        <v>699</v>
      </c>
      <c r="D5529" t="str">
        <f>HYPERLINK("http://service.sap.com/sap/support/notes/1672759","1672759")</f>
        <v>1672759</v>
      </c>
      <c r="E5529">
        <v>3</v>
      </c>
      <c r="F5529" t="s">
        <v>5634</v>
      </c>
    </row>
    <row r="5530" spans="1:6" x14ac:dyDescent="0.25">
      <c r="A5530" t="s">
        <v>5403</v>
      </c>
      <c r="B5530" t="s">
        <v>698</v>
      </c>
      <c r="C5530" t="s">
        <v>699</v>
      </c>
      <c r="D5530" t="str">
        <f>HYPERLINK("http://service.sap.com/sap/support/notes/1706440","1706440")</f>
        <v>1706440</v>
      </c>
      <c r="E5530">
        <v>3</v>
      </c>
      <c r="F5530" t="s">
        <v>5635</v>
      </c>
    </row>
    <row r="5531" spans="1:6" x14ac:dyDescent="0.25">
      <c r="A5531" t="s">
        <v>5403</v>
      </c>
      <c r="B5531" t="s">
        <v>698</v>
      </c>
      <c r="C5531" t="s">
        <v>699</v>
      </c>
      <c r="D5531" t="str">
        <f>HYPERLINK("http://service.sap.com/sap/support/notes/1724038","1724038")</f>
        <v>1724038</v>
      </c>
      <c r="E5531">
        <v>1</v>
      </c>
      <c r="F5531" t="s">
        <v>5636</v>
      </c>
    </row>
    <row r="5532" spans="1:6" x14ac:dyDescent="0.25">
      <c r="A5532" t="s">
        <v>5403</v>
      </c>
      <c r="B5532" t="s">
        <v>90</v>
      </c>
      <c r="C5532" t="s">
        <v>13</v>
      </c>
    </row>
    <row r="5533" spans="1:6" x14ac:dyDescent="0.25">
      <c r="A5533" t="s">
        <v>5403</v>
      </c>
      <c r="B5533" t="s">
        <v>555</v>
      </c>
      <c r="C5533" t="s">
        <v>556</v>
      </c>
      <c r="D5533" t="str">
        <f>HYPERLINK("http://service.sap.com/sap/support/notes/1714479","1714479")</f>
        <v>1714479</v>
      </c>
      <c r="E5533">
        <v>1</v>
      </c>
      <c r="F5533" t="s">
        <v>5637</v>
      </c>
    </row>
    <row r="5534" spans="1:6" x14ac:dyDescent="0.25">
      <c r="A5534" t="s">
        <v>5403</v>
      </c>
      <c r="B5534" t="s">
        <v>557</v>
      </c>
      <c r="C5534" t="s">
        <v>646</v>
      </c>
      <c r="D5534" t="str">
        <f>HYPERLINK("http://service.sap.com/sap/support/notes/1722141","1722141")</f>
        <v>1722141</v>
      </c>
      <c r="E5534">
        <v>1</v>
      </c>
      <c r="F5534" t="s">
        <v>5638</v>
      </c>
    </row>
    <row r="5535" spans="1:6" x14ac:dyDescent="0.25">
      <c r="A5535" t="s">
        <v>5403</v>
      </c>
      <c r="B5535" t="s">
        <v>557</v>
      </c>
      <c r="C5535" t="s">
        <v>646</v>
      </c>
      <c r="D5535" t="str">
        <f>HYPERLINK("http://service.sap.com/sap/support/notes/1728999","1728999")</f>
        <v>1728999</v>
      </c>
      <c r="E5535">
        <v>1</v>
      </c>
      <c r="F5535" t="s">
        <v>5639</v>
      </c>
    </row>
    <row r="5536" spans="1:6" x14ac:dyDescent="0.25">
      <c r="A5536" t="s">
        <v>5403</v>
      </c>
      <c r="B5536" t="s">
        <v>557</v>
      </c>
      <c r="C5536" t="s">
        <v>646</v>
      </c>
      <c r="D5536" t="str">
        <f>HYPERLINK("http://service.sap.com/sap/support/notes/1730067","1730067")</f>
        <v>1730067</v>
      </c>
      <c r="E5536">
        <v>2</v>
      </c>
      <c r="F5536" t="s">
        <v>5640</v>
      </c>
    </row>
    <row r="5537" spans="1:6" x14ac:dyDescent="0.25">
      <c r="A5537" t="s">
        <v>5403</v>
      </c>
      <c r="B5537" t="s">
        <v>563</v>
      </c>
      <c r="C5537" t="s">
        <v>564</v>
      </c>
    </row>
    <row r="5538" spans="1:6" x14ac:dyDescent="0.25">
      <c r="A5538" t="s">
        <v>5403</v>
      </c>
      <c r="B5538" t="s">
        <v>647</v>
      </c>
      <c r="C5538" t="s">
        <v>648</v>
      </c>
      <c r="D5538" t="str">
        <f>HYPERLINK("http://service.sap.com/sap/support/notes/1113397","1113397")</f>
        <v>1113397</v>
      </c>
      <c r="E5538">
        <v>4</v>
      </c>
      <c r="F5538" t="s">
        <v>5641</v>
      </c>
    </row>
    <row r="5539" spans="1:6" x14ac:dyDescent="0.25">
      <c r="A5539" t="s">
        <v>5403</v>
      </c>
      <c r="B5539" t="s">
        <v>647</v>
      </c>
      <c r="C5539" t="s">
        <v>648</v>
      </c>
      <c r="D5539" t="str">
        <f>HYPERLINK("http://service.sap.com/sap/support/notes/1686213","1686213")</f>
        <v>1686213</v>
      </c>
      <c r="E5539">
        <v>3</v>
      </c>
      <c r="F5539" t="s">
        <v>5642</v>
      </c>
    </row>
    <row r="5540" spans="1:6" x14ac:dyDescent="0.25">
      <c r="A5540" t="s">
        <v>5403</v>
      </c>
      <c r="B5540" t="s">
        <v>647</v>
      </c>
      <c r="C5540" t="s">
        <v>648</v>
      </c>
      <c r="D5540" t="str">
        <f>HYPERLINK("http://service.sap.com/sap/support/notes/1701664","1701664")</f>
        <v>1701664</v>
      </c>
      <c r="E5540">
        <v>6</v>
      </c>
      <c r="F5540" t="s">
        <v>5643</v>
      </c>
    </row>
    <row r="5541" spans="1:6" x14ac:dyDescent="0.25">
      <c r="A5541" t="s">
        <v>5403</v>
      </c>
      <c r="B5541" t="s">
        <v>647</v>
      </c>
      <c r="C5541" t="s">
        <v>648</v>
      </c>
      <c r="D5541" t="str">
        <f>HYPERLINK("http://service.sap.com/sap/support/notes/1703207","1703207")</f>
        <v>1703207</v>
      </c>
      <c r="E5541">
        <v>2</v>
      </c>
      <c r="F5541" t="s">
        <v>5644</v>
      </c>
    </row>
    <row r="5542" spans="1:6" x14ac:dyDescent="0.25">
      <c r="A5542" t="s">
        <v>5403</v>
      </c>
      <c r="B5542" t="s">
        <v>647</v>
      </c>
      <c r="C5542" t="s">
        <v>648</v>
      </c>
      <c r="D5542" t="str">
        <f>HYPERLINK("http://service.sap.com/sap/support/notes/1706680","1706680")</f>
        <v>1706680</v>
      </c>
      <c r="E5542">
        <v>3</v>
      </c>
      <c r="F5542" t="s">
        <v>5645</v>
      </c>
    </row>
    <row r="5543" spans="1:6" x14ac:dyDescent="0.25">
      <c r="A5543" t="s">
        <v>5403</v>
      </c>
      <c r="B5543" t="s">
        <v>647</v>
      </c>
      <c r="C5543" t="s">
        <v>648</v>
      </c>
      <c r="D5543" t="str">
        <f>HYPERLINK("http://service.sap.com/sap/support/notes/1711312","1711312")</f>
        <v>1711312</v>
      </c>
      <c r="E5543">
        <v>2</v>
      </c>
      <c r="F5543" t="s">
        <v>5646</v>
      </c>
    </row>
    <row r="5544" spans="1:6" x14ac:dyDescent="0.25">
      <c r="A5544" t="s">
        <v>5403</v>
      </c>
      <c r="B5544" t="s">
        <v>647</v>
      </c>
      <c r="C5544" t="s">
        <v>648</v>
      </c>
      <c r="D5544" t="str">
        <f>HYPERLINK("http://service.sap.com/sap/support/notes/1713483","1713483")</f>
        <v>1713483</v>
      </c>
      <c r="E5544">
        <v>1</v>
      </c>
      <c r="F5544" t="s">
        <v>5647</v>
      </c>
    </row>
    <row r="5545" spans="1:6" x14ac:dyDescent="0.25">
      <c r="A5545" t="s">
        <v>5403</v>
      </c>
      <c r="B5545" t="s">
        <v>647</v>
      </c>
      <c r="C5545" t="s">
        <v>648</v>
      </c>
      <c r="D5545" t="str">
        <f>HYPERLINK("http://service.sap.com/sap/support/notes/1713615","1713615")</f>
        <v>1713615</v>
      </c>
      <c r="E5545">
        <v>1</v>
      </c>
      <c r="F5545" t="s">
        <v>5648</v>
      </c>
    </row>
    <row r="5546" spans="1:6" x14ac:dyDescent="0.25">
      <c r="A5546" t="s">
        <v>5403</v>
      </c>
      <c r="B5546" t="s">
        <v>647</v>
      </c>
      <c r="C5546" t="s">
        <v>648</v>
      </c>
      <c r="D5546" t="str">
        <f>HYPERLINK("http://service.sap.com/sap/support/notes/1714955","1714955")</f>
        <v>1714955</v>
      </c>
      <c r="E5546">
        <v>2</v>
      </c>
      <c r="F5546" t="s">
        <v>5649</v>
      </c>
    </row>
    <row r="5547" spans="1:6" x14ac:dyDescent="0.25">
      <c r="A5547" t="s">
        <v>5403</v>
      </c>
      <c r="B5547" t="s">
        <v>647</v>
      </c>
      <c r="C5547" t="s">
        <v>648</v>
      </c>
      <c r="D5547" t="str">
        <f>HYPERLINK("http://service.sap.com/sap/support/notes/1715619","1715619")</f>
        <v>1715619</v>
      </c>
      <c r="E5547">
        <v>3</v>
      </c>
      <c r="F5547" t="s">
        <v>5650</v>
      </c>
    </row>
    <row r="5548" spans="1:6" x14ac:dyDescent="0.25">
      <c r="A5548" t="s">
        <v>5403</v>
      </c>
      <c r="B5548" t="s">
        <v>647</v>
      </c>
      <c r="C5548" t="s">
        <v>648</v>
      </c>
      <c r="D5548" t="str">
        <f>HYPERLINK("http://service.sap.com/sap/support/notes/1715852","1715852")</f>
        <v>1715852</v>
      </c>
      <c r="E5548">
        <v>1</v>
      </c>
      <c r="F5548" t="s">
        <v>5651</v>
      </c>
    </row>
    <row r="5549" spans="1:6" x14ac:dyDescent="0.25">
      <c r="A5549" t="s">
        <v>5403</v>
      </c>
      <c r="B5549" t="s">
        <v>647</v>
      </c>
      <c r="C5549" t="s">
        <v>648</v>
      </c>
      <c r="D5549" t="str">
        <f>HYPERLINK("http://service.sap.com/sap/support/notes/1718816","1718816")</f>
        <v>1718816</v>
      </c>
      <c r="E5549">
        <v>1</v>
      </c>
      <c r="F5549" t="s">
        <v>5652</v>
      </c>
    </row>
    <row r="5550" spans="1:6" x14ac:dyDescent="0.25">
      <c r="A5550" t="s">
        <v>5403</v>
      </c>
      <c r="B5550" t="s">
        <v>647</v>
      </c>
      <c r="C5550" t="s">
        <v>648</v>
      </c>
      <c r="D5550" t="str">
        <f>HYPERLINK("http://service.sap.com/sap/support/notes/1721171","1721171")</f>
        <v>1721171</v>
      </c>
      <c r="E5550">
        <v>5</v>
      </c>
      <c r="F5550" t="s">
        <v>5653</v>
      </c>
    </row>
    <row r="5551" spans="1:6" x14ac:dyDescent="0.25">
      <c r="A5551" t="s">
        <v>5403</v>
      </c>
      <c r="B5551" t="s">
        <v>647</v>
      </c>
      <c r="C5551" t="s">
        <v>648</v>
      </c>
      <c r="D5551" t="str">
        <f>HYPERLINK("http://service.sap.com/sap/support/notes/1728488","1728488")</f>
        <v>1728488</v>
      </c>
      <c r="E5551">
        <v>3</v>
      </c>
      <c r="F5551" t="s">
        <v>5654</v>
      </c>
    </row>
    <row r="5552" spans="1:6" x14ac:dyDescent="0.25">
      <c r="A5552" t="s">
        <v>5403</v>
      </c>
      <c r="B5552" t="s">
        <v>647</v>
      </c>
      <c r="C5552" t="s">
        <v>648</v>
      </c>
      <c r="D5552" t="str">
        <f>HYPERLINK("http://service.sap.com/sap/support/notes/1729804","1729804")</f>
        <v>1729804</v>
      </c>
      <c r="E5552">
        <v>3</v>
      </c>
      <c r="F5552" t="s">
        <v>5655</v>
      </c>
    </row>
    <row r="5553" spans="1:6" x14ac:dyDescent="0.25">
      <c r="A5553" t="s">
        <v>5403</v>
      </c>
      <c r="B5553" t="s">
        <v>95</v>
      </c>
      <c r="C5553" t="s">
        <v>96</v>
      </c>
    </row>
    <row r="5554" spans="1:6" x14ac:dyDescent="0.25">
      <c r="A5554" t="s">
        <v>5403</v>
      </c>
      <c r="B5554" t="s">
        <v>114</v>
      </c>
      <c r="C5554" t="s">
        <v>115</v>
      </c>
      <c r="D5554" t="str">
        <f>HYPERLINK("http://service.sap.com/sap/support/notes/1708738","1708738")</f>
        <v>1708738</v>
      </c>
      <c r="E5554">
        <v>2</v>
      </c>
      <c r="F5554" t="s">
        <v>5656</v>
      </c>
    </row>
    <row r="5555" spans="1:6" x14ac:dyDescent="0.25">
      <c r="A5555" t="s">
        <v>5403</v>
      </c>
      <c r="B5555" t="s">
        <v>685</v>
      </c>
      <c r="C5555" t="s">
        <v>686</v>
      </c>
      <c r="D5555" t="str">
        <f>HYPERLINK("http://service.sap.com/sap/support/notes/1716617","1716617")</f>
        <v>1716617</v>
      </c>
      <c r="E5555">
        <v>1</v>
      </c>
      <c r="F5555" t="s">
        <v>5657</v>
      </c>
    </row>
    <row r="5556" spans="1:6" x14ac:dyDescent="0.25">
      <c r="A5556" t="s">
        <v>5403</v>
      </c>
      <c r="B5556" t="s">
        <v>685</v>
      </c>
      <c r="C5556" t="s">
        <v>686</v>
      </c>
      <c r="D5556" t="str">
        <f>HYPERLINK("http://service.sap.com/sap/support/notes/1726938","1726938")</f>
        <v>1726938</v>
      </c>
      <c r="E5556">
        <v>1</v>
      </c>
      <c r="F5556" t="s">
        <v>5658</v>
      </c>
    </row>
    <row r="5557" spans="1:6" x14ac:dyDescent="0.25">
      <c r="A5557" t="s">
        <v>5403</v>
      </c>
      <c r="B5557" t="s">
        <v>685</v>
      </c>
      <c r="C5557" t="s">
        <v>686</v>
      </c>
      <c r="D5557" t="str">
        <f>HYPERLINK("http://service.sap.com/sap/support/notes/1726948","1726948")</f>
        <v>1726948</v>
      </c>
      <c r="E5557">
        <v>1</v>
      </c>
      <c r="F5557" t="s">
        <v>5659</v>
      </c>
    </row>
    <row r="5558" spans="1:6" x14ac:dyDescent="0.25">
      <c r="A5558" t="s">
        <v>5403</v>
      </c>
      <c r="B5558" t="s">
        <v>685</v>
      </c>
      <c r="C5558" t="s">
        <v>686</v>
      </c>
      <c r="D5558" t="str">
        <f>HYPERLINK("http://service.sap.com/sap/support/notes/1729331","1729331")</f>
        <v>1729331</v>
      </c>
      <c r="E5558">
        <v>1</v>
      </c>
      <c r="F5558" t="s">
        <v>5660</v>
      </c>
    </row>
    <row r="5559" spans="1:6" x14ac:dyDescent="0.25">
      <c r="A5559" t="s">
        <v>5403</v>
      </c>
      <c r="B5559" t="s">
        <v>685</v>
      </c>
      <c r="C5559" t="s">
        <v>686</v>
      </c>
      <c r="D5559" t="str">
        <f>HYPERLINK("http://service.sap.com/sap/support/notes/1730573","1730573")</f>
        <v>1730573</v>
      </c>
      <c r="E5559">
        <v>1</v>
      </c>
      <c r="F5559" t="s">
        <v>5661</v>
      </c>
    </row>
    <row r="5560" spans="1:6" x14ac:dyDescent="0.25">
      <c r="A5560" t="s">
        <v>5403</v>
      </c>
      <c r="B5560" t="s">
        <v>150</v>
      </c>
      <c r="C5560" t="s">
        <v>151</v>
      </c>
      <c r="D5560" t="str">
        <f>HYPERLINK("http://service.sap.com/sap/support/notes/1604276","1604276")</f>
        <v>1604276</v>
      </c>
      <c r="E5560">
        <v>2</v>
      </c>
      <c r="F5560" t="s">
        <v>5662</v>
      </c>
    </row>
    <row r="5561" spans="1:6" x14ac:dyDescent="0.25">
      <c r="A5561" t="s">
        <v>5403</v>
      </c>
      <c r="B5561" t="s">
        <v>150</v>
      </c>
      <c r="C5561" t="s">
        <v>151</v>
      </c>
      <c r="D5561" t="str">
        <f>HYPERLINK("http://service.sap.com/sap/support/notes/1674609","1674609")</f>
        <v>1674609</v>
      </c>
      <c r="E5561">
        <v>1</v>
      </c>
      <c r="F5561" t="s">
        <v>5663</v>
      </c>
    </row>
    <row r="5562" spans="1:6" x14ac:dyDescent="0.25">
      <c r="A5562" t="s">
        <v>5403</v>
      </c>
      <c r="B5562" t="s">
        <v>319</v>
      </c>
      <c r="C5562" t="s">
        <v>320</v>
      </c>
      <c r="D5562" t="str">
        <f>HYPERLINK("http://service.sap.com/sap/support/notes/1711466","1711466")</f>
        <v>1711466</v>
      </c>
      <c r="E5562">
        <v>3</v>
      </c>
      <c r="F5562" t="s">
        <v>5664</v>
      </c>
    </row>
    <row r="5563" spans="1:6" x14ac:dyDescent="0.25">
      <c r="A5563" t="s">
        <v>5403</v>
      </c>
      <c r="B5563" t="s">
        <v>2263</v>
      </c>
      <c r="C5563" t="s">
        <v>2264</v>
      </c>
      <c r="D5563" t="str">
        <f>HYPERLINK("http://service.sap.com/sap/support/notes/1378818","1378818")</f>
        <v>1378818</v>
      </c>
      <c r="E5563">
        <v>1</v>
      </c>
      <c r="F5563" t="s">
        <v>5665</v>
      </c>
    </row>
    <row r="5564" spans="1:6" x14ac:dyDescent="0.25">
      <c r="A5564" t="s">
        <v>5403</v>
      </c>
      <c r="B5564" t="s">
        <v>2263</v>
      </c>
      <c r="C5564" t="s">
        <v>2264</v>
      </c>
      <c r="D5564" t="str">
        <f>HYPERLINK("http://service.sap.com/sap/support/notes/1672871","1672871")</f>
        <v>1672871</v>
      </c>
      <c r="E5564">
        <v>1</v>
      </c>
      <c r="F5564" t="s">
        <v>5666</v>
      </c>
    </row>
    <row r="5565" spans="1:6" x14ac:dyDescent="0.25">
      <c r="A5565" t="s">
        <v>5403</v>
      </c>
      <c r="B5565" t="s">
        <v>2263</v>
      </c>
      <c r="C5565" t="s">
        <v>2264</v>
      </c>
      <c r="D5565" t="str">
        <f>HYPERLINK("http://service.sap.com/sap/support/notes/1697818","1697818")</f>
        <v>1697818</v>
      </c>
      <c r="E5565">
        <v>4</v>
      </c>
      <c r="F5565" t="s">
        <v>5667</v>
      </c>
    </row>
    <row r="5566" spans="1:6" x14ac:dyDescent="0.25">
      <c r="A5566" t="s">
        <v>5403</v>
      </c>
      <c r="B5566" t="s">
        <v>2263</v>
      </c>
      <c r="C5566" t="s">
        <v>2264</v>
      </c>
      <c r="D5566" t="str">
        <f>HYPERLINK("http://service.sap.com/sap/support/notes/1730257","1730257")</f>
        <v>1730257</v>
      </c>
      <c r="E5566">
        <v>2</v>
      </c>
      <c r="F5566" t="s">
        <v>5668</v>
      </c>
    </row>
    <row r="5567" spans="1:6" x14ac:dyDescent="0.25">
      <c r="A5567" t="s">
        <v>5403</v>
      </c>
      <c r="B5567" t="s">
        <v>423</v>
      </c>
      <c r="C5567" t="s">
        <v>424</v>
      </c>
      <c r="D5567" t="str">
        <f>HYPERLINK("http://service.sap.com/sap/support/notes/1691551","1691551")</f>
        <v>1691551</v>
      </c>
      <c r="E5567">
        <v>2</v>
      </c>
      <c r="F5567" t="s">
        <v>706</v>
      </c>
    </row>
    <row r="5568" spans="1:6" x14ac:dyDescent="0.25">
      <c r="A5568" t="s">
        <v>5403</v>
      </c>
      <c r="B5568" t="s">
        <v>423</v>
      </c>
      <c r="C5568" t="s">
        <v>424</v>
      </c>
      <c r="D5568" t="str">
        <f>HYPERLINK("http://service.sap.com/sap/support/notes/1710682","1710682")</f>
        <v>1710682</v>
      </c>
      <c r="E5568">
        <v>1</v>
      </c>
      <c r="F5568" t="s">
        <v>5669</v>
      </c>
    </row>
    <row r="5569" spans="1:6" x14ac:dyDescent="0.25">
      <c r="A5569" t="s">
        <v>5403</v>
      </c>
      <c r="B5569" t="s">
        <v>423</v>
      </c>
      <c r="C5569" t="s">
        <v>424</v>
      </c>
      <c r="D5569" t="str">
        <f>HYPERLINK("http://service.sap.com/sap/support/notes/1712619","1712619")</f>
        <v>1712619</v>
      </c>
      <c r="E5569">
        <v>1</v>
      </c>
      <c r="F5569" t="s">
        <v>5670</v>
      </c>
    </row>
    <row r="5570" spans="1:6" x14ac:dyDescent="0.25">
      <c r="A5570" t="s">
        <v>5403</v>
      </c>
      <c r="B5570" t="s">
        <v>423</v>
      </c>
      <c r="C5570" t="s">
        <v>424</v>
      </c>
      <c r="D5570" t="str">
        <f>HYPERLINK("http://service.sap.com/sap/support/notes/1713643","1713643")</f>
        <v>1713643</v>
      </c>
      <c r="E5570">
        <v>2</v>
      </c>
      <c r="F5570" t="s">
        <v>5671</v>
      </c>
    </row>
    <row r="5571" spans="1:6" x14ac:dyDescent="0.25">
      <c r="A5571" t="s">
        <v>5403</v>
      </c>
      <c r="B5571" t="s">
        <v>423</v>
      </c>
      <c r="C5571" t="s">
        <v>424</v>
      </c>
      <c r="D5571" t="str">
        <f>HYPERLINK("http://service.sap.com/sap/support/notes/1717513","1717513")</f>
        <v>1717513</v>
      </c>
      <c r="E5571">
        <v>3</v>
      </c>
      <c r="F5571" t="s">
        <v>5672</v>
      </c>
    </row>
    <row r="5572" spans="1:6" x14ac:dyDescent="0.25">
      <c r="A5572" t="s">
        <v>5403</v>
      </c>
      <c r="B5572" t="s">
        <v>423</v>
      </c>
      <c r="C5572" t="s">
        <v>424</v>
      </c>
      <c r="D5572" t="str">
        <f>HYPERLINK("http://service.sap.com/sap/support/notes/1718199","1718199")</f>
        <v>1718199</v>
      </c>
      <c r="E5572">
        <v>1</v>
      </c>
      <c r="F5572" t="s">
        <v>5673</v>
      </c>
    </row>
    <row r="5573" spans="1:6" x14ac:dyDescent="0.25">
      <c r="A5573" t="s">
        <v>5403</v>
      </c>
      <c r="B5573" t="s">
        <v>423</v>
      </c>
      <c r="C5573" t="s">
        <v>424</v>
      </c>
      <c r="D5573" t="str">
        <f>HYPERLINK("http://service.sap.com/sap/support/notes/1718325","1718325")</f>
        <v>1718325</v>
      </c>
      <c r="E5573">
        <v>1</v>
      </c>
      <c r="F5573" t="s">
        <v>5674</v>
      </c>
    </row>
    <row r="5574" spans="1:6" x14ac:dyDescent="0.25">
      <c r="A5574" t="s">
        <v>5403</v>
      </c>
      <c r="B5574" t="s">
        <v>423</v>
      </c>
      <c r="C5574" t="s">
        <v>424</v>
      </c>
      <c r="D5574" t="str">
        <f>HYPERLINK("http://service.sap.com/sap/support/notes/1720950","1720950")</f>
        <v>1720950</v>
      </c>
      <c r="E5574">
        <v>2</v>
      </c>
      <c r="F5574" t="s">
        <v>5675</v>
      </c>
    </row>
    <row r="5575" spans="1:6" x14ac:dyDescent="0.25">
      <c r="A5575" t="s">
        <v>5403</v>
      </c>
      <c r="B5575" t="s">
        <v>423</v>
      </c>
      <c r="C5575" t="s">
        <v>424</v>
      </c>
      <c r="D5575" t="str">
        <f>HYPERLINK("http://service.sap.com/sap/support/notes/1723584","1723584")</f>
        <v>1723584</v>
      </c>
      <c r="E5575">
        <v>3</v>
      </c>
      <c r="F5575" t="s">
        <v>5676</v>
      </c>
    </row>
    <row r="5576" spans="1:6" x14ac:dyDescent="0.25">
      <c r="A5576" t="s">
        <v>5403</v>
      </c>
      <c r="B5576" t="s">
        <v>423</v>
      </c>
      <c r="C5576" t="s">
        <v>424</v>
      </c>
      <c r="D5576" t="str">
        <f>HYPERLINK("http://service.sap.com/sap/support/notes/1727171","1727171")</f>
        <v>1727171</v>
      </c>
      <c r="E5576">
        <v>1</v>
      </c>
      <c r="F5576" t="s">
        <v>5677</v>
      </c>
    </row>
    <row r="5577" spans="1:6" x14ac:dyDescent="0.25">
      <c r="A5577" t="s">
        <v>5403</v>
      </c>
      <c r="B5577" t="s">
        <v>430</v>
      </c>
      <c r="C5577" t="s">
        <v>431</v>
      </c>
    </row>
    <row r="5578" spans="1:6" x14ac:dyDescent="0.25">
      <c r="A5578" t="s">
        <v>5403</v>
      </c>
      <c r="B5578" t="s">
        <v>5678</v>
      </c>
      <c r="C5578" t="s">
        <v>5679</v>
      </c>
      <c r="D5578" t="str">
        <f>HYPERLINK("http://service.sap.com/sap/support/notes/1664900","1664900")</f>
        <v>1664900</v>
      </c>
      <c r="E5578">
        <v>4</v>
      </c>
      <c r="F5578" t="s">
        <v>5680</v>
      </c>
    </row>
    <row r="5579" spans="1:6" x14ac:dyDescent="0.25">
      <c r="A5579" t="s">
        <v>5403</v>
      </c>
      <c r="B5579" t="s">
        <v>5678</v>
      </c>
      <c r="C5579" t="s">
        <v>5679</v>
      </c>
      <c r="D5579" t="str">
        <f>HYPERLINK("http://service.sap.com/sap/support/notes/1671757","1671757")</f>
        <v>1671757</v>
      </c>
      <c r="E5579">
        <v>2</v>
      </c>
      <c r="F5579" t="s">
        <v>5681</v>
      </c>
    </row>
    <row r="5580" spans="1:6" x14ac:dyDescent="0.25">
      <c r="A5580" t="s">
        <v>5403</v>
      </c>
      <c r="B5580" t="s">
        <v>453</v>
      </c>
      <c r="C5580" t="s">
        <v>74</v>
      </c>
      <c r="D5580" t="str">
        <f>HYPERLINK("http://service.sap.com/sap/support/notes/1498792","1498792")</f>
        <v>1498792</v>
      </c>
      <c r="E5580">
        <v>7</v>
      </c>
      <c r="F5580" t="s">
        <v>5682</v>
      </c>
    </row>
    <row r="5581" spans="1:6" x14ac:dyDescent="0.25">
      <c r="A5581" t="s">
        <v>5403</v>
      </c>
      <c r="B5581" t="s">
        <v>453</v>
      </c>
      <c r="C5581" t="s">
        <v>74</v>
      </c>
      <c r="D5581" t="str">
        <f>HYPERLINK("http://service.sap.com/sap/support/notes/1503632","1503632")</f>
        <v>1503632</v>
      </c>
      <c r="E5581">
        <v>9</v>
      </c>
      <c r="F5581" t="s">
        <v>5683</v>
      </c>
    </row>
    <row r="5582" spans="1:6" x14ac:dyDescent="0.25">
      <c r="A5582" t="s">
        <v>5403</v>
      </c>
      <c r="B5582" t="s">
        <v>453</v>
      </c>
      <c r="C5582" t="s">
        <v>74</v>
      </c>
      <c r="D5582" t="str">
        <f>HYPERLINK("http://service.sap.com/sap/support/notes/1532137","1532137")</f>
        <v>1532137</v>
      </c>
      <c r="E5582">
        <v>2</v>
      </c>
      <c r="F5582" t="s">
        <v>5684</v>
      </c>
    </row>
    <row r="5583" spans="1:6" x14ac:dyDescent="0.25">
      <c r="A5583" t="s">
        <v>5403</v>
      </c>
      <c r="B5583" t="s">
        <v>633</v>
      </c>
      <c r="C5583" t="s">
        <v>634</v>
      </c>
      <c r="D5583" t="str">
        <f>HYPERLINK("http://service.sap.com/sap/support/notes/1535344","1535344")</f>
        <v>1535344</v>
      </c>
      <c r="E5583">
        <v>2</v>
      </c>
      <c r="F5583" t="s">
        <v>5685</v>
      </c>
    </row>
    <row r="5584" spans="1:6" x14ac:dyDescent="0.25">
      <c r="A5584" t="s">
        <v>5403</v>
      </c>
      <c r="B5584" t="s">
        <v>633</v>
      </c>
      <c r="C5584" t="s">
        <v>634</v>
      </c>
      <c r="D5584" t="str">
        <f>HYPERLINK("http://service.sap.com/sap/support/notes/1542811","1542811")</f>
        <v>1542811</v>
      </c>
      <c r="E5584">
        <v>4</v>
      </c>
      <c r="F5584" t="s">
        <v>5686</v>
      </c>
    </row>
    <row r="5585" spans="1:6" x14ac:dyDescent="0.25">
      <c r="A5585" t="s">
        <v>5403</v>
      </c>
      <c r="B5585" t="s">
        <v>633</v>
      </c>
      <c r="C5585" t="s">
        <v>634</v>
      </c>
      <c r="D5585" t="str">
        <f>HYPERLINK("http://service.sap.com/sap/support/notes/1544417","1544417")</f>
        <v>1544417</v>
      </c>
      <c r="E5585">
        <v>4</v>
      </c>
      <c r="F5585" t="s">
        <v>5687</v>
      </c>
    </row>
    <row r="5586" spans="1:6" x14ac:dyDescent="0.25">
      <c r="A5586" t="s">
        <v>5403</v>
      </c>
      <c r="B5586" t="s">
        <v>633</v>
      </c>
      <c r="C5586" t="s">
        <v>634</v>
      </c>
      <c r="D5586" t="str">
        <f>HYPERLINK("http://service.sap.com/sap/support/notes/1553892","1553892")</f>
        <v>1553892</v>
      </c>
      <c r="E5586">
        <v>2</v>
      </c>
      <c r="F5586" t="s">
        <v>5688</v>
      </c>
    </row>
    <row r="5587" spans="1:6" x14ac:dyDescent="0.25">
      <c r="A5587" t="s">
        <v>5403</v>
      </c>
      <c r="B5587" t="s">
        <v>633</v>
      </c>
      <c r="C5587" t="s">
        <v>634</v>
      </c>
      <c r="D5587" t="str">
        <f>HYPERLINK("http://service.sap.com/sap/support/notes/1554455","1554455")</f>
        <v>1554455</v>
      </c>
      <c r="E5587">
        <v>4</v>
      </c>
      <c r="F5587" t="s">
        <v>5689</v>
      </c>
    </row>
    <row r="5588" spans="1:6" x14ac:dyDescent="0.25">
      <c r="A5588" t="s">
        <v>5403</v>
      </c>
      <c r="B5588" t="s">
        <v>633</v>
      </c>
      <c r="C5588" t="s">
        <v>634</v>
      </c>
      <c r="D5588" t="str">
        <f>HYPERLINK("http://service.sap.com/sap/support/notes/1557057","1557057")</f>
        <v>1557057</v>
      </c>
      <c r="E5588">
        <v>2</v>
      </c>
      <c r="F5588" t="s">
        <v>5690</v>
      </c>
    </row>
    <row r="5589" spans="1:6" x14ac:dyDescent="0.25">
      <c r="A5589" t="s">
        <v>5403</v>
      </c>
      <c r="B5589" t="s">
        <v>633</v>
      </c>
      <c r="C5589" t="s">
        <v>634</v>
      </c>
      <c r="D5589" t="str">
        <f>HYPERLINK("http://service.sap.com/sap/support/notes/1557513","1557513")</f>
        <v>1557513</v>
      </c>
      <c r="E5589">
        <v>3</v>
      </c>
      <c r="F5589" t="s">
        <v>5691</v>
      </c>
    </row>
    <row r="5590" spans="1:6" x14ac:dyDescent="0.25">
      <c r="A5590" t="s">
        <v>5403</v>
      </c>
      <c r="B5590" t="s">
        <v>633</v>
      </c>
      <c r="C5590" t="s">
        <v>634</v>
      </c>
      <c r="D5590" t="str">
        <f>HYPERLINK("http://service.sap.com/sap/support/notes/1598929","1598929")</f>
        <v>1598929</v>
      </c>
      <c r="E5590">
        <v>4</v>
      </c>
      <c r="F5590" t="s">
        <v>5692</v>
      </c>
    </row>
    <row r="5591" spans="1:6" x14ac:dyDescent="0.25">
      <c r="A5591" t="s">
        <v>5403</v>
      </c>
      <c r="B5591" t="s">
        <v>633</v>
      </c>
      <c r="C5591" t="s">
        <v>634</v>
      </c>
      <c r="D5591" t="str">
        <f>HYPERLINK("http://service.sap.com/sap/support/notes/1623972","1623972")</f>
        <v>1623972</v>
      </c>
      <c r="E5591">
        <v>3</v>
      </c>
      <c r="F5591" t="s">
        <v>5693</v>
      </c>
    </row>
    <row r="5592" spans="1:6" x14ac:dyDescent="0.25">
      <c r="A5592" t="s">
        <v>5403</v>
      </c>
      <c r="B5592" t="s">
        <v>633</v>
      </c>
      <c r="C5592" t="s">
        <v>634</v>
      </c>
      <c r="D5592" t="str">
        <f>HYPERLINK("http://service.sap.com/sap/support/notes/1682090","1682090")</f>
        <v>1682090</v>
      </c>
      <c r="E5592">
        <v>3</v>
      </c>
      <c r="F5592" t="s">
        <v>5694</v>
      </c>
    </row>
    <row r="5593" spans="1:6" x14ac:dyDescent="0.25">
      <c r="A5593" t="s">
        <v>5403</v>
      </c>
      <c r="B5593" t="s">
        <v>633</v>
      </c>
      <c r="C5593" t="s">
        <v>634</v>
      </c>
      <c r="D5593" t="str">
        <f>HYPERLINK("http://service.sap.com/sap/support/notes/1714301","1714301")</f>
        <v>1714301</v>
      </c>
      <c r="E5593">
        <v>1</v>
      </c>
      <c r="F5593" t="s">
        <v>5695</v>
      </c>
    </row>
    <row r="5594" spans="1:6" x14ac:dyDescent="0.25">
      <c r="A5594" t="s">
        <v>5403</v>
      </c>
      <c r="B5594" t="s">
        <v>610</v>
      </c>
      <c r="C5594" t="s">
        <v>635</v>
      </c>
    </row>
    <row r="5595" spans="1:6" x14ac:dyDescent="0.25">
      <c r="A5595" t="s">
        <v>5403</v>
      </c>
      <c r="B5595" t="s">
        <v>612</v>
      </c>
      <c r="C5595" t="s">
        <v>5696</v>
      </c>
      <c r="D5595" t="str">
        <f>HYPERLINK("http://service.sap.com/sap/support/notes/1700665","1700665")</f>
        <v>1700665</v>
      </c>
      <c r="E5595">
        <v>2</v>
      </c>
      <c r="F5595" t="s">
        <v>5697</v>
      </c>
    </row>
    <row r="5596" spans="1:6" x14ac:dyDescent="0.25">
      <c r="A5596" t="s">
        <v>5403</v>
      </c>
      <c r="B5596" t="s">
        <v>612</v>
      </c>
      <c r="C5596" t="s">
        <v>5696</v>
      </c>
      <c r="D5596" t="str">
        <f>HYPERLINK("http://service.sap.com/sap/support/notes/1711966","1711966")</f>
        <v>1711966</v>
      </c>
      <c r="E5596">
        <v>2</v>
      </c>
      <c r="F5596" t="s">
        <v>5698</v>
      </c>
    </row>
    <row r="5597" spans="1:6" x14ac:dyDescent="0.25">
      <c r="A5597" t="s">
        <v>5403</v>
      </c>
      <c r="B5597" t="s">
        <v>614</v>
      </c>
      <c r="C5597" t="s">
        <v>615</v>
      </c>
      <c r="D5597" t="str">
        <f>HYPERLINK("http://service.sap.com/sap/support/notes/1715118","1715118")</f>
        <v>1715118</v>
      </c>
      <c r="E5597">
        <v>4</v>
      </c>
      <c r="F5597" t="s">
        <v>5699</v>
      </c>
    </row>
    <row r="5598" spans="1:6" x14ac:dyDescent="0.25">
      <c r="A5598" t="s">
        <v>5403</v>
      </c>
      <c r="B5598" t="s">
        <v>614</v>
      </c>
      <c r="C5598" t="s">
        <v>615</v>
      </c>
      <c r="D5598" t="str">
        <f>HYPERLINK("http://service.sap.com/sap/support/notes/1724396","1724396")</f>
        <v>1724396</v>
      </c>
      <c r="E5598">
        <v>1</v>
      </c>
      <c r="F5598" t="s">
        <v>1459</v>
      </c>
    </row>
    <row r="5599" spans="1:6" x14ac:dyDescent="0.25">
      <c r="A5599" t="s">
        <v>5403</v>
      </c>
      <c r="B5599" t="s">
        <v>618</v>
      </c>
      <c r="C5599" t="s">
        <v>619</v>
      </c>
      <c r="D5599" t="str">
        <f>HYPERLINK("http://service.sap.com/sap/support/notes/1724173","1724173")</f>
        <v>1724173</v>
      </c>
      <c r="E5599">
        <v>2</v>
      </c>
      <c r="F5599" t="s">
        <v>5700</v>
      </c>
    </row>
    <row r="5600" spans="1:6" x14ac:dyDescent="0.25">
      <c r="A5600" t="s">
        <v>5403</v>
      </c>
      <c r="B5600" t="s">
        <v>5701</v>
      </c>
      <c r="C5600" t="s">
        <v>5702</v>
      </c>
      <c r="D5600" t="str">
        <f>HYPERLINK("http://service.sap.com/sap/support/notes/1306980","1306980")</f>
        <v>1306980</v>
      </c>
      <c r="E5600">
        <v>4</v>
      </c>
      <c r="F5600" t="s">
        <v>5703</v>
      </c>
    </row>
    <row r="5601" spans="1:6" x14ac:dyDescent="0.25">
      <c r="A5601" t="s">
        <v>5403</v>
      </c>
      <c r="B5601" t="s">
        <v>3809</v>
      </c>
      <c r="C5601" t="s">
        <v>3810</v>
      </c>
      <c r="D5601" t="str">
        <f>HYPERLINK("http://service.sap.com/sap/support/notes/1695761","1695761")</f>
        <v>1695761</v>
      </c>
      <c r="E5601">
        <v>2</v>
      </c>
      <c r="F5601" t="s">
        <v>5704</v>
      </c>
    </row>
    <row r="5602" spans="1:6" x14ac:dyDescent="0.25">
      <c r="A5602" t="s">
        <v>5403</v>
      </c>
      <c r="B5602" t="s">
        <v>622</v>
      </c>
      <c r="C5602" t="s">
        <v>623</v>
      </c>
      <c r="D5602" t="str">
        <f>HYPERLINK("http://service.sap.com/sap/support/notes/1664402","1664402")</f>
        <v>1664402</v>
      </c>
      <c r="E5602">
        <v>5</v>
      </c>
      <c r="F5602" t="s">
        <v>5705</v>
      </c>
    </row>
    <row r="5603" spans="1:6" x14ac:dyDescent="0.25">
      <c r="A5603" t="s">
        <v>5403</v>
      </c>
      <c r="B5603" t="s">
        <v>624</v>
      </c>
      <c r="C5603" t="s">
        <v>625</v>
      </c>
      <c r="D5603" t="str">
        <f>HYPERLINK("http://service.sap.com/sap/support/notes/1719069","1719069")</f>
        <v>1719069</v>
      </c>
      <c r="E5603">
        <v>1</v>
      </c>
      <c r="F5603" t="s">
        <v>5706</v>
      </c>
    </row>
    <row r="5604" spans="1:6" x14ac:dyDescent="0.25">
      <c r="A5604" t="s">
        <v>5403</v>
      </c>
      <c r="B5604" t="s">
        <v>464</v>
      </c>
      <c r="C5604" t="s">
        <v>465</v>
      </c>
      <c r="D5604" t="str">
        <f>HYPERLINK("http://service.sap.com/sap/support/notes/1600742","1600742")</f>
        <v>1600742</v>
      </c>
      <c r="E5604">
        <v>1</v>
      </c>
      <c r="F5604" t="s">
        <v>630</v>
      </c>
    </row>
    <row r="5605" spans="1:6" x14ac:dyDescent="0.25">
      <c r="A5605" t="s">
        <v>5403</v>
      </c>
      <c r="B5605" t="s">
        <v>670</v>
      </c>
      <c r="C5605" t="s">
        <v>671</v>
      </c>
    </row>
    <row r="5606" spans="1:6" x14ac:dyDescent="0.25">
      <c r="A5606" t="s">
        <v>5403</v>
      </c>
      <c r="B5606" t="s">
        <v>672</v>
      </c>
      <c r="C5606" t="s">
        <v>673</v>
      </c>
    </row>
    <row r="5607" spans="1:6" x14ac:dyDescent="0.25">
      <c r="A5607" t="s">
        <v>5403</v>
      </c>
      <c r="B5607" t="s">
        <v>5707</v>
      </c>
      <c r="C5607" t="s">
        <v>5708</v>
      </c>
    </row>
    <row r="5608" spans="1:6" x14ac:dyDescent="0.25">
      <c r="A5608" t="s">
        <v>5403</v>
      </c>
      <c r="B5608" t="s">
        <v>5709</v>
      </c>
      <c r="C5608" t="s">
        <v>5710</v>
      </c>
      <c r="D5608" t="str">
        <f>HYPERLINK("http://service.sap.com/sap/support/notes/1709229","1709229")</f>
        <v>1709229</v>
      </c>
      <c r="E5608">
        <v>3</v>
      </c>
      <c r="F5608" t="s">
        <v>5711</v>
      </c>
    </row>
    <row r="5609" spans="1:6" x14ac:dyDescent="0.25">
      <c r="A5609" t="s">
        <v>5403</v>
      </c>
      <c r="B5609" t="s">
        <v>5709</v>
      </c>
      <c r="C5609" t="s">
        <v>5710</v>
      </c>
      <c r="D5609" t="str">
        <f>HYPERLINK("http://service.sap.com/sap/support/notes/1726696","1726696")</f>
        <v>1726696</v>
      </c>
      <c r="E5609">
        <v>1</v>
      </c>
      <c r="F5609" t="s">
        <v>5712</v>
      </c>
    </row>
    <row r="5610" spans="1:6" x14ac:dyDescent="0.25">
      <c r="A5610" t="s">
        <v>5403</v>
      </c>
      <c r="B5610" t="s">
        <v>5713</v>
      </c>
      <c r="C5610" t="s">
        <v>5714</v>
      </c>
    </row>
    <row r="5611" spans="1:6" x14ac:dyDescent="0.25">
      <c r="A5611" t="s">
        <v>5403</v>
      </c>
      <c r="B5611" t="s">
        <v>5715</v>
      </c>
      <c r="C5611" t="s">
        <v>5710</v>
      </c>
      <c r="D5611" t="str">
        <f>HYPERLINK("http://service.sap.com/sap/support/notes/1714625","1714625")</f>
        <v>1714625</v>
      </c>
      <c r="E5611">
        <v>1</v>
      </c>
      <c r="F5611" t="s">
        <v>5716</v>
      </c>
    </row>
    <row r="5612" spans="1:6" x14ac:dyDescent="0.25">
      <c r="A5612" t="s">
        <v>5403</v>
      </c>
      <c r="B5612" t="s">
        <v>5715</v>
      </c>
      <c r="C5612" t="s">
        <v>5710</v>
      </c>
      <c r="D5612" t="str">
        <f>HYPERLINK("http://service.sap.com/sap/support/notes/1721941","1721941")</f>
        <v>1721941</v>
      </c>
      <c r="E5612">
        <v>2</v>
      </c>
      <c r="F5612" t="s">
        <v>5717</v>
      </c>
    </row>
    <row r="5613" spans="1:6" x14ac:dyDescent="0.25">
      <c r="A5613" t="s">
        <v>5403</v>
      </c>
      <c r="B5613" t="s">
        <v>5718</v>
      </c>
      <c r="C5613" t="s">
        <v>5719</v>
      </c>
    </row>
    <row r="5614" spans="1:6" x14ac:dyDescent="0.25">
      <c r="A5614" t="s">
        <v>5403</v>
      </c>
      <c r="B5614" t="s">
        <v>5720</v>
      </c>
      <c r="C5614" t="s">
        <v>5710</v>
      </c>
      <c r="D5614" t="str">
        <f>HYPERLINK("http://service.sap.com/sap/support/notes/1702510","1702510")</f>
        <v>1702510</v>
      </c>
      <c r="E5614">
        <v>3</v>
      </c>
      <c r="F5614" t="s">
        <v>5721</v>
      </c>
    </row>
    <row r="5615" spans="1:6" x14ac:dyDescent="0.25">
      <c r="A5615" t="s">
        <v>5403</v>
      </c>
      <c r="B5615" t="s">
        <v>5720</v>
      </c>
      <c r="C5615" t="s">
        <v>5710</v>
      </c>
      <c r="D5615" t="str">
        <f>HYPERLINK("http://service.sap.com/sap/support/notes/1711171","1711171")</f>
        <v>1711171</v>
      </c>
      <c r="E5615">
        <v>2</v>
      </c>
      <c r="F5615" t="s">
        <v>5722</v>
      </c>
    </row>
    <row r="5616" spans="1:6" x14ac:dyDescent="0.25">
      <c r="A5616" t="s">
        <v>5403</v>
      </c>
      <c r="B5616" t="s">
        <v>692</v>
      </c>
      <c r="C5616" t="s">
        <v>693</v>
      </c>
    </row>
    <row r="5617" spans="1:6" x14ac:dyDescent="0.25">
      <c r="A5617" t="s">
        <v>5403</v>
      </c>
      <c r="B5617" t="s">
        <v>5723</v>
      </c>
      <c r="C5617" t="s">
        <v>5724</v>
      </c>
      <c r="D5617" t="str">
        <f>HYPERLINK("http://service.sap.com/sap/support/notes/1720476","1720476")</f>
        <v>1720476</v>
      </c>
      <c r="E5617">
        <v>1</v>
      </c>
      <c r="F5617" t="s">
        <v>5725</v>
      </c>
    </row>
    <row r="5618" spans="1:6" x14ac:dyDescent="0.25">
      <c r="A5618" t="s">
        <v>5403</v>
      </c>
      <c r="B5618" t="s">
        <v>3225</v>
      </c>
      <c r="C5618" t="s">
        <v>3226</v>
      </c>
      <c r="D5618" t="str">
        <f>HYPERLINK("http://service.sap.com/sap/support/notes/1711991","1711991")</f>
        <v>1711991</v>
      </c>
      <c r="E5618">
        <v>4</v>
      </c>
      <c r="F5618" t="s">
        <v>5726</v>
      </c>
    </row>
    <row r="5619" spans="1:6" x14ac:dyDescent="0.25">
      <c r="A5619" t="s">
        <v>5727</v>
      </c>
      <c r="B5619" t="s">
        <v>5</v>
      </c>
      <c r="C5619" t="s">
        <v>6</v>
      </c>
    </row>
    <row r="5620" spans="1:6" x14ac:dyDescent="0.25">
      <c r="A5620" t="s">
        <v>5727</v>
      </c>
      <c r="B5620" t="s">
        <v>7</v>
      </c>
      <c r="C5620" t="s">
        <v>8</v>
      </c>
    </row>
    <row r="5621" spans="1:6" x14ac:dyDescent="0.25">
      <c r="A5621" t="s">
        <v>5727</v>
      </c>
      <c r="B5621" t="s">
        <v>9</v>
      </c>
      <c r="C5621" t="s">
        <v>10</v>
      </c>
      <c r="D5621" t="str">
        <f>HYPERLINK("http://service.sap.com/sap/support/notes/1737296","1737296")</f>
        <v>1737296</v>
      </c>
      <c r="E5621">
        <v>1</v>
      </c>
      <c r="F5621" t="s">
        <v>5728</v>
      </c>
    </row>
    <row r="5622" spans="1:6" x14ac:dyDescent="0.25">
      <c r="A5622" t="s">
        <v>5727</v>
      </c>
      <c r="B5622" t="s">
        <v>481</v>
      </c>
      <c r="C5622" t="s">
        <v>482</v>
      </c>
    </row>
    <row r="5623" spans="1:6" x14ac:dyDescent="0.25">
      <c r="A5623" t="s">
        <v>5727</v>
      </c>
      <c r="B5623" t="s">
        <v>487</v>
      </c>
      <c r="C5623" t="s">
        <v>488</v>
      </c>
    </row>
    <row r="5624" spans="1:6" x14ac:dyDescent="0.25">
      <c r="A5624" t="s">
        <v>5727</v>
      </c>
      <c r="B5624" t="s">
        <v>489</v>
      </c>
      <c r="C5624" t="s">
        <v>641</v>
      </c>
      <c r="D5624" t="str">
        <f>HYPERLINK("http://service.sap.com/sap/support/notes/1729437","1729437")</f>
        <v>1729437</v>
      </c>
      <c r="E5624">
        <v>3</v>
      </c>
      <c r="F5624" t="s">
        <v>5729</v>
      </c>
    </row>
    <row r="5625" spans="1:6" x14ac:dyDescent="0.25">
      <c r="A5625" t="s">
        <v>5727</v>
      </c>
      <c r="B5625" t="s">
        <v>489</v>
      </c>
      <c r="C5625" t="s">
        <v>641</v>
      </c>
      <c r="D5625" t="str">
        <f>HYPERLINK("http://service.sap.com/sap/support/notes/1735046","1735046")</f>
        <v>1735046</v>
      </c>
      <c r="E5625">
        <v>1</v>
      </c>
      <c r="F5625" t="s">
        <v>5730</v>
      </c>
    </row>
    <row r="5626" spans="1:6" x14ac:dyDescent="0.25">
      <c r="A5626" t="s">
        <v>5727</v>
      </c>
      <c r="B5626" t="s">
        <v>489</v>
      </c>
      <c r="C5626" t="s">
        <v>641</v>
      </c>
      <c r="D5626" t="str">
        <f>HYPERLINK("http://service.sap.com/sap/support/notes/1735095","1735095")</f>
        <v>1735095</v>
      </c>
      <c r="E5626">
        <v>1</v>
      </c>
      <c r="F5626" t="s">
        <v>5731</v>
      </c>
    </row>
    <row r="5627" spans="1:6" x14ac:dyDescent="0.25">
      <c r="A5627" t="s">
        <v>5727</v>
      </c>
      <c r="B5627" t="s">
        <v>489</v>
      </c>
      <c r="C5627" t="s">
        <v>641</v>
      </c>
      <c r="D5627" t="str">
        <f>HYPERLINK("http://service.sap.com/sap/support/notes/1740534","1740534")</f>
        <v>1740534</v>
      </c>
      <c r="E5627">
        <v>1</v>
      </c>
      <c r="F5627" t="s">
        <v>5732</v>
      </c>
    </row>
    <row r="5628" spans="1:6" x14ac:dyDescent="0.25">
      <c r="A5628" t="s">
        <v>5727</v>
      </c>
      <c r="B5628" t="s">
        <v>490</v>
      </c>
      <c r="C5628" t="s">
        <v>491</v>
      </c>
      <c r="D5628" t="str">
        <f>HYPERLINK("http://service.sap.com/sap/support/notes/1698987","1698987")</f>
        <v>1698987</v>
      </c>
      <c r="E5628">
        <v>1</v>
      </c>
      <c r="F5628" t="s">
        <v>5733</v>
      </c>
    </row>
    <row r="5629" spans="1:6" x14ac:dyDescent="0.25">
      <c r="A5629" t="s">
        <v>5727</v>
      </c>
      <c r="B5629" t="s">
        <v>722</v>
      </c>
      <c r="C5629" t="s">
        <v>723</v>
      </c>
    </row>
    <row r="5630" spans="1:6" x14ac:dyDescent="0.25">
      <c r="A5630" t="s">
        <v>5727</v>
      </c>
      <c r="B5630" t="s">
        <v>724</v>
      </c>
      <c r="C5630" t="s">
        <v>648</v>
      </c>
      <c r="D5630" t="str">
        <f>HYPERLINK("http://service.sap.com/sap/support/notes/1696255","1696255")</f>
        <v>1696255</v>
      </c>
      <c r="E5630">
        <v>4</v>
      </c>
      <c r="F5630" t="s">
        <v>5734</v>
      </c>
    </row>
    <row r="5631" spans="1:6" x14ac:dyDescent="0.25">
      <c r="A5631" t="s">
        <v>5727</v>
      </c>
      <c r="B5631" t="s">
        <v>493</v>
      </c>
      <c r="C5631" t="s">
        <v>494</v>
      </c>
    </row>
    <row r="5632" spans="1:6" x14ac:dyDescent="0.25">
      <c r="A5632" t="s">
        <v>5727</v>
      </c>
      <c r="B5632" t="s">
        <v>495</v>
      </c>
      <c r="C5632" t="s">
        <v>655</v>
      </c>
      <c r="D5632" t="str">
        <f>HYPERLINK("http://service.sap.com/sap/support/notes/1731843","1731843")</f>
        <v>1731843</v>
      </c>
      <c r="E5632">
        <v>1</v>
      </c>
      <c r="F5632" t="s">
        <v>5735</v>
      </c>
    </row>
    <row r="5633" spans="1:6" x14ac:dyDescent="0.25">
      <c r="A5633" t="s">
        <v>5727</v>
      </c>
      <c r="B5633" t="s">
        <v>495</v>
      </c>
      <c r="C5633" t="s">
        <v>655</v>
      </c>
      <c r="D5633" t="str">
        <f>HYPERLINK("http://service.sap.com/sap/support/notes/1737368","1737368")</f>
        <v>1737368</v>
      </c>
      <c r="E5633">
        <v>2</v>
      </c>
      <c r="F5633" t="s">
        <v>5736</v>
      </c>
    </row>
    <row r="5634" spans="1:6" x14ac:dyDescent="0.25">
      <c r="A5634" t="s">
        <v>5727</v>
      </c>
      <c r="B5634" t="s">
        <v>495</v>
      </c>
      <c r="C5634" t="s">
        <v>655</v>
      </c>
      <c r="D5634" t="str">
        <f>HYPERLINK("http://service.sap.com/sap/support/notes/1739652","1739652")</f>
        <v>1739652</v>
      </c>
      <c r="E5634">
        <v>2</v>
      </c>
      <c r="F5634" t="s">
        <v>5737</v>
      </c>
    </row>
    <row r="5635" spans="1:6" x14ac:dyDescent="0.25">
      <c r="A5635" t="s">
        <v>5727</v>
      </c>
      <c r="B5635" t="s">
        <v>497</v>
      </c>
      <c r="C5635" t="s">
        <v>498</v>
      </c>
      <c r="D5635" t="str">
        <f>HYPERLINK("http://service.sap.com/sap/support/notes/1705003","1705003")</f>
        <v>1705003</v>
      </c>
      <c r="E5635">
        <v>1</v>
      </c>
      <c r="F5635" t="s">
        <v>5738</v>
      </c>
    </row>
    <row r="5636" spans="1:6" x14ac:dyDescent="0.25">
      <c r="A5636" t="s">
        <v>5727</v>
      </c>
      <c r="B5636" t="s">
        <v>497</v>
      </c>
      <c r="C5636" t="s">
        <v>498</v>
      </c>
      <c r="D5636" t="str">
        <f>HYPERLINK("http://service.sap.com/sap/support/notes/1718733","1718733")</f>
        <v>1718733</v>
      </c>
      <c r="E5636">
        <v>3</v>
      </c>
      <c r="F5636" t="s">
        <v>5739</v>
      </c>
    </row>
    <row r="5637" spans="1:6" x14ac:dyDescent="0.25">
      <c r="A5637" t="s">
        <v>5727</v>
      </c>
      <c r="B5637" t="s">
        <v>497</v>
      </c>
      <c r="C5637" t="s">
        <v>498</v>
      </c>
      <c r="D5637" t="str">
        <f>HYPERLINK("http://service.sap.com/sap/support/notes/1722306","1722306")</f>
        <v>1722306</v>
      </c>
      <c r="E5637">
        <v>2</v>
      </c>
      <c r="F5637" t="s">
        <v>5740</v>
      </c>
    </row>
    <row r="5638" spans="1:6" x14ac:dyDescent="0.25">
      <c r="A5638" t="s">
        <v>5727</v>
      </c>
      <c r="B5638" t="s">
        <v>497</v>
      </c>
      <c r="C5638" t="s">
        <v>498</v>
      </c>
      <c r="D5638" t="str">
        <f>HYPERLINK("http://service.sap.com/sap/support/notes/1726295","1726295")</f>
        <v>1726295</v>
      </c>
      <c r="E5638">
        <v>2</v>
      </c>
      <c r="F5638" t="s">
        <v>5741</v>
      </c>
    </row>
    <row r="5639" spans="1:6" x14ac:dyDescent="0.25">
      <c r="A5639" t="s">
        <v>5727</v>
      </c>
      <c r="B5639" t="s">
        <v>497</v>
      </c>
      <c r="C5639" t="s">
        <v>498</v>
      </c>
      <c r="D5639" t="str">
        <f>HYPERLINK("http://service.sap.com/sap/support/notes/1731544","1731544")</f>
        <v>1731544</v>
      </c>
      <c r="E5639">
        <v>3</v>
      </c>
      <c r="F5639" t="s">
        <v>5742</v>
      </c>
    </row>
    <row r="5640" spans="1:6" x14ac:dyDescent="0.25">
      <c r="A5640" t="s">
        <v>5727</v>
      </c>
      <c r="B5640" t="s">
        <v>497</v>
      </c>
      <c r="C5640" t="s">
        <v>498</v>
      </c>
      <c r="D5640" t="str">
        <f>HYPERLINK("http://service.sap.com/sap/support/notes/1731810","1731810")</f>
        <v>1731810</v>
      </c>
      <c r="E5640">
        <v>1</v>
      </c>
      <c r="F5640" t="s">
        <v>5743</v>
      </c>
    </row>
    <row r="5641" spans="1:6" x14ac:dyDescent="0.25">
      <c r="A5641" t="s">
        <v>5727</v>
      </c>
      <c r="B5641" t="s">
        <v>497</v>
      </c>
      <c r="C5641" t="s">
        <v>498</v>
      </c>
      <c r="D5641" t="str">
        <f>HYPERLINK("http://service.sap.com/sap/support/notes/1731821","1731821")</f>
        <v>1731821</v>
      </c>
      <c r="E5641">
        <v>3</v>
      </c>
      <c r="F5641" t="s">
        <v>5744</v>
      </c>
    </row>
    <row r="5642" spans="1:6" x14ac:dyDescent="0.25">
      <c r="A5642" t="s">
        <v>5727</v>
      </c>
      <c r="B5642" t="s">
        <v>497</v>
      </c>
      <c r="C5642" t="s">
        <v>498</v>
      </c>
      <c r="D5642" t="str">
        <f>HYPERLINK("http://service.sap.com/sap/support/notes/1731907","1731907")</f>
        <v>1731907</v>
      </c>
      <c r="E5642">
        <v>1</v>
      </c>
      <c r="F5642" t="s">
        <v>5745</v>
      </c>
    </row>
    <row r="5643" spans="1:6" x14ac:dyDescent="0.25">
      <c r="A5643" t="s">
        <v>5727</v>
      </c>
      <c r="B5643" t="s">
        <v>497</v>
      </c>
      <c r="C5643" t="s">
        <v>498</v>
      </c>
      <c r="D5643" t="str">
        <f>HYPERLINK("http://service.sap.com/sap/support/notes/1732023","1732023")</f>
        <v>1732023</v>
      </c>
      <c r="E5643">
        <v>2</v>
      </c>
      <c r="F5643" t="s">
        <v>5746</v>
      </c>
    </row>
    <row r="5644" spans="1:6" x14ac:dyDescent="0.25">
      <c r="A5644" t="s">
        <v>5727</v>
      </c>
      <c r="B5644" t="s">
        <v>497</v>
      </c>
      <c r="C5644" t="s">
        <v>498</v>
      </c>
      <c r="D5644" t="str">
        <f>HYPERLINK("http://service.sap.com/sap/support/notes/1732029","1732029")</f>
        <v>1732029</v>
      </c>
      <c r="E5644">
        <v>2</v>
      </c>
      <c r="F5644" t="s">
        <v>5747</v>
      </c>
    </row>
    <row r="5645" spans="1:6" x14ac:dyDescent="0.25">
      <c r="A5645" t="s">
        <v>5727</v>
      </c>
      <c r="B5645" t="s">
        <v>497</v>
      </c>
      <c r="C5645" t="s">
        <v>498</v>
      </c>
      <c r="D5645" t="str">
        <f>HYPERLINK("http://service.sap.com/sap/support/notes/1733187","1733187")</f>
        <v>1733187</v>
      </c>
      <c r="E5645">
        <v>1</v>
      </c>
      <c r="F5645" t="s">
        <v>5748</v>
      </c>
    </row>
    <row r="5646" spans="1:6" x14ac:dyDescent="0.25">
      <c r="A5646" t="s">
        <v>5727</v>
      </c>
      <c r="B5646" t="s">
        <v>497</v>
      </c>
      <c r="C5646" t="s">
        <v>498</v>
      </c>
      <c r="D5646" t="str">
        <f>HYPERLINK("http://service.sap.com/sap/support/notes/1733491","1733491")</f>
        <v>1733491</v>
      </c>
      <c r="E5646">
        <v>2</v>
      </c>
      <c r="F5646" t="s">
        <v>5749</v>
      </c>
    </row>
    <row r="5647" spans="1:6" x14ac:dyDescent="0.25">
      <c r="A5647" t="s">
        <v>5727</v>
      </c>
      <c r="B5647" t="s">
        <v>497</v>
      </c>
      <c r="C5647" t="s">
        <v>498</v>
      </c>
      <c r="D5647" t="str">
        <f>HYPERLINK("http://service.sap.com/sap/support/notes/1733602","1733602")</f>
        <v>1733602</v>
      </c>
      <c r="E5647">
        <v>1</v>
      </c>
      <c r="F5647" t="s">
        <v>5750</v>
      </c>
    </row>
    <row r="5648" spans="1:6" x14ac:dyDescent="0.25">
      <c r="A5648" t="s">
        <v>5727</v>
      </c>
      <c r="B5648" t="s">
        <v>497</v>
      </c>
      <c r="C5648" t="s">
        <v>498</v>
      </c>
      <c r="D5648" t="str">
        <f>HYPERLINK("http://service.sap.com/sap/support/notes/1734719","1734719")</f>
        <v>1734719</v>
      </c>
      <c r="E5648">
        <v>1</v>
      </c>
      <c r="F5648" t="s">
        <v>5751</v>
      </c>
    </row>
    <row r="5649" spans="1:6" x14ac:dyDescent="0.25">
      <c r="A5649" t="s">
        <v>5727</v>
      </c>
      <c r="B5649" t="s">
        <v>497</v>
      </c>
      <c r="C5649" t="s">
        <v>498</v>
      </c>
      <c r="D5649" t="str">
        <f>HYPERLINK("http://service.sap.com/sap/support/notes/1734825","1734825")</f>
        <v>1734825</v>
      </c>
      <c r="E5649">
        <v>1</v>
      </c>
      <c r="F5649" t="s">
        <v>5752</v>
      </c>
    </row>
    <row r="5650" spans="1:6" x14ac:dyDescent="0.25">
      <c r="A5650" t="s">
        <v>5727</v>
      </c>
      <c r="B5650" t="s">
        <v>497</v>
      </c>
      <c r="C5650" t="s">
        <v>498</v>
      </c>
      <c r="D5650" t="str">
        <f>HYPERLINK("http://service.sap.com/sap/support/notes/1736080","1736080")</f>
        <v>1736080</v>
      </c>
      <c r="E5650">
        <v>1</v>
      </c>
      <c r="F5650" t="s">
        <v>5753</v>
      </c>
    </row>
    <row r="5651" spans="1:6" x14ac:dyDescent="0.25">
      <c r="A5651" t="s">
        <v>5727</v>
      </c>
      <c r="B5651" t="s">
        <v>497</v>
      </c>
      <c r="C5651" t="s">
        <v>498</v>
      </c>
      <c r="D5651" t="str">
        <f>HYPERLINK("http://service.sap.com/sap/support/notes/1736378","1736378")</f>
        <v>1736378</v>
      </c>
      <c r="E5651">
        <v>1</v>
      </c>
      <c r="F5651" t="s">
        <v>5754</v>
      </c>
    </row>
    <row r="5652" spans="1:6" x14ac:dyDescent="0.25">
      <c r="A5652" t="s">
        <v>5727</v>
      </c>
      <c r="B5652" t="s">
        <v>497</v>
      </c>
      <c r="C5652" t="s">
        <v>498</v>
      </c>
      <c r="D5652" t="str">
        <f>HYPERLINK("http://service.sap.com/sap/support/notes/1737031","1737031")</f>
        <v>1737031</v>
      </c>
      <c r="E5652">
        <v>1</v>
      </c>
      <c r="F5652" t="s">
        <v>5755</v>
      </c>
    </row>
    <row r="5653" spans="1:6" x14ac:dyDescent="0.25">
      <c r="A5653" t="s">
        <v>5727</v>
      </c>
      <c r="B5653" t="s">
        <v>497</v>
      </c>
      <c r="C5653" t="s">
        <v>498</v>
      </c>
      <c r="D5653" t="str">
        <f>HYPERLINK("http://service.sap.com/sap/support/notes/1737056","1737056")</f>
        <v>1737056</v>
      </c>
      <c r="E5653">
        <v>1</v>
      </c>
      <c r="F5653" t="s">
        <v>5756</v>
      </c>
    </row>
    <row r="5654" spans="1:6" x14ac:dyDescent="0.25">
      <c r="A5654" t="s">
        <v>5727</v>
      </c>
      <c r="B5654" t="s">
        <v>497</v>
      </c>
      <c r="C5654" t="s">
        <v>498</v>
      </c>
      <c r="D5654" t="str">
        <f>HYPERLINK("http://service.sap.com/sap/support/notes/1737502","1737502")</f>
        <v>1737502</v>
      </c>
      <c r="E5654">
        <v>1</v>
      </c>
      <c r="F5654" t="s">
        <v>5757</v>
      </c>
    </row>
    <row r="5655" spans="1:6" x14ac:dyDescent="0.25">
      <c r="A5655" t="s">
        <v>5727</v>
      </c>
      <c r="B5655" t="s">
        <v>497</v>
      </c>
      <c r="C5655" t="s">
        <v>498</v>
      </c>
      <c r="D5655" t="str">
        <f>HYPERLINK("http://service.sap.com/sap/support/notes/1737548","1737548")</f>
        <v>1737548</v>
      </c>
      <c r="E5655">
        <v>1</v>
      </c>
      <c r="F5655" t="s">
        <v>5758</v>
      </c>
    </row>
    <row r="5656" spans="1:6" x14ac:dyDescent="0.25">
      <c r="A5656" t="s">
        <v>5727</v>
      </c>
      <c r="B5656" t="s">
        <v>497</v>
      </c>
      <c r="C5656" t="s">
        <v>498</v>
      </c>
      <c r="D5656" t="str">
        <f>HYPERLINK("http://service.sap.com/sap/support/notes/1737646","1737646")</f>
        <v>1737646</v>
      </c>
      <c r="E5656">
        <v>2</v>
      </c>
      <c r="F5656" t="s">
        <v>5759</v>
      </c>
    </row>
    <row r="5657" spans="1:6" x14ac:dyDescent="0.25">
      <c r="A5657" t="s">
        <v>5727</v>
      </c>
      <c r="B5657" t="s">
        <v>497</v>
      </c>
      <c r="C5657" t="s">
        <v>498</v>
      </c>
      <c r="D5657" t="str">
        <f>HYPERLINK("http://service.sap.com/sap/support/notes/1738131","1738131")</f>
        <v>1738131</v>
      </c>
      <c r="E5657">
        <v>1</v>
      </c>
      <c r="F5657" t="s">
        <v>5760</v>
      </c>
    </row>
    <row r="5658" spans="1:6" x14ac:dyDescent="0.25">
      <c r="A5658" t="s">
        <v>5727</v>
      </c>
      <c r="B5658" t="s">
        <v>497</v>
      </c>
      <c r="C5658" t="s">
        <v>498</v>
      </c>
      <c r="D5658" t="str">
        <f>HYPERLINK("http://service.sap.com/sap/support/notes/1738508","1738508")</f>
        <v>1738508</v>
      </c>
      <c r="E5658">
        <v>1</v>
      </c>
      <c r="F5658" t="s">
        <v>5761</v>
      </c>
    </row>
    <row r="5659" spans="1:6" x14ac:dyDescent="0.25">
      <c r="A5659" t="s">
        <v>5727</v>
      </c>
      <c r="B5659" t="s">
        <v>497</v>
      </c>
      <c r="C5659" t="s">
        <v>498</v>
      </c>
      <c r="D5659" t="str">
        <f>HYPERLINK("http://service.sap.com/sap/support/notes/1740898","1740898")</f>
        <v>1740898</v>
      </c>
      <c r="E5659">
        <v>1</v>
      </c>
      <c r="F5659" t="s">
        <v>5762</v>
      </c>
    </row>
    <row r="5660" spans="1:6" x14ac:dyDescent="0.25">
      <c r="A5660" t="s">
        <v>5727</v>
      </c>
      <c r="B5660" t="s">
        <v>497</v>
      </c>
      <c r="C5660" t="s">
        <v>498</v>
      </c>
      <c r="D5660" t="str">
        <f>HYPERLINK("http://service.sap.com/sap/support/notes/1740899","1740899")</f>
        <v>1740899</v>
      </c>
      <c r="E5660">
        <v>1</v>
      </c>
      <c r="F5660" t="s">
        <v>5763</v>
      </c>
    </row>
    <row r="5661" spans="1:6" x14ac:dyDescent="0.25">
      <c r="A5661" t="s">
        <v>5727</v>
      </c>
      <c r="B5661" t="s">
        <v>497</v>
      </c>
      <c r="C5661" t="s">
        <v>498</v>
      </c>
      <c r="D5661" t="str">
        <f>HYPERLINK("http://service.sap.com/sap/support/notes/1741502","1741502")</f>
        <v>1741502</v>
      </c>
      <c r="E5661">
        <v>1</v>
      </c>
      <c r="F5661" t="s">
        <v>5764</v>
      </c>
    </row>
    <row r="5662" spans="1:6" x14ac:dyDescent="0.25">
      <c r="A5662" t="s">
        <v>5727</v>
      </c>
      <c r="B5662" t="s">
        <v>497</v>
      </c>
      <c r="C5662" t="s">
        <v>498</v>
      </c>
      <c r="D5662" t="str">
        <f>HYPERLINK("http://service.sap.com/sap/support/notes/1742098","1742098")</f>
        <v>1742098</v>
      </c>
      <c r="E5662">
        <v>1</v>
      </c>
      <c r="F5662" t="s">
        <v>5765</v>
      </c>
    </row>
    <row r="5663" spans="1:6" x14ac:dyDescent="0.25">
      <c r="A5663" t="s">
        <v>5727</v>
      </c>
      <c r="B5663" t="s">
        <v>497</v>
      </c>
      <c r="C5663" t="s">
        <v>498</v>
      </c>
      <c r="D5663" t="str">
        <f>HYPERLINK("http://service.sap.com/sap/support/notes/1742374","1742374")</f>
        <v>1742374</v>
      </c>
      <c r="E5663">
        <v>1</v>
      </c>
      <c r="F5663" t="s">
        <v>5766</v>
      </c>
    </row>
    <row r="5664" spans="1:6" x14ac:dyDescent="0.25">
      <c r="A5664" t="s">
        <v>5727</v>
      </c>
      <c r="B5664" t="s">
        <v>497</v>
      </c>
      <c r="C5664" t="s">
        <v>498</v>
      </c>
      <c r="D5664" t="str">
        <f>HYPERLINK("http://service.sap.com/sap/support/notes/1743590","1743590")</f>
        <v>1743590</v>
      </c>
      <c r="E5664">
        <v>1</v>
      </c>
      <c r="F5664" t="s">
        <v>5767</v>
      </c>
    </row>
    <row r="5665" spans="1:6" x14ac:dyDescent="0.25">
      <c r="A5665" t="s">
        <v>5727</v>
      </c>
      <c r="B5665" t="s">
        <v>656</v>
      </c>
      <c r="C5665" t="s">
        <v>657</v>
      </c>
      <c r="D5665" t="str">
        <f>HYPERLINK("http://service.sap.com/sap/support/notes/1617129","1617129")</f>
        <v>1617129</v>
      </c>
      <c r="E5665">
        <v>8</v>
      </c>
      <c r="F5665" t="s">
        <v>5768</v>
      </c>
    </row>
    <row r="5666" spans="1:6" x14ac:dyDescent="0.25">
      <c r="A5666" t="s">
        <v>5727</v>
      </c>
      <c r="B5666" t="s">
        <v>656</v>
      </c>
      <c r="C5666" t="s">
        <v>657</v>
      </c>
      <c r="D5666" t="str">
        <f>HYPERLINK("http://service.sap.com/sap/support/notes/1728048","1728048")</f>
        <v>1728048</v>
      </c>
      <c r="E5666">
        <v>1</v>
      </c>
      <c r="F5666" t="s">
        <v>5769</v>
      </c>
    </row>
    <row r="5667" spans="1:6" x14ac:dyDescent="0.25">
      <c r="A5667" t="s">
        <v>5727</v>
      </c>
      <c r="B5667" t="s">
        <v>656</v>
      </c>
      <c r="C5667" t="s">
        <v>657</v>
      </c>
      <c r="D5667" t="str">
        <f>HYPERLINK("http://service.sap.com/sap/support/notes/1729277","1729277")</f>
        <v>1729277</v>
      </c>
      <c r="E5667">
        <v>1</v>
      </c>
      <c r="F5667" t="s">
        <v>5770</v>
      </c>
    </row>
    <row r="5668" spans="1:6" x14ac:dyDescent="0.25">
      <c r="A5668" t="s">
        <v>5727</v>
      </c>
      <c r="B5668" t="s">
        <v>656</v>
      </c>
      <c r="C5668" t="s">
        <v>657</v>
      </c>
      <c r="D5668" t="str">
        <f>HYPERLINK("http://service.sap.com/sap/support/notes/1730366","1730366")</f>
        <v>1730366</v>
      </c>
      <c r="E5668">
        <v>2</v>
      </c>
      <c r="F5668" t="s">
        <v>5492</v>
      </c>
    </row>
    <row r="5669" spans="1:6" x14ac:dyDescent="0.25">
      <c r="A5669" t="s">
        <v>5727</v>
      </c>
      <c r="B5669" t="s">
        <v>656</v>
      </c>
      <c r="C5669" t="s">
        <v>657</v>
      </c>
      <c r="D5669" t="str">
        <f>HYPERLINK("http://service.sap.com/sap/support/notes/1730879","1730879")</f>
        <v>1730879</v>
      </c>
      <c r="E5669">
        <v>2</v>
      </c>
      <c r="F5669" t="s">
        <v>5771</v>
      </c>
    </row>
    <row r="5670" spans="1:6" x14ac:dyDescent="0.25">
      <c r="A5670" t="s">
        <v>5727</v>
      </c>
      <c r="B5670" t="s">
        <v>656</v>
      </c>
      <c r="C5670" t="s">
        <v>657</v>
      </c>
      <c r="D5670" t="str">
        <f>HYPERLINK("http://service.sap.com/sap/support/notes/1731793","1731793")</f>
        <v>1731793</v>
      </c>
      <c r="E5670">
        <v>1</v>
      </c>
      <c r="F5670" t="s">
        <v>5772</v>
      </c>
    </row>
    <row r="5671" spans="1:6" x14ac:dyDescent="0.25">
      <c r="A5671" t="s">
        <v>5727</v>
      </c>
      <c r="B5671" t="s">
        <v>656</v>
      </c>
      <c r="C5671" t="s">
        <v>657</v>
      </c>
      <c r="D5671" t="str">
        <f>HYPERLINK("http://service.sap.com/sap/support/notes/1732027","1732027")</f>
        <v>1732027</v>
      </c>
      <c r="E5671">
        <v>2</v>
      </c>
      <c r="F5671" t="s">
        <v>5773</v>
      </c>
    </row>
    <row r="5672" spans="1:6" x14ac:dyDescent="0.25">
      <c r="A5672" t="s">
        <v>5727</v>
      </c>
      <c r="B5672" t="s">
        <v>656</v>
      </c>
      <c r="C5672" t="s">
        <v>657</v>
      </c>
      <c r="D5672" t="str">
        <f>HYPERLINK("http://service.sap.com/sap/support/notes/1732146","1732146")</f>
        <v>1732146</v>
      </c>
      <c r="E5672">
        <v>4</v>
      </c>
      <c r="F5672" t="s">
        <v>5774</v>
      </c>
    </row>
    <row r="5673" spans="1:6" x14ac:dyDescent="0.25">
      <c r="A5673" t="s">
        <v>5727</v>
      </c>
      <c r="B5673" t="s">
        <v>656</v>
      </c>
      <c r="C5673" t="s">
        <v>657</v>
      </c>
      <c r="D5673" t="str">
        <f>HYPERLINK("http://service.sap.com/sap/support/notes/1732306","1732306")</f>
        <v>1732306</v>
      </c>
      <c r="E5673">
        <v>1</v>
      </c>
      <c r="F5673" t="s">
        <v>5775</v>
      </c>
    </row>
    <row r="5674" spans="1:6" x14ac:dyDescent="0.25">
      <c r="A5674" t="s">
        <v>5727</v>
      </c>
      <c r="B5674" t="s">
        <v>656</v>
      </c>
      <c r="C5674" t="s">
        <v>657</v>
      </c>
      <c r="D5674" t="str">
        <f>HYPERLINK("http://service.sap.com/sap/support/notes/1732985","1732985")</f>
        <v>1732985</v>
      </c>
      <c r="E5674">
        <v>1</v>
      </c>
      <c r="F5674" t="s">
        <v>5776</v>
      </c>
    </row>
    <row r="5675" spans="1:6" x14ac:dyDescent="0.25">
      <c r="A5675" t="s">
        <v>5727</v>
      </c>
      <c r="B5675" t="s">
        <v>656</v>
      </c>
      <c r="C5675" t="s">
        <v>657</v>
      </c>
      <c r="D5675" t="str">
        <f>HYPERLINK("http://service.sap.com/sap/support/notes/1733174","1733174")</f>
        <v>1733174</v>
      </c>
      <c r="E5675">
        <v>1</v>
      </c>
      <c r="F5675" t="s">
        <v>5777</v>
      </c>
    </row>
    <row r="5676" spans="1:6" x14ac:dyDescent="0.25">
      <c r="A5676" t="s">
        <v>5727</v>
      </c>
      <c r="B5676" t="s">
        <v>656</v>
      </c>
      <c r="C5676" t="s">
        <v>657</v>
      </c>
      <c r="D5676" t="str">
        <f>HYPERLINK("http://service.sap.com/sap/support/notes/1733705","1733705")</f>
        <v>1733705</v>
      </c>
      <c r="E5676">
        <v>1</v>
      </c>
      <c r="F5676" t="s">
        <v>5778</v>
      </c>
    </row>
    <row r="5677" spans="1:6" x14ac:dyDescent="0.25">
      <c r="A5677" t="s">
        <v>5727</v>
      </c>
      <c r="B5677" t="s">
        <v>656</v>
      </c>
      <c r="C5677" t="s">
        <v>657</v>
      </c>
      <c r="D5677" t="str">
        <f>HYPERLINK("http://service.sap.com/sap/support/notes/1734834","1734834")</f>
        <v>1734834</v>
      </c>
      <c r="E5677">
        <v>1</v>
      </c>
      <c r="F5677" t="s">
        <v>5779</v>
      </c>
    </row>
    <row r="5678" spans="1:6" x14ac:dyDescent="0.25">
      <c r="A5678" t="s">
        <v>5727</v>
      </c>
      <c r="B5678" t="s">
        <v>656</v>
      </c>
      <c r="C5678" t="s">
        <v>657</v>
      </c>
      <c r="D5678" t="str">
        <f>HYPERLINK("http://service.sap.com/sap/support/notes/1735266","1735266")</f>
        <v>1735266</v>
      </c>
      <c r="E5678">
        <v>1</v>
      </c>
      <c r="F5678" t="s">
        <v>5780</v>
      </c>
    </row>
    <row r="5679" spans="1:6" x14ac:dyDescent="0.25">
      <c r="A5679" t="s">
        <v>5727</v>
      </c>
      <c r="B5679" t="s">
        <v>656</v>
      </c>
      <c r="C5679" t="s">
        <v>657</v>
      </c>
      <c r="D5679" t="str">
        <f>HYPERLINK("http://service.sap.com/sap/support/notes/1736646","1736646")</f>
        <v>1736646</v>
      </c>
      <c r="E5679">
        <v>1</v>
      </c>
      <c r="F5679" t="s">
        <v>5781</v>
      </c>
    </row>
    <row r="5680" spans="1:6" x14ac:dyDescent="0.25">
      <c r="A5680" t="s">
        <v>5727</v>
      </c>
      <c r="B5680" t="s">
        <v>656</v>
      </c>
      <c r="C5680" t="s">
        <v>657</v>
      </c>
      <c r="D5680" t="str">
        <f>HYPERLINK("http://service.sap.com/sap/support/notes/1737068","1737068")</f>
        <v>1737068</v>
      </c>
      <c r="E5680">
        <v>1</v>
      </c>
      <c r="F5680" t="s">
        <v>5782</v>
      </c>
    </row>
    <row r="5681" spans="1:6" x14ac:dyDescent="0.25">
      <c r="A5681" t="s">
        <v>5727</v>
      </c>
      <c r="B5681" t="s">
        <v>656</v>
      </c>
      <c r="C5681" t="s">
        <v>657</v>
      </c>
      <c r="D5681" t="str">
        <f>HYPERLINK("http://service.sap.com/sap/support/notes/1737562","1737562")</f>
        <v>1737562</v>
      </c>
      <c r="E5681">
        <v>1</v>
      </c>
      <c r="F5681" t="s">
        <v>5783</v>
      </c>
    </row>
    <row r="5682" spans="1:6" x14ac:dyDescent="0.25">
      <c r="A5682" t="s">
        <v>5727</v>
      </c>
      <c r="B5682" t="s">
        <v>656</v>
      </c>
      <c r="C5682" t="s">
        <v>657</v>
      </c>
      <c r="D5682" t="str">
        <f>HYPERLINK("http://service.sap.com/sap/support/notes/1739750","1739750")</f>
        <v>1739750</v>
      </c>
      <c r="E5682">
        <v>1</v>
      </c>
      <c r="F5682" t="s">
        <v>5784</v>
      </c>
    </row>
    <row r="5683" spans="1:6" x14ac:dyDescent="0.25">
      <c r="A5683" t="s">
        <v>5727</v>
      </c>
      <c r="B5683" t="s">
        <v>656</v>
      </c>
      <c r="C5683" t="s">
        <v>657</v>
      </c>
      <c r="D5683" t="str">
        <f>HYPERLINK("http://service.sap.com/sap/support/notes/1740086","1740086")</f>
        <v>1740086</v>
      </c>
      <c r="E5683">
        <v>1</v>
      </c>
      <c r="F5683" t="s">
        <v>5785</v>
      </c>
    </row>
    <row r="5684" spans="1:6" x14ac:dyDescent="0.25">
      <c r="A5684" t="s">
        <v>5727</v>
      </c>
      <c r="B5684" t="s">
        <v>656</v>
      </c>
      <c r="C5684" t="s">
        <v>657</v>
      </c>
      <c r="D5684" t="str">
        <f>HYPERLINK("http://service.sap.com/sap/support/notes/1740241","1740241")</f>
        <v>1740241</v>
      </c>
      <c r="E5684">
        <v>1</v>
      </c>
      <c r="F5684" t="s">
        <v>5786</v>
      </c>
    </row>
    <row r="5685" spans="1:6" x14ac:dyDescent="0.25">
      <c r="A5685" t="s">
        <v>5727</v>
      </c>
      <c r="B5685" t="s">
        <v>656</v>
      </c>
      <c r="C5685" t="s">
        <v>657</v>
      </c>
      <c r="D5685" t="str">
        <f>HYPERLINK("http://service.sap.com/sap/support/notes/1740308","1740308")</f>
        <v>1740308</v>
      </c>
      <c r="E5685">
        <v>1</v>
      </c>
      <c r="F5685" t="s">
        <v>5787</v>
      </c>
    </row>
    <row r="5686" spans="1:6" x14ac:dyDescent="0.25">
      <c r="A5686" t="s">
        <v>5727</v>
      </c>
      <c r="B5686" t="s">
        <v>656</v>
      </c>
      <c r="C5686" t="s">
        <v>657</v>
      </c>
      <c r="D5686" t="str">
        <f>HYPERLINK("http://service.sap.com/sap/support/notes/1740897","1740897")</f>
        <v>1740897</v>
      </c>
      <c r="E5686">
        <v>1</v>
      </c>
      <c r="F5686" t="s">
        <v>5788</v>
      </c>
    </row>
    <row r="5687" spans="1:6" x14ac:dyDescent="0.25">
      <c r="A5687" t="s">
        <v>5727</v>
      </c>
      <c r="B5687" t="s">
        <v>656</v>
      </c>
      <c r="C5687" t="s">
        <v>657</v>
      </c>
      <c r="D5687" t="str">
        <f>HYPERLINK("http://service.sap.com/sap/support/notes/1741851","1741851")</f>
        <v>1741851</v>
      </c>
      <c r="E5687">
        <v>1</v>
      </c>
      <c r="F5687" t="s">
        <v>5789</v>
      </c>
    </row>
    <row r="5688" spans="1:6" x14ac:dyDescent="0.25">
      <c r="A5688" t="s">
        <v>5727</v>
      </c>
      <c r="B5688" t="s">
        <v>656</v>
      </c>
      <c r="C5688" t="s">
        <v>657</v>
      </c>
      <c r="D5688" t="str">
        <f>HYPERLINK("http://service.sap.com/sap/support/notes/1743095","1743095")</f>
        <v>1743095</v>
      </c>
      <c r="E5688">
        <v>1</v>
      </c>
      <c r="F5688" t="s">
        <v>5790</v>
      </c>
    </row>
    <row r="5689" spans="1:6" x14ac:dyDescent="0.25">
      <c r="A5689" t="s">
        <v>5727</v>
      </c>
      <c r="B5689" t="s">
        <v>656</v>
      </c>
      <c r="C5689" t="s">
        <v>657</v>
      </c>
      <c r="D5689" t="str">
        <f>HYPERLINK("http://service.sap.com/sap/support/notes/1743353","1743353")</f>
        <v>1743353</v>
      </c>
      <c r="E5689">
        <v>1</v>
      </c>
      <c r="F5689" t="s">
        <v>5791</v>
      </c>
    </row>
    <row r="5690" spans="1:6" x14ac:dyDescent="0.25">
      <c r="A5690" t="s">
        <v>5727</v>
      </c>
      <c r="B5690" t="s">
        <v>656</v>
      </c>
      <c r="C5690" t="s">
        <v>657</v>
      </c>
      <c r="D5690" t="str">
        <f>HYPERLINK("http://service.sap.com/sap/support/notes/1744269","1744269")</f>
        <v>1744269</v>
      </c>
      <c r="E5690">
        <v>1</v>
      </c>
      <c r="F5690" t="s">
        <v>5792</v>
      </c>
    </row>
    <row r="5691" spans="1:6" x14ac:dyDescent="0.25">
      <c r="A5691" t="s">
        <v>5727</v>
      </c>
      <c r="B5691" t="s">
        <v>694</v>
      </c>
      <c r="C5691" t="s">
        <v>695</v>
      </c>
      <c r="D5691" t="str">
        <f>HYPERLINK("http://service.sap.com/sap/support/notes/1732058","1732058")</f>
        <v>1732058</v>
      </c>
      <c r="E5691">
        <v>2</v>
      </c>
      <c r="F5691" t="s">
        <v>5793</v>
      </c>
    </row>
    <row r="5692" spans="1:6" x14ac:dyDescent="0.25">
      <c r="A5692" t="s">
        <v>5727</v>
      </c>
      <c r="B5692" t="s">
        <v>694</v>
      </c>
      <c r="C5692" t="s">
        <v>695</v>
      </c>
      <c r="D5692" t="str">
        <f>HYPERLINK("http://service.sap.com/sap/support/notes/1743000","1743000")</f>
        <v>1743000</v>
      </c>
      <c r="E5692">
        <v>4</v>
      </c>
      <c r="F5692" t="s">
        <v>5794</v>
      </c>
    </row>
    <row r="5693" spans="1:6" x14ac:dyDescent="0.25">
      <c r="A5693" t="s">
        <v>5727</v>
      </c>
      <c r="B5693" t="s">
        <v>5795</v>
      </c>
      <c r="C5693" t="s">
        <v>5796</v>
      </c>
      <c r="D5693" t="str">
        <f>HYPERLINK("http://service.sap.com/sap/support/notes/1695902","1695902")</f>
        <v>1695902</v>
      </c>
      <c r="E5693">
        <v>3</v>
      </c>
      <c r="F5693" t="s">
        <v>5797</v>
      </c>
    </row>
    <row r="5694" spans="1:6" x14ac:dyDescent="0.25">
      <c r="A5694" t="s">
        <v>5727</v>
      </c>
      <c r="B5694" t="s">
        <v>5798</v>
      </c>
      <c r="C5694" t="s">
        <v>5799</v>
      </c>
      <c r="D5694" t="str">
        <f>HYPERLINK("http://service.sap.com/sap/support/notes/1741734","1741734")</f>
        <v>1741734</v>
      </c>
      <c r="E5694">
        <v>4</v>
      </c>
      <c r="F5694" t="s">
        <v>5800</v>
      </c>
    </row>
    <row r="5695" spans="1:6" x14ac:dyDescent="0.25">
      <c r="A5695" t="s">
        <v>5727</v>
      </c>
      <c r="B5695" t="s">
        <v>5798</v>
      </c>
      <c r="C5695" t="s">
        <v>5799</v>
      </c>
      <c r="D5695" t="str">
        <f>HYPERLINK("http://service.sap.com/sap/support/notes/1742474","1742474")</f>
        <v>1742474</v>
      </c>
      <c r="E5695">
        <v>2</v>
      </c>
      <c r="F5695" t="s">
        <v>5801</v>
      </c>
    </row>
    <row r="5696" spans="1:6" x14ac:dyDescent="0.25">
      <c r="A5696" t="s">
        <v>5727</v>
      </c>
      <c r="B5696" t="s">
        <v>5798</v>
      </c>
      <c r="C5696" t="s">
        <v>5799</v>
      </c>
      <c r="D5696" t="str">
        <f>HYPERLINK("http://service.sap.com/sap/support/notes/1743575","1743575")</f>
        <v>1743575</v>
      </c>
      <c r="E5696">
        <v>1</v>
      </c>
      <c r="F5696" t="s">
        <v>5802</v>
      </c>
    </row>
    <row r="5697" spans="1:6" x14ac:dyDescent="0.25">
      <c r="A5697" t="s">
        <v>5727</v>
      </c>
      <c r="B5697" t="s">
        <v>24</v>
      </c>
      <c r="C5697" t="s">
        <v>10</v>
      </c>
    </row>
    <row r="5698" spans="1:6" x14ac:dyDescent="0.25">
      <c r="A5698" t="s">
        <v>5727</v>
      </c>
      <c r="B5698" t="s">
        <v>5505</v>
      </c>
      <c r="C5698" t="s">
        <v>5506</v>
      </c>
      <c r="D5698" t="str">
        <f>HYPERLINK("http://service.sap.com/sap/support/notes/1740573","1740573")</f>
        <v>1740573</v>
      </c>
      <c r="E5698">
        <v>1</v>
      </c>
      <c r="F5698" t="s">
        <v>5803</v>
      </c>
    </row>
    <row r="5699" spans="1:6" x14ac:dyDescent="0.25">
      <c r="A5699" t="s">
        <v>5727</v>
      </c>
      <c r="B5699" t="s">
        <v>5505</v>
      </c>
      <c r="C5699" t="s">
        <v>5506</v>
      </c>
      <c r="D5699" t="str">
        <f>HYPERLINK("http://service.sap.com/sap/support/notes/1741107","1741107")</f>
        <v>1741107</v>
      </c>
      <c r="E5699">
        <v>1</v>
      </c>
      <c r="F5699" t="s">
        <v>5804</v>
      </c>
    </row>
    <row r="5700" spans="1:6" x14ac:dyDescent="0.25">
      <c r="A5700" t="s">
        <v>5727</v>
      </c>
      <c r="B5700" t="s">
        <v>5505</v>
      </c>
      <c r="C5700" t="s">
        <v>5506</v>
      </c>
      <c r="D5700" t="str">
        <f>HYPERLINK("http://service.sap.com/sap/support/notes/1742291","1742291")</f>
        <v>1742291</v>
      </c>
      <c r="E5700">
        <v>1</v>
      </c>
      <c r="F5700" t="s">
        <v>5805</v>
      </c>
    </row>
    <row r="5701" spans="1:6" x14ac:dyDescent="0.25">
      <c r="A5701" t="s">
        <v>5727</v>
      </c>
      <c r="B5701" t="s">
        <v>5505</v>
      </c>
      <c r="C5701" t="s">
        <v>5506</v>
      </c>
      <c r="D5701" t="str">
        <f>HYPERLINK("http://service.sap.com/sap/support/notes/1744558","1744558")</f>
        <v>1744558</v>
      </c>
      <c r="E5701">
        <v>1</v>
      </c>
      <c r="F5701" t="s">
        <v>5806</v>
      </c>
    </row>
    <row r="5702" spans="1:6" x14ac:dyDescent="0.25">
      <c r="A5702" t="s">
        <v>5727</v>
      </c>
      <c r="B5702" t="s">
        <v>5505</v>
      </c>
      <c r="C5702" t="s">
        <v>5506</v>
      </c>
      <c r="D5702" t="str">
        <f>HYPERLINK("http://service.sap.com/sap/support/notes/1744620","1744620")</f>
        <v>1744620</v>
      </c>
      <c r="E5702">
        <v>1</v>
      </c>
      <c r="F5702" t="s">
        <v>5807</v>
      </c>
    </row>
    <row r="5703" spans="1:6" x14ac:dyDescent="0.25">
      <c r="A5703" t="s">
        <v>5727</v>
      </c>
      <c r="B5703" t="s">
        <v>5514</v>
      </c>
      <c r="C5703" t="s">
        <v>5515</v>
      </c>
      <c r="D5703" t="str">
        <f>HYPERLINK("http://service.sap.com/sap/support/notes/1734274","1734274")</f>
        <v>1734274</v>
      </c>
      <c r="E5703">
        <v>2</v>
      </c>
      <c r="F5703" t="s">
        <v>5808</v>
      </c>
    </row>
    <row r="5704" spans="1:6" x14ac:dyDescent="0.25">
      <c r="A5704" t="s">
        <v>5727</v>
      </c>
      <c r="B5704" t="s">
        <v>5514</v>
      </c>
      <c r="C5704" t="s">
        <v>5515</v>
      </c>
      <c r="D5704" t="str">
        <f>HYPERLINK("http://service.sap.com/sap/support/notes/1736038","1736038")</f>
        <v>1736038</v>
      </c>
      <c r="E5704">
        <v>5</v>
      </c>
      <c r="F5704" t="s">
        <v>5809</v>
      </c>
    </row>
    <row r="5705" spans="1:6" x14ac:dyDescent="0.25">
      <c r="A5705" t="s">
        <v>5727</v>
      </c>
      <c r="B5705" t="s">
        <v>5514</v>
      </c>
      <c r="C5705" t="s">
        <v>5515</v>
      </c>
      <c r="D5705" t="str">
        <f>HYPERLINK("http://service.sap.com/sap/support/notes/1738652","1738652")</f>
        <v>1738652</v>
      </c>
      <c r="E5705">
        <v>2</v>
      </c>
      <c r="F5705" t="s">
        <v>5810</v>
      </c>
    </row>
    <row r="5706" spans="1:6" x14ac:dyDescent="0.25">
      <c r="A5706" t="s">
        <v>5727</v>
      </c>
      <c r="B5706" t="s">
        <v>5514</v>
      </c>
      <c r="C5706" t="s">
        <v>5515</v>
      </c>
      <c r="D5706" t="str">
        <f>HYPERLINK("http://service.sap.com/sap/support/notes/1742896","1742896")</f>
        <v>1742896</v>
      </c>
      <c r="E5706">
        <v>1</v>
      </c>
      <c r="F5706" t="s">
        <v>5811</v>
      </c>
    </row>
    <row r="5707" spans="1:6" x14ac:dyDescent="0.25">
      <c r="A5707" t="s">
        <v>5727</v>
      </c>
      <c r="B5707" t="s">
        <v>5514</v>
      </c>
      <c r="C5707" t="s">
        <v>5515</v>
      </c>
      <c r="D5707" t="str">
        <f>HYPERLINK("http://service.sap.com/sap/support/notes/1744243","1744243")</f>
        <v>1744243</v>
      </c>
      <c r="E5707">
        <v>2</v>
      </c>
      <c r="F5707" t="s">
        <v>5812</v>
      </c>
    </row>
    <row r="5708" spans="1:6" x14ac:dyDescent="0.25">
      <c r="A5708" t="s">
        <v>5727</v>
      </c>
      <c r="B5708" t="s">
        <v>5524</v>
      </c>
      <c r="C5708" t="s">
        <v>5525</v>
      </c>
      <c r="D5708" t="str">
        <f>HYPERLINK("http://service.sap.com/sap/support/notes/1734259","1734259")</f>
        <v>1734259</v>
      </c>
      <c r="E5708">
        <v>2</v>
      </c>
      <c r="F5708" t="s">
        <v>5813</v>
      </c>
    </row>
    <row r="5709" spans="1:6" x14ac:dyDescent="0.25">
      <c r="A5709" t="s">
        <v>5727</v>
      </c>
      <c r="B5709" t="s">
        <v>5536</v>
      </c>
      <c r="C5709" t="s">
        <v>5537</v>
      </c>
      <c r="D5709" t="str">
        <f>HYPERLINK("http://service.sap.com/sap/support/notes/1683210","1683210")</f>
        <v>1683210</v>
      </c>
      <c r="E5709">
        <v>1</v>
      </c>
      <c r="F5709" t="s">
        <v>5814</v>
      </c>
    </row>
    <row r="5710" spans="1:6" x14ac:dyDescent="0.25">
      <c r="A5710" t="s">
        <v>5727</v>
      </c>
      <c r="B5710" t="s">
        <v>5539</v>
      </c>
      <c r="C5710" t="s">
        <v>5540</v>
      </c>
    </row>
    <row r="5711" spans="1:6" x14ac:dyDescent="0.25">
      <c r="A5711" t="s">
        <v>5727</v>
      </c>
      <c r="B5711" t="s">
        <v>5541</v>
      </c>
      <c r="C5711" t="s">
        <v>5542</v>
      </c>
      <c r="D5711" t="str">
        <f>HYPERLINK("http://service.sap.com/sap/support/notes/1223687","1223687")</f>
        <v>1223687</v>
      </c>
      <c r="E5711">
        <v>23</v>
      </c>
      <c r="F5711" t="s">
        <v>5815</v>
      </c>
    </row>
    <row r="5712" spans="1:6" x14ac:dyDescent="0.25">
      <c r="A5712" t="s">
        <v>5727</v>
      </c>
      <c r="B5712" t="s">
        <v>5541</v>
      </c>
      <c r="C5712" t="s">
        <v>5542</v>
      </c>
      <c r="D5712" t="str">
        <f>HYPERLINK("http://service.sap.com/sap/support/notes/1671704","1671704")</f>
        <v>1671704</v>
      </c>
      <c r="E5712">
        <v>2</v>
      </c>
      <c r="F5712" t="s">
        <v>5544</v>
      </c>
    </row>
    <row r="5713" spans="1:6" x14ac:dyDescent="0.25">
      <c r="A5713" t="s">
        <v>5727</v>
      </c>
      <c r="B5713" t="s">
        <v>5558</v>
      </c>
      <c r="C5713" t="s">
        <v>5559</v>
      </c>
      <c r="D5713" t="str">
        <f>HYPERLINK("http://service.sap.com/sap/support/notes/1726079","1726079")</f>
        <v>1726079</v>
      </c>
      <c r="E5713">
        <v>2</v>
      </c>
      <c r="F5713" t="s">
        <v>5561</v>
      </c>
    </row>
    <row r="5714" spans="1:6" x14ac:dyDescent="0.25">
      <c r="A5714" t="s">
        <v>5727</v>
      </c>
      <c r="B5714" t="s">
        <v>5558</v>
      </c>
      <c r="C5714" t="s">
        <v>5559</v>
      </c>
      <c r="D5714" t="str">
        <f>HYPERLINK("http://service.sap.com/sap/support/notes/1728367","1728367")</f>
        <v>1728367</v>
      </c>
      <c r="E5714">
        <v>2</v>
      </c>
      <c r="F5714" t="s">
        <v>5816</v>
      </c>
    </row>
    <row r="5715" spans="1:6" x14ac:dyDescent="0.25">
      <c r="A5715" t="s">
        <v>5727</v>
      </c>
      <c r="B5715" t="s">
        <v>510</v>
      </c>
      <c r="C5715" t="s">
        <v>5562</v>
      </c>
      <c r="D5715" t="str">
        <f>HYPERLINK("http://service.sap.com/sap/support/notes/1710957","1710957")</f>
        <v>1710957</v>
      </c>
      <c r="E5715">
        <v>1</v>
      </c>
      <c r="F5715" t="s">
        <v>5817</v>
      </c>
    </row>
    <row r="5716" spans="1:6" x14ac:dyDescent="0.25">
      <c r="A5716" t="s">
        <v>5727</v>
      </c>
      <c r="B5716" t="s">
        <v>510</v>
      </c>
      <c r="C5716" t="s">
        <v>5562</v>
      </c>
      <c r="D5716" t="str">
        <f>HYPERLINK("http://service.sap.com/sap/support/notes/1728843","1728843")</f>
        <v>1728843</v>
      </c>
      <c r="E5716">
        <v>1</v>
      </c>
      <c r="F5716" t="s">
        <v>5818</v>
      </c>
    </row>
    <row r="5717" spans="1:6" x14ac:dyDescent="0.25">
      <c r="A5717" t="s">
        <v>5727</v>
      </c>
      <c r="B5717" t="s">
        <v>510</v>
      </c>
      <c r="C5717" t="s">
        <v>5562</v>
      </c>
      <c r="D5717" t="str">
        <f>HYPERLINK("http://service.sap.com/sap/support/notes/1735123","1735123")</f>
        <v>1735123</v>
      </c>
      <c r="E5717">
        <v>1</v>
      </c>
      <c r="F5717" t="s">
        <v>5819</v>
      </c>
    </row>
    <row r="5718" spans="1:6" x14ac:dyDescent="0.25">
      <c r="A5718" t="s">
        <v>5727</v>
      </c>
      <c r="B5718" t="s">
        <v>25</v>
      </c>
      <c r="C5718" t="s">
        <v>26</v>
      </c>
    </row>
    <row r="5719" spans="1:6" x14ac:dyDescent="0.25">
      <c r="A5719" t="s">
        <v>5727</v>
      </c>
      <c r="B5719" t="s">
        <v>27</v>
      </c>
      <c r="C5719" t="s">
        <v>28</v>
      </c>
      <c r="D5719" t="str">
        <f>HYPERLINK("http://service.sap.com/sap/support/notes/1551410","1551410")</f>
        <v>1551410</v>
      </c>
      <c r="E5719">
        <v>11</v>
      </c>
      <c r="F5719" t="s">
        <v>5820</v>
      </c>
    </row>
    <row r="5720" spans="1:6" x14ac:dyDescent="0.25">
      <c r="A5720" t="s">
        <v>5727</v>
      </c>
      <c r="B5720" t="s">
        <v>519</v>
      </c>
      <c r="C5720" t="s">
        <v>132</v>
      </c>
      <c r="D5720" t="str">
        <f>HYPERLINK("http://service.sap.com/sap/support/notes/1743940","1743940")</f>
        <v>1743940</v>
      </c>
      <c r="E5720">
        <v>1</v>
      </c>
      <c r="F5720" t="s">
        <v>5821</v>
      </c>
    </row>
    <row r="5721" spans="1:6" x14ac:dyDescent="0.25">
      <c r="A5721" t="s">
        <v>5727</v>
      </c>
      <c r="B5721" t="s">
        <v>642</v>
      </c>
      <c r="C5721" t="s">
        <v>145</v>
      </c>
      <c r="D5721" t="str">
        <f>HYPERLINK("http://service.sap.com/sap/support/notes/1734329","1734329")</f>
        <v>1734329</v>
      </c>
      <c r="E5721">
        <v>1</v>
      </c>
      <c r="F5721" t="s">
        <v>5822</v>
      </c>
    </row>
    <row r="5722" spans="1:6" x14ac:dyDescent="0.25">
      <c r="A5722" t="s">
        <v>5727</v>
      </c>
      <c r="B5722" t="s">
        <v>642</v>
      </c>
      <c r="C5722" t="s">
        <v>145</v>
      </c>
      <c r="D5722" t="str">
        <f>HYPERLINK("http://service.sap.com/sap/support/notes/1744714","1744714")</f>
        <v>1744714</v>
      </c>
      <c r="E5722">
        <v>1</v>
      </c>
      <c r="F5722" t="s">
        <v>5823</v>
      </c>
    </row>
    <row r="5723" spans="1:6" x14ac:dyDescent="0.25">
      <c r="A5723" t="s">
        <v>5727</v>
      </c>
      <c r="B5723" t="s">
        <v>33</v>
      </c>
      <c r="C5723" t="s">
        <v>34</v>
      </c>
      <c r="D5723" t="str">
        <f>HYPERLINK("http://service.sap.com/sap/support/notes/1632904","1632904")</f>
        <v>1632904</v>
      </c>
      <c r="E5723">
        <v>1</v>
      </c>
      <c r="F5723" t="s">
        <v>5566</v>
      </c>
    </row>
    <row r="5724" spans="1:6" x14ac:dyDescent="0.25">
      <c r="A5724" t="s">
        <v>5727</v>
      </c>
      <c r="B5724" t="s">
        <v>40</v>
      </c>
      <c r="C5724" t="s">
        <v>41</v>
      </c>
    </row>
    <row r="5725" spans="1:6" x14ac:dyDescent="0.25">
      <c r="A5725" t="s">
        <v>5727</v>
      </c>
      <c r="B5725" t="s">
        <v>43</v>
      </c>
      <c r="C5725" t="s">
        <v>44</v>
      </c>
      <c r="D5725" t="str">
        <f>HYPERLINK("http://service.sap.com/sap/support/notes/1739932","1739932")</f>
        <v>1739932</v>
      </c>
      <c r="E5725">
        <v>3</v>
      </c>
      <c r="F5725" t="s">
        <v>5824</v>
      </c>
    </row>
    <row r="5726" spans="1:6" x14ac:dyDescent="0.25">
      <c r="A5726" t="s">
        <v>5727</v>
      </c>
      <c r="B5726" t="s">
        <v>47</v>
      </c>
      <c r="C5726" t="s">
        <v>48</v>
      </c>
      <c r="D5726" t="str">
        <f>HYPERLINK("http://service.sap.com/sap/support/notes/1735658","1735658")</f>
        <v>1735658</v>
      </c>
      <c r="E5726">
        <v>1</v>
      </c>
      <c r="F5726" t="s">
        <v>5825</v>
      </c>
    </row>
    <row r="5727" spans="1:6" x14ac:dyDescent="0.25">
      <c r="A5727" t="s">
        <v>5727</v>
      </c>
      <c r="B5727" t="s">
        <v>51</v>
      </c>
      <c r="C5727" t="s">
        <v>52</v>
      </c>
      <c r="D5727" t="str">
        <f>HYPERLINK("http://service.sap.com/sap/support/notes/1736286","1736286")</f>
        <v>1736286</v>
      </c>
      <c r="E5727">
        <v>5</v>
      </c>
      <c r="F5727" t="s">
        <v>5826</v>
      </c>
    </row>
    <row r="5728" spans="1:6" x14ac:dyDescent="0.25">
      <c r="A5728" t="s">
        <v>5727</v>
      </c>
      <c r="B5728" t="s">
        <v>51</v>
      </c>
      <c r="C5728" t="s">
        <v>52</v>
      </c>
      <c r="D5728" t="str">
        <f>HYPERLINK("http://service.sap.com/sap/support/notes/1744519","1744519")</f>
        <v>1744519</v>
      </c>
      <c r="E5728">
        <v>2</v>
      </c>
      <c r="F5728" t="s">
        <v>5827</v>
      </c>
    </row>
    <row r="5729" spans="1:6" x14ac:dyDescent="0.25">
      <c r="A5729" t="s">
        <v>5727</v>
      </c>
      <c r="B5729" t="s">
        <v>54</v>
      </c>
      <c r="C5729" t="s">
        <v>55</v>
      </c>
      <c r="D5729" t="str">
        <f>HYPERLINK("http://service.sap.com/sap/support/notes/1552735","1552735")</f>
        <v>1552735</v>
      </c>
      <c r="E5729">
        <v>1</v>
      </c>
      <c r="F5729" t="s">
        <v>5828</v>
      </c>
    </row>
    <row r="5730" spans="1:6" x14ac:dyDescent="0.25">
      <c r="A5730" t="s">
        <v>5727</v>
      </c>
      <c r="B5730" t="s">
        <v>5568</v>
      </c>
      <c r="C5730" t="s">
        <v>363</v>
      </c>
      <c r="D5730" t="str">
        <f>HYPERLINK("http://service.sap.com/sap/support/notes/1723961","1723961")</f>
        <v>1723961</v>
      </c>
      <c r="E5730">
        <v>4</v>
      </c>
      <c r="F5730" t="s">
        <v>5829</v>
      </c>
    </row>
    <row r="5731" spans="1:6" x14ac:dyDescent="0.25">
      <c r="A5731" t="s">
        <v>5727</v>
      </c>
      <c r="B5731" t="s">
        <v>63</v>
      </c>
      <c r="C5731" t="s">
        <v>64</v>
      </c>
      <c r="D5731" t="str">
        <f>HYPERLINK("http://service.sap.com/sap/support/notes/1712470","1712470")</f>
        <v>1712470</v>
      </c>
      <c r="E5731">
        <v>3</v>
      </c>
      <c r="F5731" t="s">
        <v>5830</v>
      </c>
    </row>
    <row r="5732" spans="1:6" x14ac:dyDescent="0.25">
      <c r="A5732" t="s">
        <v>5727</v>
      </c>
      <c r="B5732" t="s">
        <v>63</v>
      </c>
      <c r="C5732" t="s">
        <v>64</v>
      </c>
      <c r="D5732" t="str">
        <f>HYPERLINK("http://service.sap.com/sap/support/notes/1739453","1739453")</f>
        <v>1739453</v>
      </c>
      <c r="E5732">
        <v>2</v>
      </c>
      <c r="F5732" t="s">
        <v>5831</v>
      </c>
    </row>
    <row r="5733" spans="1:6" x14ac:dyDescent="0.25">
      <c r="A5733" t="s">
        <v>5727</v>
      </c>
      <c r="B5733" t="s">
        <v>63</v>
      </c>
      <c r="C5733" t="s">
        <v>64</v>
      </c>
      <c r="D5733" t="str">
        <f>HYPERLINK("http://service.sap.com/sap/support/notes/1742926","1742926")</f>
        <v>1742926</v>
      </c>
      <c r="E5733">
        <v>1</v>
      </c>
      <c r="F5733" t="s">
        <v>2390</v>
      </c>
    </row>
    <row r="5734" spans="1:6" x14ac:dyDescent="0.25">
      <c r="A5734" t="s">
        <v>5727</v>
      </c>
      <c r="B5734" t="s">
        <v>63</v>
      </c>
      <c r="C5734" t="s">
        <v>64</v>
      </c>
      <c r="D5734" t="str">
        <f>HYPERLINK("http://service.sap.com/sap/support/notes/1743247","1743247")</f>
        <v>1743247</v>
      </c>
      <c r="E5734">
        <v>1</v>
      </c>
      <c r="F5734" t="s">
        <v>5832</v>
      </c>
    </row>
    <row r="5735" spans="1:6" x14ac:dyDescent="0.25">
      <c r="A5735" t="s">
        <v>5727</v>
      </c>
      <c r="B5735" t="s">
        <v>63</v>
      </c>
      <c r="C5735" t="s">
        <v>64</v>
      </c>
      <c r="D5735" t="str">
        <f>HYPERLINK("http://service.sap.com/sap/support/notes/1743862","1743862")</f>
        <v>1743862</v>
      </c>
      <c r="E5735">
        <v>3</v>
      </c>
      <c r="F5735" t="s">
        <v>5833</v>
      </c>
    </row>
    <row r="5736" spans="1:6" x14ac:dyDescent="0.25">
      <c r="A5736" t="s">
        <v>5727</v>
      </c>
      <c r="B5736" t="s">
        <v>63</v>
      </c>
      <c r="C5736" t="s">
        <v>64</v>
      </c>
      <c r="D5736" t="str">
        <f>HYPERLINK("http://service.sap.com/sap/support/notes/1744215","1744215")</f>
        <v>1744215</v>
      </c>
      <c r="E5736">
        <v>1</v>
      </c>
      <c r="F5736" t="s">
        <v>5834</v>
      </c>
    </row>
    <row r="5737" spans="1:6" x14ac:dyDescent="0.25">
      <c r="A5737" t="s">
        <v>5727</v>
      </c>
      <c r="B5737" t="s">
        <v>661</v>
      </c>
      <c r="C5737" t="s">
        <v>438</v>
      </c>
      <c r="D5737" t="str">
        <f>HYPERLINK("http://service.sap.com/sap/support/notes/1736809","1736809")</f>
        <v>1736809</v>
      </c>
      <c r="E5737">
        <v>1</v>
      </c>
      <c r="F5737" t="s">
        <v>5835</v>
      </c>
    </row>
    <row r="5738" spans="1:6" x14ac:dyDescent="0.25">
      <c r="A5738" t="s">
        <v>5727</v>
      </c>
      <c r="B5738" t="s">
        <v>528</v>
      </c>
      <c r="C5738" t="s">
        <v>444</v>
      </c>
      <c r="D5738" t="str">
        <f>HYPERLINK("http://service.sap.com/sap/support/notes/1742363","1742363")</f>
        <v>1742363</v>
      </c>
      <c r="E5738">
        <v>1</v>
      </c>
      <c r="F5738" t="s">
        <v>5836</v>
      </c>
    </row>
    <row r="5739" spans="1:6" x14ac:dyDescent="0.25">
      <c r="A5739" t="s">
        <v>5727</v>
      </c>
      <c r="B5739" t="s">
        <v>73</v>
      </c>
      <c r="C5739" t="s">
        <v>74</v>
      </c>
      <c r="D5739" t="str">
        <f>HYPERLINK("http://service.sap.com/sap/support/notes/1734456","1734456")</f>
        <v>1734456</v>
      </c>
      <c r="E5739">
        <v>1</v>
      </c>
      <c r="F5739" t="s">
        <v>5837</v>
      </c>
    </row>
    <row r="5740" spans="1:6" x14ac:dyDescent="0.25">
      <c r="A5740" t="s">
        <v>5727</v>
      </c>
      <c r="B5740" t="s">
        <v>5580</v>
      </c>
      <c r="C5740" t="s">
        <v>5581</v>
      </c>
      <c r="D5740" t="str">
        <f>HYPERLINK("http://service.sap.com/sap/support/notes/1731701","1731701")</f>
        <v>1731701</v>
      </c>
      <c r="E5740">
        <v>1</v>
      </c>
      <c r="F5740" t="s">
        <v>5838</v>
      </c>
    </row>
    <row r="5741" spans="1:6" x14ac:dyDescent="0.25">
      <c r="A5741" t="s">
        <v>5727</v>
      </c>
      <c r="B5741" t="s">
        <v>531</v>
      </c>
      <c r="C5741" t="s">
        <v>532</v>
      </c>
      <c r="D5741" t="str">
        <f>HYPERLINK("http://service.sap.com/sap/support/notes/1721668","1721668")</f>
        <v>1721668</v>
      </c>
      <c r="E5741">
        <v>1</v>
      </c>
      <c r="F5741" t="s">
        <v>5839</v>
      </c>
    </row>
    <row r="5742" spans="1:6" x14ac:dyDescent="0.25">
      <c r="A5742" t="s">
        <v>5727</v>
      </c>
      <c r="B5742" t="s">
        <v>531</v>
      </c>
      <c r="C5742" t="s">
        <v>532</v>
      </c>
      <c r="D5742" t="str">
        <f>HYPERLINK("http://service.sap.com/sap/support/notes/1724013","1724013")</f>
        <v>1724013</v>
      </c>
      <c r="E5742">
        <v>1</v>
      </c>
      <c r="F5742" t="s">
        <v>5840</v>
      </c>
    </row>
    <row r="5743" spans="1:6" x14ac:dyDescent="0.25">
      <c r="A5743" t="s">
        <v>5727</v>
      </c>
      <c r="B5743" t="s">
        <v>531</v>
      </c>
      <c r="C5743" t="s">
        <v>532</v>
      </c>
      <c r="D5743" t="str">
        <f>HYPERLINK("http://service.sap.com/sap/support/notes/1724457","1724457")</f>
        <v>1724457</v>
      </c>
      <c r="E5743">
        <v>1</v>
      </c>
      <c r="F5743" t="s">
        <v>5841</v>
      </c>
    </row>
    <row r="5744" spans="1:6" x14ac:dyDescent="0.25">
      <c r="A5744" t="s">
        <v>5727</v>
      </c>
      <c r="B5744" t="s">
        <v>531</v>
      </c>
      <c r="C5744" t="s">
        <v>532</v>
      </c>
      <c r="D5744" t="str">
        <f>HYPERLINK("http://service.sap.com/sap/support/notes/1729868","1729868")</f>
        <v>1729868</v>
      </c>
      <c r="E5744">
        <v>1</v>
      </c>
      <c r="F5744" t="s">
        <v>5842</v>
      </c>
    </row>
    <row r="5745" spans="1:6" x14ac:dyDescent="0.25">
      <c r="A5745" t="s">
        <v>5727</v>
      </c>
      <c r="B5745" t="s">
        <v>531</v>
      </c>
      <c r="C5745" t="s">
        <v>532</v>
      </c>
      <c r="D5745" t="str">
        <f>HYPERLINK("http://service.sap.com/sap/support/notes/1731895","1731895")</f>
        <v>1731895</v>
      </c>
      <c r="E5745">
        <v>2</v>
      </c>
      <c r="F5745" t="s">
        <v>5843</v>
      </c>
    </row>
    <row r="5746" spans="1:6" x14ac:dyDescent="0.25">
      <c r="A5746" t="s">
        <v>5727</v>
      </c>
      <c r="B5746" t="s">
        <v>531</v>
      </c>
      <c r="C5746" t="s">
        <v>532</v>
      </c>
      <c r="D5746" t="str">
        <f>HYPERLINK("http://service.sap.com/sap/support/notes/1734298","1734298")</f>
        <v>1734298</v>
      </c>
      <c r="E5746">
        <v>1</v>
      </c>
      <c r="F5746" t="s">
        <v>5844</v>
      </c>
    </row>
    <row r="5747" spans="1:6" x14ac:dyDescent="0.25">
      <c r="A5747" t="s">
        <v>5727</v>
      </c>
      <c r="B5747" t="s">
        <v>531</v>
      </c>
      <c r="C5747" t="s">
        <v>532</v>
      </c>
      <c r="D5747" t="str">
        <f>HYPERLINK("http://service.sap.com/sap/support/notes/1735334","1735334")</f>
        <v>1735334</v>
      </c>
      <c r="E5747">
        <v>2</v>
      </c>
      <c r="F5747" t="s">
        <v>5845</v>
      </c>
    </row>
    <row r="5748" spans="1:6" x14ac:dyDescent="0.25">
      <c r="A5748" t="s">
        <v>5727</v>
      </c>
      <c r="B5748" t="s">
        <v>531</v>
      </c>
      <c r="C5748" t="s">
        <v>532</v>
      </c>
      <c r="D5748" t="str">
        <f>HYPERLINK("http://service.sap.com/sap/support/notes/1736519","1736519")</f>
        <v>1736519</v>
      </c>
      <c r="E5748">
        <v>1</v>
      </c>
      <c r="F5748" t="s">
        <v>3307</v>
      </c>
    </row>
    <row r="5749" spans="1:6" x14ac:dyDescent="0.25">
      <c r="A5749" t="s">
        <v>5727</v>
      </c>
      <c r="B5749" t="s">
        <v>531</v>
      </c>
      <c r="C5749" t="s">
        <v>532</v>
      </c>
      <c r="D5749" t="str">
        <f>HYPERLINK("http://service.sap.com/sap/support/notes/1738101","1738101")</f>
        <v>1738101</v>
      </c>
      <c r="E5749">
        <v>3</v>
      </c>
      <c r="F5749" t="s">
        <v>5846</v>
      </c>
    </row>
    <row r="5750" spans="1:6" x14ac:dyDescent="0.25">
      <c r="A5750" t="s">
        <v>5727</v>
      </c>
      <c r="B5750" t="s">
        <v>531</v>
      </c>
      <c r="C5750" t="s">
        <v>532</v>
      </c>
      <c r="D5750" t="str">
        <f>HYPERLINK("http://service.sap.com/sap/support/notes/1740911","1740911")</f>
        <v>1740911</v>
      </c>
      <c r="E5750">
        <v>1</v>
      </c>
      <c r="F5750" t="s">
        <v>5847</v>
      </c>
    </row>
    <row r="5751" spans="1:6" x14ac:dyDescent="0.25">
      <c r="A5751" t="s">
        <v>5727</v>
      </c>
      <c r="B5751" t="s">
        <v>531</v>
      </c>
      <c r="C5751" t="s">
        <v>532</v>
      </c>
      <c r="D5751" t="str">
        <f>HYPERLINK("http://service.sap.com/sap/support/notes/1741371","1741371")</f>
        <v>1741371</v>
      </c>
      <c r="E5751">
        <v>1</v>
      </c>
      <c r="F5751" t="s">
        <v>853</v>
      </c>
    </row>
    <row r="5752" spans="1:6" x14ac:dyDescent="0.25">
      <c r="A5752" t="s">
        <v>5727</v>
      </c>
      <c r="B5752" t="s">
        <v>533</v>
      </c>
      <c r="C5752" t="s">
        <v>515</v>
      </c>
    </row>
    <row r="5753" spans="1:6" x14ac:dyDescent="0.25">
      <c r="A5753" t="s">
        <v>5727</v>
      </c>
      <c r="B5753" t="s">
        <v>534</v>
      </c>
      <c r="C5753" t="s">
        <v>5848</v>
      </c>
      <c r="D5753" t="str">
        <f>HYPERLINK("http://service.sap.com/sap/support/notes/1722246","1722246")</f>
        <v>1722246</v>
      </c>
      <c r="E5753">
        <v>2</v>
      </c>
      <c r="F5753" t="s">
        <v>5849</v>
      </c>
    </row>
    <row r="5754" spans="1:6" x14ac:dyDescent="0.25">
      <c r="A5754" t="s">
        <v>5727</v>
      </c>
      <c r="B5754" t="s">
        <v>536</v>
      </c>
      <c r="C5754" t="s">
        <v>537</v>
      </c>
    </row>
    <row r="5755" spans="1:6" x14ac:dyDescent="0.25">
      <c r="A5755" t="s">
        <v>5727</v>
      </c>
      <c r="B5755" t="s">
        <v>5594</v>
      </c>
      <c r="C5755" t="s">
        <v>5595</v>
      </c>
      <c r="D5755" t="str">
        <f>HYPERLINK("http://service.sap.com/sap/support/notes/1611890","1611890")</f>
        <v>1611890</v>
      </c>
      <c r="E5755">
        <v>3</v>
      </c>
      <c r="F5755" t="s">
        <v>5850</v>
      </c>
    </row>
    <row r="5756" spans="1:6" x14ac:dyDescent="0.25">
      <c r="A5756" t="s">
        <v>5727</v>
      </c>
      <c r="B5756" t="s">
        <v>5594</v>
      </c>
      <c r="C5756" t="s">
        <v>5595</v>
      </c>
      <c r="D5756" t="str">
        <f>HYPERLINK("http://service.sap.com/sap/support/notes/1688674","1688674")</f>
        <v>1688674</v>
      </c>
      <c r="E5756">
        <v>2</v>
      </c>
      <c r="F5756" t="s">
        <v>5851</v>
      </c>
    </row>
    <row r="5757" spans="1:6" x14ac:dyDescent="0.25">
      <c r="A5757" t="s">
        <v>5727</v>
      </c>
      <c r="B5757" t="s">
        <v>5594</v>
      </c>
      <c r="C5757" t="s">
        <v>5595</v>
      </c>
      <c r="D5757" t="str">
        <f>HYPERLINK("http://service.sap.com/sap/support/notes/1709563","1709563")</f>
        <v>1709563</v>
      </c>
      <c r="E5757">
        <v>3</v>
      </c>
      <c r="F5757" t="s">
        <v>5599</v>
      </c>
    </row>
    <row r="5758" spans="1:6" x14ac:dyDescent="0.25">
      <c r="A5758" t="s">
        <v>5727</v>
      </c>
      <c r="B5758" t="s">
        <v>5594</v>
      </c>
      <c r="C5758" t="s">
        <v>5595</v>
      </c>
      <c r="D5758" t="str">
        <f>HYPERLINK("http://service.sap.com/sap/support/notes/1728882","1728882")</f>
        <v>1728882</v>
      </c>
      <c r="E5758">
        <v>2</v>
      </c>
      <c r="F5758" t="s">
        <v>5852</v>
      </c>
    </row>
    <row r="5759" spans="1:6" x14ac:dyDescent="0.25">
      <c r="A5759" t="s">
        <v>5727</v>
      </c>
      <c r="B5759" t="s">
        <v>5594</v>
      </c>
      <c r="C5759" t="s">
        <v>5595</v>
      </c>
      <c r="D5759" t="str">
        <f>HYPERLINK("http://service.sap.com/sap/support/notes/1738241","1738241")</f>
        <v>1738241</v>
      </c>
      <c r="E5759">
        <v>5</v>
      </c>
      <c r="F5759" t="s">
        <v>5853</v>
      </c>
    </row>
    <row r="5760" spans="1:6" x14ac:dyDescent="0.25">
      <c r="A5760" t="s">
        <v>5727</v>
      </c>
      <c r="B5760" t="s">
        <v>5594</v>
      </c>
      <c r="C5760" t="s">
        <v>5595</v>
      </c>
      <c r="D5760" t="str">
        <f>HYPERLINK("http://service.sap.com/sap/support/notes/1739557","1739557")</f>
        <v>1739557</v>
      </c>
      <c r="E5760">
        <v>1</v>
      </c>
      <c r="F5760" t="s">
        <v>5854</v>
      </c>
    </row>
    <row r="5761" spans="1:6" x14ac:dyDescent="0.25">
      <c r="A5761" t="s">
        <v>5727</v>
      </c>
      <c r="B5761" t="s">
        <v>540</v>
      </c>
      <c r="C5761" t="s">
        <v>541</v>
      </c>
    </row>
    <row r="5762" spans="1:6" x14ac:dyDescent="0.25">
      <c r="A5762" t="s">
        <v>5727</v>
      </c>
      <c r="B5762" t="s">
        <v>542</v>
      </c>
      <c r="C5762" t="s">
        <v>5604</v>
      </c>
      <c r="D5762" t="str">
        <f>HYPERLINK("http://service.sap.com/sap/support/notes/1697493","1697493")</f>
        <v>1697493</v>
      </c>
      <c r="E5762">
        <v>2</v>
      </c>
      <c r="F5762" t="s">
        <v>5855</v>
      </c>
    </row>
    <row r="5763" spans="1:6" x14ac:dyDescent="0.25">
      <c r="A5763" t="s">
        <v>5727</v>
      </c>
      <c r="B5763" t="s">
        <v>542</v>
      </c>
      <c r="C5763" t="s">
        <v>5604</v>
      </c>
      <c r="D5763" t="str">
        <f>HYPERLINK("http://service.sap.com/sap/support/notes/1699470","1699470")</f>
        <v>1699470</v>
      </c>
      <c r="E5763">
        <v>2</v>
      </c>
      <c r="F5763" t="s">
        <v>5856</v>
      </c>
    </row>
    <row r="5764" spans="1:6" x14ac:dyDescent="0.25">
      <c r="A5764" t="s">
        <v>5727</v>
      </c>
      <c r="B5764" t="s">
        <v>542</v>
      </c>
      <c r="C5764" t="s">
        <v>5604</v>
      </c>
      <c r="D5764" t="str">
        <f>HYPERLINK("http://service.sap.com/sap/support/notes/1717519","1717519")</f>
        <v>1717519</v>
      </c>
      <c r="E5764">
        <v>5</v>
      </c>
      <c r="F5764" t="s">
        <v>5608</v>
      </c>
    </row>
    <row r="5765" spans="1:6" x14ac:dyDescent="0.25">
      <c r="A5765" t="s">
        <v>5727</v>
      </c>
      <c r="B5765" t="s">
        <v>544</v>
      </c>
      <c r="C5765" t="s">
        <v>5610</v>
      </c>
      <c r="D5765" t="str">
        <f>HYPERLINK("http://service.sap.com/sap/support/notes/1688353","1688353")</f>
        <v>1688353</v>
      </c>
      <c r="E5765">
        <v>4</v>
      </c>
      <c r="F5765" t="s">
        <v>5857</v>
      </c>
    </row>
    <row r="5766" spans="1:6" x14ac:dyDescent="0.25">
      <c r="A5766" t="s">
        <v>5727</v>
      </c>
      <c r="B5766" t="s">
        <v>544</v>
      </c>
      <c r="C5766" t="s">
        <v>5610</v>
      </c>
      <c r="D5766" t="str">
        <f>HYPERLINK("http://service.sap.com/sap/support/notes/1699117","1699117")</f>
        <v>1699117</v>
      </c>
      <c r="E5766">
        <v>8</v>
      </c>
      <c r="F5766" t="s">
        <v>5858</v>
      </c>
    </row>
    <row r="5767" spans="1:6" x14ac:dyDescent="0.25">
      <c r="A5767" t="s">
        <v>5727</v>
      </c>
      <c r="B5767" t="s">
        <v>544</v>
      </c>
      <c r="C5767" t="s">
        <v>5610</v>
      </c>
      <c r="D5767" t="str">
        <f>HYPERLINK("http://service.sap.com/sap/support/notes/1710514","1710514")</f>
        <v>1710514</v>
      </c>
      <c r="E5767">
        <v>9</v>
      </c>
      <c r="F5767" t="s">
        <v>5859</v>
      </c>
    </row>
    <row r="5768" spans="1:6" x14ac:dyDescent="0.25">
      <c r="A5768" t="s">
        <v>5727</v>
      </c>
      <c r="B5768" t="s">
        <v>544</v>
      </c>
      <c r="C5768" t="s">
        <v>5610</v>
      </c>
      <c r="D5768" t="str">
        <f>HYPERLINK("http://service.sap.com/sap/support/notes/1727428","1727428")</f>
        <v>1727428</v>
      </c>
      <c r="E5768">
        <v>9</v>
      </c>
      <c r="F5768" t="s">
        <v>5860</v>
      </c>
    </row>
    <row r="5769" spans="1:6" x14ac:dyDescent="0.25">
      <c r="A5769" t="s">
        <v>5727</v>
      </c>
      <c r="B5769" t="s">
        <v>5615</v>
      </c>
      <c r="C5769" t="s">
        <v>5616</v>
      </c>
      <c r="D5769" t="str">
        <f>HYPERLINK("http://service.sap.com/sap/support/notes/1619235","1619235")</f>
        <v>1619235</v>
      </c>
      <c r="E5769">
        <v>2</v>
      </c>
      <c r="F5769" t="s">
        <v>5861</v>
      </c>
    </row>
    <row r="5770" spans="1:6" x14ac:dyDescent="0.25">
      <c r="A5770" t="s">
        <v>5727</v>
      </c>
      <c r="B5770" t="s">
        <v>5615</v>
      </c>
      <c r="C5770" t="s">
        <v>5616</v>
      </c>
      <c r="D5770" t="str">
        <f>HYPERLINK("http://service.sap.com/sap/support/notes/1718375","1718375")</f>
        <v>1718375</v>
      </c>
      <c r="E5770">
        <v>1</v>
      </c>
      <c r="F5770" t="s">
        <v>5862</v>
      </c>
    </row>
    <row r="5771" spans="1:6" x14ac:dyDescent="0.25">
      <c r="A5771" t="s">
        <v>5727</v>
      </c>
      <c r="B5771" t="s">
        <v>5615</v>
      </c>
      <c r="C5771" t="s">
        <v>5616</v>
      </c>
      <c r="D5771" t="str">
        <f>HYPERLINK("http://service.sap.com/sap/support/notes/1721011","1721011")</f>
        <v>1721011</v>
      </c>
      <c r="E5771">
        <v>1</v>
      </c>
      <c r="F5771" t="s">
        <v>5624</v>
      </c>
    </row>
    <row r="5772" spans="1:6" x14ac:dyDescent="0.25">
      <c r="A5772" t="s">
        <v>5727</v>
      </c>
      <c r="B5772" t="s">
        <v>5615</v>
      </c>
      <c r="C5772" t="s">
        <v>5616</v>
      </c>
      <c r="D5772" t="str">
        <f>HYPERLINK("http://service.sap.com/sap/support/notes/1723175","1723175")</f>
        <v>1723175</v>
      </c>
      <c r="E5772">
        <v>2</v>
      </c>
      <c r="F5772" t="s">
        <v>5863</v>
      </c>
    </row>
    <row r="5773" spans="1:6" x14ac:dyDescent="0.25">
      <c r="A5773" t="s">
        <v>5727</v>
      </c>
      <c r="B5773" t="s">
        <v>5615</v>
      </c>
      <c r="C5773" t="s">
        <v>5616</v>
      </c>
      <c r="D5773" t="str">
        <f>HYPERLINK("http://service.sap.com/sap/support/notes/1732718","1732718")</f>
        <v>1732718</v>
      </c>
      <c r="E5773">
        <v>1</v>
      </c>
      <c r="F5773" t="s">
        <v>5864</v>
      </c>
    </row>
    <row r="5774" spans="1:6" x14ac:dyDescent="0.25">
      <c r="A5774" t="s">
        <v>5727</v>
      </c>
      <c r="B5774" t="s">
        <v>5615</v>
      </c>
      <c r="C5774" t="s">
        <v>5616</v>
      </c>
      <c r="D5774" t="str">
        <f>HYPERLINK("http://service.sap.com/sap/support/notes/1733527","1733527")</f>
        <v>1733527</v>
      </c>
      <c r="E5774">
        <v>1</v>
      </c>
      <c r="F5774" t="s">
        <v>5865</v>
      </c>
    </row>
    <row r="5775" spans="1:6" x14ac:dyDescent="0.25">
      <c r="A5775" t="s">
        <v>5727</v>
      </c>
      <c r="B5775" t="s">
        <v>5615</v>
      </c>
      <c r="C5775" t="s">
        <v>5616</v>
      </c>
      <c r="D5775" t="str">
        <f>HYPERLINK("http://service.sap.com/sap/support/notes/1736393","1736393")</f>
        <v>1736393</v>
      </c>
      <c r="E5775">
        <v>1</v>
      </c>
      <c r="F5775" t="s">
        <v>5188</v>
      </c>
    </row>
    <row r="5776" spans="1:6" x14ac:dyDescent="0.25">
      <c r="A5776" t="s">
        <v>5727</v>
      </c>
      <c r="B5776" t="s">
        <v>5615</v>
      </c>
      <c r="C5776" t="s">
        <v>5616</v>
      </c>
      <c r="D5776" t="str">
        <f>HYPERLINK("http://service.sap.com/sap/support/notes/1736427","1736427")</f>
        <v>1736427</v>
      </c>
      <c r="E5776">
        <v>3</v>
      </c>
      <c r="F5776" t="s">
        <v>5866</v>
      </c>
    </row>
    <row r="5777" spans="1:6" x14ac:dyDescent="0.25">
      <c r="A5777" t="s">
        <v>5727</v>
      </c>
      <c r="B5777" t="s">
        <v>5615</v>
      </c>
      <c r="C5777" t="s">
        <v>5616</v>
      </c>
      <c r="D5777" t="str">
        <f>HYPERLINK("http://service.sap.com/sap/support/notes/1741699","1741699")</f>
        <v>1741699</v>
      </c>
      <c r="E5777">
        <v>2</v>
      </c>
      <c r="F5777" t="s">
        <v>5867</v>
      </c>
    </row>
    <row r="5778" spans="1:6" x14ac:dyDescent="0.25">
      <c r="A5778" t="s">
        <v>5727</v>
      </c>
      <c r="B5778" t="s">
        <v>85</v>
      </c>
      <c r="C5778" t="s">
        <v>86</v>
      </c>
    </row>
    <row r="5779" spans="1:6" x14ac:dyDescent="0.25">
      <c r="A5779" t="s">
        <v>5727</v>
      </c>
      <c r="B5779" t="s">
        <v>696</v>
      </c>
      <c r="C5779" t="s">
        <v>697</v>
      </c>
    </row>
    <row r="5780" spans="1:6" x14ac:dyDescent="0.25">
      <c r="A5780" t="s">
        <v>5727</v>
      </c>
      <c r="B5780" t="s">
        <v>5868</v>
      </c>
      <c r="C5780" t="s">
        <v>5869</v>
      </c>
      <c r="D5780" t="str">
        <f>HYPERLINK("http://service.sap.com/sap/support/notes/1715112","1715112")</f>
        <v>1715112</v>
      </c>
      <c r="E5780">
        <v>1</v>
      </c>
      <c r="F5780" t="s">
        <v>5870</v>
      </c>
    </row>
    <row r="5781" spans="1:6" x14ac:dyDescent="0.25">
      <c r="A5781" t="s">
        <v>5727</v>
      </c>
      <c r="B5781" t="s">
        <v>3380</v>
      </c>
      <c r="C5781" t="s">
        <v>3381</v>
      </c>
      <c r="D5781" t="str">
        <f>HYPERLINK("http://service.sap.com/sap/support/notes/1741115","1741115")</f>
        <v>1741115</v>
      </c>
      <c r="E5781">
        <v>1</v>
      </c>
      <c r="F5781" t="s">
        <v>5871</v>
      </c>
    </row>
    <row r="5782" spans="1:6" x14ac:dyDescent="0.25">
      <c r="A5782" t="s">
        <v>5727</v>
      </c>
      <c r="B5782" t="s">
        <v>698</v>
      </c>
      <c r="C5782" t="s">
        <v>699</v>
      </c>
      <c r="D5782" t="str">
        <f>HYPERLINK("http://service.sap.com/sap/support/notes/1713770","1713770")</f>
        <v>1713770</v>
      </c>
      <c r="E5782">
        <v>1</v>
      </c>
      <c r="F5782" t="s">
        <v>5872</v>
      </c>
    </row>
    <row r="5783" spans="1:6" x14ac:dyDescent="0.25">
      <c r="A5783" t="s">
        <v>5727</v>
      </c>
      <c r="B5783" t="s">
        <v>698</v>
      </c>
      <c r="C5783" t="s">
        <v>699</v>
      </c>
      <c r="D5783" t="str">
        <f>HYPERLINK("http://service.sap.com/sap/support/notes/1728508","1728508")</f>
        <v>1728508</v>
      </c>
      <c r="E5783">
        <v>1</v>
      </c>
      <c r="F5783" t="s">
        <v>5873</v>
      </c>
    </row>
    <row r="5784" spans="1:6" x14ac:dyDescent="0.25">
      <c r="A5784" t="s">
        <v>5727</v>
      </c>
      <c r="B5784" t="s">
        <v>698</v>
      </c>
      <c r="C5784" t="s">
        <v>699</v>
      </c>
      <c r="D5784" t="str">
        <f>HYPERLINK("http://service.sap.com/sap/support/notes/1731704","1731704")</f>
        <v>1731704</v>
      </c>
      <c r="E5784">
        <v>1</v>
      </c>
      <c r="F5784" t="s">
        <v>5874</v>
      </c>
    </row>
    <row r="5785" spans="1:6" x14ac:dyDescent="0.25">
      <c r="A5785" t="s">
        <v>5727</v>
      </c>
      <c r="B5785" t="s">
        <v>90</v>
      </c>
      <c r="C5785" t="s">
        <v>13</v>
      </c>
    </row>
    <row r="5786" spans="1:6" x14ac:dyDescent="0.25">
      <c r="A5786" t="s">
        <v>5727</v>
      </c>
      <c r="B5786" t="s">
        <v>551</v>
      </c>
      <c r="C5786" t="s">
        <v>552</v>
      </c>
    </row>
    <row r="5787" spans="1:6" x14ac:dyDescent="0.25">
      <c r="A5787" t="s">
        <v>5727</v>
      </c>
      <c r="B5787" t="s">
        <v>553</v>
      </c>
      <c r="C5787" t="s">
        <v>554</v>
      </c>
      <c r="D5787" t="str">
        <f>HYPERLINK("http://service.sap.com/sap/support/notes/1595900","1595900")</f>
        <v>1595900</v>
      </c>
      <c r="E5787">
        <v>3</v>
      </c>
      <c r="F5787" t="s">
        <v>5875</v>
      </c>
    </row>
    <row r="5788" spans="1:6" x14ac:dyDescent="0.25">
      <c r="A5788" t="s">
        <v>5727</v>
      </c>
      <c r="B5788" t="s">
        <v>557</v>
      </c>
      <c r="C5788" t="s">
        <v>646</v>
      </c>
      <c r="D5788" t="str">
        <f>HYPERLINK("http://service.sap.com/sap/support/notes/1742846","1742846")</f>
        <v>1742846</v>
      </c>
      <c r="E5788">
        <v>1</v>
      </c>
      <c r="F5788" t="s">
        <v>5876</v>
      </c>
    </row>
    <row r="5789" spans="1:6" x14ac:dyDescent="0.25">
      <c r="A5789" t="s">
        <v>5727</v>
      </c>
      <c r="B5789" t="s">
        <v>557</v>
      </c>
      <c r="C5789" t="s">
        <v>646</v>
      </c>
      <c r="D5789" t="str">
        <f>HYPERLINK("http://service.sap.com/sap/support/notes/1744286","1744286")</f>
        <v>1744286</v>
      </c>
      <c r="E5789">
        <v>1</v>
      </c>
      <c r="F5789" t="s">
        <v>945</v>
      </c>
    </row>
    <row r="5790" spans="1:6" x14ac:dyDescent="0.25">
      <c r="A5790" t="s">
        <v>5727</v>
      </c>
      <c r="B5790" t="s">
        <v>563</v>
      </c>
      <c r="C5790" t="s">
        <v>564</v>
      </c>
    </row>
    <row r="5791" spans="1:6" x14ac:dyDescent="0.25">
      <c r="A5791" t="s">
        <v>5727</v>
      </c>
      <c r="B5791" t="s">
        <v>647</v>
      </c>
      <c r="C5791" t="s">
        <v>648</v>
      </c>
      <c r="D5791" t="str">
        <f>HYPERLINK("http://service.sap.com/sap/support/notes/1571201","1571201")</f>
        <v>1571201</v>
      </c>
      <c r="E5791">
        <v>4</v>
      </c>
      <c r="F5791" t="s">
        <v>5877</v>
      </c>
    </row>
    <row r="5792" spans="1:6" x14ac:dyDescent="0.25">
      <c r="A5792" t="s">
        <v>5727</v>
      </c>
      <c r="B5792" t="s">
        <v>647</v>
      </c>
      <c r="C5792" t="s">
        <v>648</v>
      </c>
      <c r="D5792" t="str">
        <f>HYPERLINK("http://service.sap.com/sap/support/notes/1661953","1661953")</f>
        <v>1661953</v>
      </c>
      <c r="E5792">
        <v>2</v>
      </c>
      <c r="F5792" t="s">
        <v>5878</v>
      </c>
    </row>
    <row r="5793" spans="1:6" x14ac:dyDescent="0.25">
      <c r="A5793" t="s">
        <v>5727</v>
      </c>
      <c r="B5793" t="s">
        <v>647</v>
      </c>
      <c r="C5793" t="s">
        <v>648</v>
      </c>
      <c r="D5793" t="str">
        <f>HYPERLINK("http://service.sap.com/sap/support/notes/1695748","1695748")</f>
        <v>1695748</v>
      </c>
      <c r="E5793">
        <v>1</v>
      </c>
      <c r="F5793" t="s">
        <v>5879</v>
      </c>
    </row>
    <row r="5794" spans="1:6" x14ac:dyDescent="0.25">
      <c r="A5794" t="s">
        <v>5727</v>
      </c>
      <c r="B5794" t="s">
        <v>647</v>
      </c>
      <c r="C5794" t="s">
        <v>648</v>
      </c>
      <c r="D5794" t="str">
        <f>HYPERLINK("http://service.sap.com/sap/support/notes/1699969","1699969")</f>
        <v>1699969</v>
      </c>
      <c r="E5794">
        <v>3</v>
      </c>
      <c r="F5794" t="s">
        <v>5880</v>
      </c>
    </row>
    <row r="5795" spans="1:6" x14ac:dyDescent="0.25">
      <c r="A5795" t="s">
        <v>5727</v>
      </c>
      <c r="B5795" t="s">
        <v>647</v>
      </c>
      <c r="C5795" t="s">
        <v>648</v>
      </c>
      <c r="D5795" t="str">
        <f>HYPERLINK("http://service.sap.com/sap/support/notes/1717597","1717597")</f>
        <v>1717597</v>
      </c>
      <c r="E5795">
        <v>2</v>
      </c>
      <c r="F5795" t="s">
        <v>5881</v>
      </c>
    </row>
    <row r="5796" spans="1:6" x14ac:dyDescent="0.25">
      <c r="A5796" t="s">
        <v>5727</v>
      </c>
      <c r="B5796" t="s">
        <v>647</v>
      </c>
      <c r="C5796" t="s">
        <v>648</v>
      </c>
      <c r="D5796" t="str">
        <f>HYPERLINK("http://service.sap.com/sap/support/notes/1729314","1729314")</f>
        <v>1729314</v>
      </c>
      <c r="E5796">
        <v>2</v>
      </c>
      <c r="F5796" t="s">
        <v>5882</v>
      </c>
    </row>
    <row r="5797" spans="1:6" x14ac:dyDescent="0.25">
      <c r="A5797" t="s">
        <v>5727</v>
      </c>
      <c r="B5797" t="s">
        <v>647</v>
      </c>
      <c r="C5797" t="s">
        <v>648</v>
      </c>
      <c r="D5797" t="str">
        <f>HYPERLINK("http://service.sap.com/sap/support/notes/1732458","1732458")</f>
        <v>1732458</v>
      </c>
      <c r="E5797">
        <v>1</v>
      </c>
      <c r="F5797" t="s">
        <v>5883</v>
      </c>
    </row>
    <row r="5798" spans="1:6" x14ac:dyDescent="0.25">
      <c r="A5798" t="s">
        <v>5727</v>
      </c>
      <c r="B5798" t="s">
        <v>647</v>
      </c>
      <c r="C5798" t="s">
        <v>648</v>
      </c>
      <c r="D5798" t="str">
        <f>HYPERLINK("http://service.sap.com/sap/support/notes/1733245","1733245")</f>
        <v>1733245</v>
      </c>
      <c r="E5798">
        <v>1</v>
      </c>
      <c r="F5798" t="s">
        <v>5884</v>
      </c>
    </row>
    <row r="5799" spans="1:6" x14ac:dyDescent="0.25">
      <c r="A5799" t="s">
        <v>5727</v>
      </c>
      <c r="B5799" t="s">
        <v>647</v>
      </c>
      <c r="C5799" t="s">
        <v>648</v>
      </c>
      <c r="D5799" t="str">
        <f>HYPERLINK("http://service.sap.com/sap/support/notes/1733772","1733772")</f>
        <v>1733772</v>
      </c>
      <c r="E5799">
        <v>1</v>
      </c>
      <c r="F5799" t="s">
        <v>5885</v>
      </c>
    </row>
    <row r="5800" spans="1:6" x14ac:dyDescent="0.25">
      <c r="A5800" t="s">
        <v>5727</v>
      </c>
      <c r="B5800" t="s">
        <v>647</v>
      </c>
      <c r="C5800" t="s">
        <v>648</v>
      </c>
      <c r="D5800" t="str">
        <f>HYPERLINK("http://service.sap.com/sap/support/notes/1734741","1734741")</f>
        <v>1734741</v>
      </c>
      <c r="E5800">
        <v>2</v>
      </c>
      <c r="F5800" t="s">
        <v>5886</v>
      </c>
    </row>
    <row r="5801" spans="1:6" x14ac:dyDescent="0.25">
      <c r="A5801" t="s">
        <v>5727</v>
      </c>
      <c r="B5801" t="s">
        <v>647</v>
      </c>
      <c r="C5801" t="s">
        <v>648</v>
      </c>
      <c r="D5801" t="str">
        <f>HYPERLINK("http://service.sap.com/sap/support/notes/1739650","1739650")</f>
        <v>1739650</v>
      </c>
      <c r="E5801">
        <v>2</v>
      </c>
      <c r="F5801" t="s">
        <v>5887</v>
      </c>
    </row>
    <row r="5802" spans="1:6" x14ac:dyDescent="0.25">
      <c r="A5802" t="s">
        <v>5727</v>
      </c>
      <c r="B5802" t="s">
        <v>647</v>
      </c>
      <c r="C5802" t="s">
        <v>648</v>
      </c>
      <c r="D5802" t="str">
        <f>HYPERLINK("http://service.sap.com/sap/support/notes/1742266","1742266")</f>
        <v>1742266</v>
      </c>
      <c r="E5802">
        <v>2</v>
      </c>
      <c r="F5802" t="s">
        <v>5888</v>
      </c>
    </row>
    <row r="5803" spans="1:6" x14ac:dyDescent="0.25">
      <c r="A5803" t="s">
        <v>5727</v>
      </c>
      <c r="B5803" t="s">
        <v>647</v>
      </c>
      <c r="C5803" t="s">
        <v>648</v>
      </c>
      <c r="D5803" t="str">
        <f>HYPERLINK("http://service.sap.com/sap/support/notes/1742916","1742916")</f>
        <v>1742916</v>
      </c>
      <c r="E5803">
        <v>2</v>
      </c>
      <c r="F5803" t="s">
        <v>5889</v>
      </c>
    </row>
    <row r="5804" spans="1:6" x14ac:dyDescent="0.25">
      <c r="A5804" t="s">
        <v>5727</v>
      </c>
      <c r="B5804" t="s">
        <v>647</v>
      </c>
      <c r="C5804" t="s">
        <v>648</v>
      </c>
      <c r="D5804" t="str">
        <f>HYPERLINK("http://service.sap.com/sap/support/notes/1743398","1743398")</f>
        <v>1743398</v>
      </c>
      <c r="E5804">
        <v>1</v>
      </c>
      <c r="F5804" t="s">
        <v>5890</v>
      </c>
    </row>
    <row r="5805" spans="1:6" x14ac:dyDescent="0.25">
      <c r="A5805" t="s">
        <v>5727</v>
      </c>
      <c r="B5805" t="s">
        <v>95</v>
      </c>
      <c r="C5805" t="s">
        <v>96</v>
      </c>
    </row>
    <row r="5806" spans="1:6" x14ac:dyDescent="0.25">
      <c r="A5806" t="s">
        <v>5727</v>
      </c>
      <c r="B5806" t="s">
        <v>114</v>
      </c>
      <c r="C5806" t="s">
        <v>115</v>
      </c>
      <c r="D5806" t="str">
        <f>HYPERLINK("http://service.sap.com/sap/support/notes/1731123","1731123")</f>
        <v>1731123</v>
      </c>
      <c r="E5806">
        <v>1</v>
      </c>
      <c r="F5806" t="s">
        <v>5891</v>
      </c>
    </row>
    <row r="5807" spans="1:6" x14ac:dyDescent="0.25">
      <c r="A5807" t="s">
        <v>5727</v>
      </c>
      <c r="B5807" t="s">
        <v>114</v>
      </c>
      <c r="C5807" t="s">
        <v>115</v>
      </c>
      <c r="D5807" t="str">
        <f>HYPERLINK("http://service.sap.com/sap/support/notes/1733847","1733847")</f>
        <v>1733847</v>
      </c>
      <c r="E5807">
        <v>1</v>
      </c>
      <c r="F5807" t="s">
        <v>5892</v>
      </c>
    </row>
    <row r="5808" spans="1:6" x14ac:dyDescent="0.25">
      <c r="A5808" t="s">
        <v>5727</v>
      </c>
      <c r="B5808" t="s">
        <v>114</v>
      </c>
      <c r="C5808" t="s">
        <v>115</v>
      </c>
      <c r="D5808" t="str">
        <f>HYPERLINK("http://service.sap.com/sap/support/notes/1733851","1733851")</f>
        <v>1733851</v>
      </c>
      <c r="E5808">
        <v>1</v>
      </c>
      <c r="F5808" t="s">
        <v>5893</v>
      </c>
    </row>
    <row r="5809" spans="1:6" x14ac:dyDescent="0.25">
      <c r="A5809" t="s">
        <v>5727</v>
      </c>
      <c r="B5809" t="s">
        <v>114</v>
      </c>
      <c r="C5809" t="s">
        <v>115</v>
      </c>
      <c r="D5809" t="str">
        <f>HYPERLINK("http://service.sap.com/sap/support/notes/1736296","1736296")</f>
        <v>1736296</v>
      </c>
      <c r="E5809">
        <v>1</v>
      </c>
      <c r="F5809" t="s">
        <v>5894</v>
      </c>
    </row>
    <row r="5810" spans="1:6" x14ac:dyDescent="0.25">
      <c r="A5810" t="s">
        <v>5727</v>
      </c>
      <c r="B5810" t="s">
        <v>114</v>
      </c>
      <c r="C5810" t="s">
        <v>115</v>
      </c>
      <c r="D5810" t="str">
        <f>HYPERLINK("http://service.sap.com/sap/support/notes/1736456","1736456")</f>
        <v>1736456</v>
      </c>
      <c r="E5810">
        <v>1</v>
      </c>
      <c r="F5810" t="s">
        <v>5895</v>
      </c>
    </row>
    <row r="5811" spans="1:6" x14ac:dyDescent="0.25">
      <c r="A5811" t="s">
        <v>5727</v>
      </c>
      <c r="B5811" t="s">
        <v>114</v>
      </c>
      <c r="C5811" t="s">
        <v>115</v>
      </c>
      <c r="D5811" t="str">
        <f>HYPERLINK("http://service.sap.com/sap/support/notes/1736463","1736463")</f>
        <v>1736463</v>
      </c>
      <c r="E5811">
        <v>1</v>
      </c>
      <c r="F5811" t="s">
        <v>1013</v>
      </c>
    </row>
    <row r="5812" spans="1:6" x14ac:dyDescent="0.25">
      <c r="A5812" t="s">
        <v>5727</v>
      </c>
      <c r="B5812" t="s">
        <v>685</v>
      </c>
      <c r="C5812" t="s">
        <v>686</v>
      </c>
      <c r="D5812" t="str">
        <f>HYPERLINK("http://service.sap.com/sap/support/notes/1711175","1711175")</f>
        <v>1711175</v>
      </c>
      <c r="E5812">
        <v>2</v>
      </c>
      <c r="F5812" t="s">
        <v>5896</v>
      </c>
    </row>
    <row r="5813" spans="1:6" x14ac:dyDescent="0.25">
      <c r="A5813" t="s">
        <v>5727</v>
      </c>
      <c r="B5813" t="s">
        <v>685</v>
      </c>
      <c r="C5813" t="s">
        <v>686</v>
      </c>
      <c r="D5813" t="str">
        <f>HYPERLINK("http://service.sap.com/sap/support/notes/1724619","1724619")</f>
        <v>1724619</v>
      </c>
      <c r="E5813">
        <v>4</v>
      </c>
      <c r="F5813" t="s">
        <v>5897</v>
      </c>
    </row>
    <row r="5814" spans="1:6" x14ac:dyDescent="0.25">
      <c r="A5814" t="s">
        <v>5727</v>
      </c>
      <c r="B5814" t="s">
        <v>685</v>
      </c>
      <c r="C5814" t="s">
        <v>686</v>
      </c>
      <c r="D5814" t="str">
        <f>HYPERLINK("http://service.sap.com/sap/support/notes/1727932","1727932")</f>
        <v>1727932</v>
      </c>
      <c r="E5814">
        <v>3</v>
      </c>
      <c r="F5814" t="s">
        <v>5898</v>
      </c>
    </row>
    <row r="5815" spans="1:6" x14ac:dyDescent="0.25">
      <c r="A5815" t="s">
        <v>5727</v>
      </c>
      <c r="B5815" t="s">
        <v>685</v>
      </c>
      <c r="C5815" t="s">
        <v>686</v>
      </c>
      <c r="D5815" t="str">
        <f>HYPERLINK("http://service.sap.com/sap/support/notes/1728841","1728841")</f>
        <v>1728841</v>
      </c>
      <c r="F5815" t="s">
        <v>5898</v>
      </c>
    </row>
    <row r="5816" spans="1:6" x14ac:dyDescent="0.25">
      <c r="A5816" t="s">
        <v>5727</v>
      </c>
      <c r="B5816" t="s">
        <v>685</v>
      </c>
      <c r="C5816" t="s">
        <v>686</v>
      </c>
      <c r="D5816" t="str">
        <f>HYPERLINK("http://service.sap.com/sap/support/notes/1728948","1728948")</f>
        <v>1728948</v>
      </c>
      <c r="F5816" t="s">
        <v>5899</v>
      </c>
    </row>
    <row r="5817" spans="1:6" x14ac:dyDescent="0.25">
      <c r="A5817" t="s">
        <v>5727</v>
      </c>
      <c r="B5817" t="s">
        <v>685</v>
      </c>
      <c r="C5817" t="s">
        <v>686</v>
      </c>
      <c r="D5817" t="str">
        <f>HYPERLINK("http://service.sap.com/sap/support/notes/1729331","1729331")</f>
        <v>1729331</v>
      </c>
      <c r="F5817" t="s">
        <v>5660</v>
      </c>
    </row>
    <row r="5818" spans="1:6" x14ac:dyDescent="0.25">
      <c r="A5818" t="s">
        <v>5727</v>
      </c>
      <c r="B5818" t="s">
        <v>685</v>
      </c>
      <c r="C5818" t="s">
        <v>686</v>
      </c>
      <c r="D5818" t="str">
        <f>HYPERLINK("http://service.sap.com/sap/support/notes/1732915","1732915")</f>
        <v>1732915</v>
      </c>
      <c r="E5818">
        <v>1</v>
      </c>
      <c r="F5818" t="s">
        <v>5900</v>
      </c>
    </row>
    <row r="5819" spans="1:6" x14ac:dyDescent="0.25">
      <c r="A5819" t="s">
        <v>5727</v>
      </c>
      <c r="B5819" t="s">
        <v>685</v>
      </c>
      <c r="C5819" t="s">
        <v>686</v>
      </c>
      <c r="D5819" t="str">
        <f>HYPERLINK("http://service.sap.com/sap/support/notes/1734675","1734675")</f>
        <v>1734675</v>
      </c>
      <c r="E5819">
        <v>1</v>
      </c>
      <c r="F5819" t="s">
        <v>5901</v>
      </c>
    </row>
    <row r="5820" spans="1:6" x14ac:dyDescent="0.25">
      <c r="A5820" t="s">
        <v>5727</v>
      </c>
      <c r="B5820" t="s">
        <v>685</v>
      </c>
      <c r="C5820" t="s">
        <v>686</v>
      </c>
      <c r="D5820" t="str">
        <f>HYPERLINK("http://service.sap.com/sap/support/notes/1735000","1735000")</f>
        <v>1735000</v>
      </c>
      <c r="E5820">
        <v>2</v>
      </c>
      <c r="F5820" t="s">
        <v>5902</v>
      </c>
    </row>
    <row r="5821" spans="1:6" x14ac:dyDescent="0.25">
      <c r="A5821" t="s">
        <v>5727</v>
      </c>
      <c r="B5821" t="s">
        <v>685</v>
      </c>
      <c r="C5821" t="s">
        <v>686</v>
      </c>
      <c r="D5821" t="str">
        <f>HYPERLINK("http://service.sap.com/sap/support/notes/1735854","1735854")</f>
        <v>1735854</v>
      </c>
      <c r="E5821">
        <v>1</v>
      </c>
      <c r="F5821" t="s">
        <v>5903</v>
      </c>
    </row>
    <row r="5822" spans="1:6" x14ac:dyDescent="0.25">
      <c r="A5822" t="s">
        <v>5727</v>
      </c>
      <c r="B5822" t="s">
        <v>685</v>
      </c>
      <c r="C5822" t="s">
        <v>686</v>
      </c>
      <c r="D5822" t="str">
        <f>HYPERLINK("http://service.sap.com/sap/support/notes/1735954","1735954")</f>
        <v>1735954</v>
      </c>
      <c r="E5822">
        <v>1</v>
      </c>
      <c r="F5822" t="s">
        <v>5904</v>
      </c>
    </row>
    <row r="5823" spans="1:6" x14ac:dyDescent="0.25">
      <c r="A5823" t="s">
        <v>5727</v>
      </c>
      <c r="B5823" t="s">
        <v>685</v>
      </c>
      <c r="C5823" t="s">
        <v>686</v>
      </c>
      <c r="D5823" t="str">
        <f>HYPERLINK("http://service.sap.com/sap/support/notes/1738055","1738055")</f>
        <v>1738055</v>
      </c>
      <c r="E5823">
        <v>1</v>
      </c>
      <c r="F5823" t="s">
        <v>5905</v>
      </c>
    </row>
    <row r="5824" spans="1:6" x14ac:dyDescent="0.25">
      <c r="A5824" t="s">
        <v>5727</v>
      </c>
      <c r="B5824" t="s">
        <v>685</v>
      </c>
      <c r="C5824" t="s">
        <v>686</v>
      </c>
      <c r="D5824" t="str">
        <f>HYPERLINK("http://service.sap.com/sap/support/notes/1739973","1739973")</f>
        <v>1739973</v>
      </c>
      <c r="E5824">
        <v>1</v>
      </c>
      <c r="F5824" t="s">
        <v>5906</v>
      </c>
    </row>
    <row r="5825" spans="1:6" x14ac:dyDescent="0.25">
      <c r="A5825" t="s">
        <v>5727</v>
      </c>
      <c r="B5825" t="s">
        <v>685</v>
      </c>
      <c r="C5825" t="s">
        <v>686</v>
      </c>
      <c r="D5825" t="str">
        <f>HYPERLINK("http://service.sap.com/sap/support/notes/1741229","1741229")</f>
        <v>1741229</v>
      </c>
      <c r="E5825">
        <v>1</v>
      </c>
      <c r="F5825" t="s">
        <v>5907</v>
      </c>
    </row>
    <row r="5826" spans="1:6" x14ac:dyDescent="0.25">
      <c r="A5826" t="s">
        <v>5727</v>
      </c>
      <c r="B5826" t="s">
        <v>175</v>
      </c>
      <c r="C5826" t="s">
        <v>176</v>
      </c>
    </row>
    <row r="5827" spans="1:6" x14ac:dyDescent="0.25">
      <c r="A5827" t="s">
        <v>5727</v>
      </c>
      <c r="B5827" t="s">
        <v>224</v>
      </c>
      <c r="C5827" t="s">
        <v>156</v>
      </c>
    </row>
    <row r="5828" spans="1:6" x14ac:dyDescent="0.25">
      <c r="A5828" t="s">
        <v>5727</v>
      </c>
      <c r="B5828" t="s">
        <v>225</v>
      </c>
      <c r="C5828" t="s">
        <v>226</v>
      </c>
      <c r="D5828" t="str">
        <f>HYPERLINK("http://service.sap.com/sap/support/notes/1692614","1692614")</f>
        <v>1692614</v>
      </c>
      <c r="E5828">
        <v>4</v>
      </c>
      <c r="F5828" t="s">
        <v>5908</v>
      </c>
    </row>
    <row r="5829" spans="1:6" x14ac:dyDescent="0.25">
      <c r="A5829" t="s">
        <v>5727</v>
      </c>
      <c r="B5829" t="s">
        <v>229</v>
      </c>
      <c r="C5829" t="s">
        <v>230</v>
      </c>
      <c r="D5829" t="str">
        <f>HYPERLINK("http://service.sap.com/sap/support/notes/1732617","1732617")</f>
        <v>1732617</v>
      </c>
      <c r="E5829">
        <v>3</v>
      </c>
      <c r="F5829" t="s">
        <v>5909</v>
      </c>
    </row>
    <row r="5830" spans="1:6" x14ac:dyDescent="0.25">
      <c r="A5830" t="s">
        <v>5727</v>
      </c>
      <c r="B5830" t="s">
        <v>319</v>
      </c>
      <c r="C5830" t="s">
        <v>320</v>
      </c>
    </row>
    <row r="5831" spans="1:6" x14ac:dyDescent="0.25">
      <c r="A5831" t="s">
        <v>5727</v>
      </c>
      <c r="B5831" t="s">
        <v>2263</v>
      </c>
      <c r="C5831" t="s">
        <v>2264</v>
      </c>
      <c r="D5831" t="str">
        <f>HYPERLINK("http://service.sap.com/sap/support/notes/1700464","1700464")</f>
        <v>1700464</v>
      </c>
      <c r="E5831">
        <v>2</v>
      </c>
      <c r="F5831" t="s">
        <v>5910</v>
      </c>
    </row>
    <row r="5832" spans="1:6" x14ac:dyDescent="0.25">
      <c r="A5832" t="s">
        <v>5727</v>
      </c>
      <c r="B5832" t="s">
        <v>2263</v>
      </c>
      <c r="C5832" t="s">
        <v>2264</v>
      </c>
      <c r="D5832" t="str">
        <f>HYPERLINK("http://service.sap.com/sap/support/notes/1727170","1727170")</f>
        <v>1727170</v>
      </c>
      <c r="E5832">
        <v>2</v>
      </c>
      <c r="F5832" t="s">
        <v>5911</v>
      </c>
    </row>
    <row r="5833" spans="1:6" x14ac:dyDescent="0.25">
      <c r="A5833" t="s">
        <v>5727</v>
      </c>
      <c r="B5833" t="s">
        <v>2263</v>
      </c>
      <c r="C5833" t="s">
        <v>2264</v>
      </c>
      <c r="D5833" t="str">
        <f>HYPERLINK("http://service.sap.com/sap/support/notes/1727586","1727586")</f>
        <v>1727586</v>
      </c>
      <c r="E5833">
        <v>3</v>
      </c>
      <c r="F5833" t="s">
        <v>5912</v>
      </c>
    </row>
    <row r="5834" spans="1:6" x14ac:dyDescent="0.25">
      <c r="A5834" t="s">
        <v>5727</v>
      </c>
      <c r="B5834" t="s">
        <v>423</v>
      </c>
      <c r="C5834" t="s">
        <v>424</v>
      </c>
      <c r="D5834" t="str">
        <f>HYPERLINK("http://service.sap.com/sap/support/notes/1728096","1728096")</f>
        <v>1728096</v>
      </c>
      <c r="E5834">
        <v>1</v>
      </c>
      <c r="F5834" t="s">
        <v>5913</v>
      </c>
    </row>
    <row r="5835" spans="1:6" x14ac:dyDescent="0.25">
      <c r="A5835" t="s">
        <v>5727</v>
      </c>
      <c r="B5835" t="s">
        <v>423</v>
      </c>
      <c r="C5835" t="s">
        <v>424</v>
      </c>
      <c r="D5835" t="str">
        <f>HYPERLINK("http://service.sap.com/sap/support/notes/1732035","1732035")</f>
        <v>1732035</v>
      </c>
      <c r="E5835">
        <v>1</v>
      </c>
      <c r="F5835" t="s">
        <v>5914</v>
      </c>
    </row>
    <row r="5836" spans="1:6" x14ac:dyDescent="0.25">
      <c r="A5836" t="s">
        <v>5727</v>
      </c>
      <c r="B5836" t="s">
        <v>423</v>
      </c>
      <c r="C5836" t="s">
        <v>424</v>
      </c>
      <c r="D5836" t="str">
        <f>HYPERLINK("http://service.sap.com/sap/support/notes/1735677","1735677")</f>
        <v>1735677</v>
      </c>
      <c r="E5836">
        <v>2</v>
      </c>
      <c r="F5836" t="s">
        <v>5915</v>
      </c>
    </row>
    <row r="5837" spans="1:6" x14ac:dyDescent="0.25">
      <c r="A5837" t="s">
        <v>5727</v>
      </c>
      <c r="B5837" t="s">
        <v>423</v>
      </c>
      <c r="C5837" t="s">
        <v>424</v>
      </c>
      <c r="D5837" t="str">
        <f>HYPERLINK("http://service.sap.com/sap/support/notes/1737726","1737726")</f>
        <v>1737726</v>
      </c>
      <c r="E5837">
        <v>5</v>
      </c>
      <c r="F5837" t="s">
        <v>5916</v>
      </c>
    </row>
    <row r="5838" spans="1:6" x14ac:dyDescent="0.25">
      <c r="A5838" t="s">
        <v>5727</v>
      </c>
      <c r="B5838" t="s">
        <v>423</v>
      </c>
      <c r="C5838" t="s">
        <v>424</v>
      </c>
      <c r="D5838" t="str">
        <f>HYPERLINK("http://service.sap.com/sap/support/notes/1739644","1739644")</f>
        <v>1739644</v>
      </c>
      <c r="E5838">
        <v>1</v>
      </c>
      <c r="F5838" t="s">
        <v>5917</v>
      </c>
    </row>
    <row r="5839" spans="1:6" x14ac:dyDescent="0.25">
      <c r="A5839" t="s">
        <v>5727</v>
      </c>
      <c r="B5839" t="s">
        <v>423</v>
      </c>
      <c r="C5839" t="s">
        <v>424</v>
      </c>
      <c r="D5839" t="str">
        <f>HYPERLINK("http://service.sap.com/sap/support/notes/1742849","1742849")</f>
        <v>1742849</v>
      </c>
      <c r="E5839">
        <v>1</v>
      </c>
      <c r="F5839" t="s">
        <v>5918</v>
      </c>
    </row>
    <row r="5840" spans="1:6" x14ac:dyDescent="0.25">
      <c r="A5840" t="s">
        <v>5727</v>
      </c>
      <c r="B5840" t="s">
        <v>423</v>
      </c>
      <c r="C5840" t="s">
        <v>424</v>
      </c>
      <c r="D5840" t="str">
        <f>HYPERLINK("http://service.sap.com/sap/support/notes/1742913","1742913")</f>
        <v>1742913</v>
      </c>
      <c r="E5840">
        <v>1</v>
      </c>
      <c r="F5840" t="s">
        <v>5919</v>
      </c>
    </row>
    <row r="5841" spans="1:6" x14ac:dyDescent="0.25">
      <c r="A5841" t="s">
        <v>5727</v>
      </c>
      <c r="B5841" t="s">
        <v>430</v>
      </c>
      <c r="C5841" t="s">
        <v>431</v>
      </c>
      <c r="D5841" t="str">
        <f>HYPERLINK("http://service.sap.com/sap/support/notes/1730200","1730200")</f>
        <v>1730200</v>
      </c>
      <c r="E5841">
        <v>1</v>
      </c>
      <c r="F5841" t="s">
        <v>5920</v>
      </c>
    </row>
    <row r="5842" spans="1:6" x14ac:dyDescent="0.25">
      <c r="A5842" t="s">
        <v>5727</v>
      </c>
      <c r="B5842" t="s">
        <v>453</v>
      </c>
      <c r="C5842" t="s">
        <v>74</v>
      </c>
    </row>
    <row r="5843" spans="1:6" x14ac:dyDescent="0.25">
      <c r="A5843" t="s">
        <v>5727</v>
      </c>
      <c r="B5843" t="s">
        <v>633</v>
      </c>
      <c r="C5843" t="s">
        <v>634</v>
      </c>
      <c r="D5843" t="str">
        <f>HYPERLINK("http://service.sap.com/sap/support/notes/1635820","1635820")</f>
        <v>1635820</v>
      </c>
      <c r="E5843">
        <v>4</v>
      </c>
      <c r="F5843" t="s">
        <v>5921</v>
      </c>
    </row>
    <row r="5844" spans="1:6" x14ac:dyDescent="0.25">
      <c r="A5844" t="s">
        <v>5727</v>
      </c>
      <c r="B5844" t="s">
        <v>607</v>
      </c>
      <c r="C5844" t="s">
        <v>156</v>
      </c>
      <c r="D5844" t="str">
        <f>HYPERLINK("http://service.sap.com/sap/support/notes/1744837","1744837")</f>
        <v>1744837</v>
      </c>
      <c r="E5844">
        <v>1</v>
      </c>
      <c r="F5844" t="s">
        <v>5922</v>
      </c>
    </row>
    <row r="5845" spans="1:6" x14ac:dyDescent="0.25">
      <c r="A5845" t="s">
        <v>5727</v>
      </c>
      <c r="B5845" t="s">
        <v>457</v>
      </c>
      <c r="C5845" t="s">
        <v>458</v>
      </c>
      <c r="D5845" t="str">
        <f>HYPERLINK("http://service.sap.com/sap/support/notes/1672830","1672830")</f>
        <v>1672830</v>
      </c>
      <c r="E5845">
        <v>2</v>
      </c>
      <c r="F5845" t="s">
        <v>5923</v>
      </c>
    </row>
    <row r="5846" spans="1:6" x14ac:dyDescent="0.25">
      <c r="A5846" t="s">
        <v>5727</v>
      </c>
      <c r="B5846" t="s">
        <v>457</v>
      </c>
      <c r="C5846" t="s">
        <v>458</v>
      </c>
      <c r="D5846" t="str">
        <f>HYPERLINK("http://service.sap.com/sap/support/notes/1696592","1696592")</f>
        <v>1696592</v>
      </c>
      <c r="E5846">
        <v>1</v>
      </c>
      <c r="F5846" t="s">
        <v>5924</v>
      </c>
    </row>
    <row r="5847" spans="1:6" x14ac:dyDescent="0.25">
      <c r="A5847" t="s">
        <v>5727</v>
      </c>
      <c r="B5847" t="s">
        <v>457</v>
      </c>
      <c r="C5847" t="s">
        <v>458</v>
      </c>
      <c r="D5847" t="str">
        <f>HYPERLINK("http://service.sap.com/sap/support/notes/1734460","1734460")</f>
        <v>1734460</v>
      </c>
      <c r="E5847">
        <v>2</v>
      </c>
      <c r="F5847" t="s">
        <v>5925</v>
      </c>
    </row>
    <row r="5848" spans="1:6" x14ac:dyDescent="0.25">
      <c r="A5848" t="s">
        <v>5727</v>
      </c>
      <c r="B5848" t="s">
        <v>610</v>
      </c>
      <c r="C5848" t="s">
        <v>635</v>
      </c>
    </row>
    <row r="5849" spans="1:6" x14ac:dyDescent="0.25">
      <c r="A5849" t="s">
        <v>5727</v>
      </c>
      <c r="B5849" t="s">
        <v>612</v>
      </c>
      <c r="C5849" t="s">
        <v>5696</v>
      </c>
      <c r="D5849" t="str">
        <f>HYPERLINK("http://service.sap.com/sap/support/notes/1700665","1700665")</f>
        <v>1700665</v>
      </c>
      <c r="E5849">
        <v>2</v>
      </c>
      <c r="F5849" t="s">
        <v>5697</v>
      </c>
    </row>
    <row r="5850" spans="1:6" x14ac:dyDescent="0.25">
      <c r="A5850" t="s">
        <v>5727</v>
      </c>
      <c r="B5850" t="s">
        <v>3809</v>
      </c>
      <c r="C5850" t="s">
        <v>3810</v>
      </c>
      <c r="D5850" t="str">
        <f>HYPERLINK("http://service.sap.com/sap/support/notes/1738694","1738694")</f>
        <v>1738694</v>
      </c>
      <c r="E5850">
        <v>2</v>
      </c>
      <c r="F5850" t="s">
        <v>5926</v>
      </c>
    </row>
    <row r="5851" spans="1:6" x14ac:dyDescent="0.25">
      <c r="A5851" t="s">
        <v>5727</v>
      </c>
      <c r="B5851" t="s">
        <v>3809</v>
      </c>
      <c r="C5851" t="s">
        <v>3810</v>
      </c>
      <c r="D5851" t="str">
        <f>HYPERLINK("http://service.sap.com/sap/support/notes/1743572","1743572")</f>
        <v>1743572</v>
      </c>
      <c r="E5851">
        <v>2</v>
      </c>
      <c r="F5851" t="s">
        <v>5927</v>
      </c>
    </row>
    <row r="5852" spans="1:6" x14ac:dyDescent="0.25">
      <c r="A5852" t="s">
        <v>5727</v>
      </c>
      <c r="B5852" t="s">
        <v>670</v>
      </c>
      <c r="C5852" t="s">
        <v>671</v>
      </c>
    </row>
    <row r="5853" spans="1:6" x14ac:dyDescent="0.25">
      <c r="A5853" t="s">
        <v>5727</v>
      </c>
      <c r="B5853" t="s">
        <v>672</v>
      </c>
      <c r="C5853" t="s">
        <v>673</v>
      </c>
    </row>
    <row r="5854" spans="1:6" x14ac:dyDescent="0.25">
      <c r="A5854" t="s">
        <v>5727</v>
      </c>
      <c r="B5854" t="s">
        <v>5707</v>
      </c>
      <c r="C5854" t="s">
        <v>5708</v>
      </c>
    </row>
    <row r="5855" spans="1:6" x14ac:dyDescent="0.25">
      <c r="A5855" t="s">
        <v>5727</v>
      </c>
      <c r="B5855" t="s">
        <v>5709</v>
      </c>
      <c r="C5855" t="s">
        <v>5710</v>
      </c>
      <c r="D5855" t="str">
        <f>HYPERLINK("http://service.sap.com/sap/support/notes/1731978","1731978")</f>
        <v>1731978</v>
      </c>
      <c r="E5855">
        <v>1</v>
      </c>
      <c r="F5855" t="s">
        <v>5928</v>
      </c>
    </row>
    <row r="5856" spans="1:6" x14ac:dyDescent="0.25">
      <c r="A5856" t="s">
        <v>5727</v>
      </c>
      <c r="B5856" t="s">
        <v>5713</v>
      </c>
      <c r="C5856" t="s">
        <v>5714</v>
      </c>
    </row>
    <row r="5857" spans="1:6" x14ac:dyDescent="0.25">
      <c r="A5857" t="s">
        <v>5727</v>
      </c>
      <c r="B5857" t="s">
        <v>5715</v>
      </c>
      <c r="C5857" t="s">
        <v>5710</v>
      </c>
      <c r="D5857" t="str">
        <f>HYPERLINK("http://service.sap.com/sap/support/notes/1737829","1737829")</f>
        <v>1737829</v>
      </c>
      <c r="E5857">
        <v>1</v>
      </c>
      <c r="F5857" t="s">
        <v>5929</v>
      </c>
    </row>
    <row r="5858" spans="1:6" x14ac:dyDescent="0.25">
      <c r="A5858" t="s">
        <v>5930</v>
      </c>
      <c r="B5858" t="s">
        <v>481</v>
      </c>
      <c r="C5858" t="s">
        <v>482</v>
      </c>
    </row>
    <row r="5859" spans="1:6" x14ac:dyDescent="0.25">
      <c r="A5859" t="s">
        <v>5930</v>
      </c>
      <c r="B5859" t="s">
        <v>487</v>
      </c>
      <c r="C5859" t="s">
        <v>488</v>
      </c>
    </row>
    <row r="5860" spans="1:6" x14ac:dyDescent="0.25">
      <c r="A5860" t="s">
        <v>5930</v>
      </c>
      <c r="B5860" t="s">
        <v>489</v>
      </c>
      <c r="C5860" t="s">
        <v>641</v>
      </c>
      <c r="D5860" t="str">
        <f>HYPERLINK("http://service.sap.com/sap/support/notes/1745782","1745782")</f>
        <v>1745782</v>
      </c>
      <c r="E5860">
        <v>1</v>
      </c>
      <c r="F5860" t="s">
        <v>5931</v>
      </c>
    </row>
    <row r="5861" spans="1:6" x14ac:dyDescent="0.25">
      <c r="A5861" t="s">
        <v>5930</v>
      </c>
      <c r="B5861" t="s">
        <v>489</v>
      </c>
      <c r="C5861" t="s">
        <v>641</v>
      </c>
      <c r="D5861" t="str">
        <f>HYPERLINK("http://service.sap.com/sap/support/notes/1747007","1747007")</f>
        <v>1747007</v>
      </c>
      <c r="E5861">
        <v>1</v>
      </c>
      <c r="F5861" t="s">
        <v>5932</v>
      </c>
    </row>
    <row r="5862" spans="1:6" x14ac:dyDescent="0.25">
      <c r="A5862" t="s">
        <v>5930</v>
      </c>
      <c r="B5862" t="s">
        <v>489</v>
      </c>
      <c r="C5862" t="s">
        <v>641</v>
      </c>
      <c r="D5862" t="str">
        <f>HYPERLINK("http://service.sap.com/sap/support/notes/1748040","1748040")</f>
        <v>1748040</v>
      </c>
      <c r="E5862">
        <v>2</v>
      </c>
      <c r="F5862" t="s">
        <v>5933</v>
      </c>
    </row>
    <row r="5863" spans="1:6" x14ac:dyDescent="0.25">
      <c r="A5863" t="s">
        <v>5930</v>
      </c>
      <c r="B5863" t="s">
        <v>489</v>
      </c>
      <c r="C5863" t="s">
        <v>641</v>
      </c>
      <c r="D5863" t="str">
        <f>HYPERLINK("http://service.sap.com/sap/support/notes/1750360","1750360")</f>
        <v>1750360</v>
      </c>
      <c r="E5863">
        <v>1</v>
      </c>
      <c r="F5863" t="s">
        <v>5934</v>
      </c>
    </row>
    <row r="5864" spans="1:6" x14ac:dyDescent="0.25">
      <c r="A5864" t="s">
        <v>5930</v>
      </c>
      <c r="B5864" t="s">
        <v>489</v>
      </c>
      <c r="C5864" t="s">
        <v>641</v>
      </c>
      <c r="D5864" t="str">
        <f>HYPERLINK("http://service.sap.com/sap/support/notes/1752420","1752420")</f>
        <v>1752420</v>
      </c>
      <c r="E5864">
        <v>1</v>
      </c>
      <c r="F5864" t="s">
        <v>5935</v>
      </c>
    </row>
    <row r="5865" spans="1:6" x14ac:dyDescent="0.25">
      <c r="A5865" t="s">
        <v>5930</v>
      </c>
      <c r="B5865" t="s">
        <v>489</v>
      </c>
      <c r="C5865" t="s">
        <v>641</v>
      </c>
      <c r="D5865" t="str">
        <f>HYPERLINK("http://service.sap.com/sap/support/notes/1753401","1753401")</f>
        <v>1753401</v>
      </c>
      <c r="E5865">
        <v>1</v>
      </c>
      <c r="F5865" t="s">
        <v>5936</v>
      </c>
    </row>
    <row r="5866" spans="1:6" x14ac:dyDescent="0.25">
      <c r="A5866" t="s">
        <v>5930</v>
      </c>
      <c r="B5866" t="s">
        <v>490</v>
      </c>
      <c r="C5866" t="s">
        <v>491</v>
      </c>
    </row>
    <row r="5867" spans="1:6" x14ac:dyDescent="0.25">
      <c r="A5867" t="s">
        <v>5930</v>
      </c>
      <c r="B5867" t="s">
        <v>722</v>
      </c>
      <c r="C5867" t="s">
        <v>723</v>
      </c>
    </row>
    <row r="5868" spans="1:6" x14ac:dyDescent="0.25">
      <c r="A5868" t="s">
        <v>5930</v>
      </c>
      <c r="B5868" t="s">
        <v>724</v>
      </c>
      <c r="C5868" t="s">
        <v>648</v>
      </c>
      <c r="D5868" t="str">
        <f>HYPERLINK("http://service.sap.com/sap/support/notes/1669857","1669857")</f>
        <v>1669857</v>
      </c>
      <c r="E5868">
        <v>1</v>
      </c>
      <c r="F5868" t="s">
        <v>5937</v>
      </c>
    </row>
    <row r="5869" spans="1:6" x14ac:dyDescent="0.25">
      <c r="A5869" t="s">
        <v>5930</v>
      </c>
      <c r="B5869" t="s">
        <v>724</v>
      </c>
      <c r="C5869" t="s">
        <v>648</v>
      </c>
      <c r="D5869" t="str">
        <f>HYPERLINK("http://service.sap.com/sap/support/notes/1682223","1682223")</f>
        <v>1682223</v>
      </c>
      <c r="E5869">
        <v>1</v>
      </c>
      <c r="F5869" t="s">
        <v>5938</v>
      </c>
    </row>
    <row r="5870" spans="1:6" x14ac:dyDescent="0.25">
      <c r="A5870" t="s">
        <v>5930</v>
      </c>
      <c r="B5870" t="s">
        <v>724</v>
      </c>
      <c r="C5870" t="s">
        <v>648</v>
      </c>
      <c r="D5870" t="str">
        <f>HYPERLINK("http://service.sap.com/sap/support/notes/1683805","1683805")</f>
        <v>1683805</v>
      </c>
      <c r="E5870">
        <v>1</v>
      </c>
      <c r="F5870" t="s">
        <v>5939</v>
      </c>
    </row>
    <row r="5871" spans="1:6" x14ac:dyDescent="0.25">
      <c r="A5871" t="s">
        <v>5930</v>
      </c>
      <c r="B5871" t="s">
        <v>724</v>
      </c>
      <c r="C5871" t="s">
        <v>648</v>
      </c>
      <c r="D5871" t="str">
        <f>HYPERLINK("http://service.sap.com/sap/support/notes/1685618","1685618")</f>
        <v>1685618</v>
      </c>
      <c r="E5871">
        <v>2</v>
      </c>
      <c r="F5871" t="s">
        <v>5940</v>
      </c>
    </row>
    <row r="5872" spans="1:6" x14ac:dyDescent="0.25">
      <c r="A5872" t="s">
        <v>5930</v>
      </c>
      <c r="B5872" t="s">
        <v>724</v>
      </c>
      <c r="C5872" t="s">
        <v>648</v>
      </c>
      <c r="D5872" t="str">
        <f>HYPERLINK("http://service.sap.com/sap/support/notes/1700926","1700926")</f>
        <v>1700926</v>
      </c>
      <c r="E5872">
        <v>2</v>
      </c>
      <c r="F5872" t="s">
        <v>5941</v>
      </c>
    </row>
    <row r="5873" spans="1:6" x14ac:dyDescent="0.25">
      <c r="A5873" t="s">
        <v>5930</v>
      </c>
      <c r="B5873" t="s">
        <v>724</v>
      </c>
      <c r="C5873" t="s">
        <v>648</v>
      </c>
      <c r="D5873" t="str">
        <f>HYPERLINK("http://service.sap.com/sap/support/notes/1707340","1707340")</f>
        <v>1707340</v>
      </c>
      <c r="E5873">
        <v>2</v>
      </c>
      <c r="F5873" t="s">
        <v>5942</v>
      </c>
    </row>
    <row r="5874" spans="1:6" x14ac:dyDescent="0.25">
      <c r="A5874" t="s">
        <v>5930</v>
      </c>
      <c r="B5874" t="s">
        <v>724</v>
      </c>
      <c r="C5874" t="s">
        <v>648</v>
      </c>
      <c r="D5874" t="str">
        <f>HYPERLINK("http://service.sap.com/sap/support/notes/1709080","1709080")</f>
        <v>1709080</v>
      </c>
      <c r="E5874">
        <v>1</v>
      </c>
      <c r="F5874" t="s">
        <v>5943</v>
      </c>
    </row>
    <row r="5875" spans="1:6" x14ac:dyDescent="0.25">
      <c r="A5875" t="s">
        <v>5930</v>
      </c>
      <c r="B5875" t="s">
        <v>724</v>
      </c>
      <c r="C5875" t="s">
        <v>648</v>
      </c>
      <c r="D5875" t="str">
        <f>HYPERLINK("http://service.sap.com/sap/support/notes/1712255","1712255")</f>
        <v>1712255</v>
      </c>
      <c r="E5875">
        <v>1</v>
      </c>
      <c r="F5875" t="s">
        <v>5944</v>
      </c>
    </row>
    <row r="5876" spans="1:6" x14ac:dyDescent="0.25">
      <c r="A5876" t="s">
        <v>5930</v>
      </c>
      <c r="B5876" t="s">
        <v>724</v>
      </c>
      <c r="C5876" t="s">
        <v>648</v>
      </c>
      <c r="D5876" t="str">
        <f>HYPERLINK("http://service.sap.com/sap/support/notes/1714119","1714119")</f>
        <v>1714119</v>
      </c>
      <c r="E5876">
        <v>6</v>
      </c>
      <c r="F5876" t="s">
        <v>5945</v>
      </c>
    </row>
    <row r="5877" spans="1:6" x14ac:dyDescent="0.25">
      <c r="A5877" t="s">
        <v>5930</v>
      </c>
      <c r="B5877" t="s">
        <v>724</v>
      </c>
      <c r="C5877" t="s">
        <v>648</v>
      </c>
      <c r="D5877" t="str">
        <f>HYPERLINK("http://service.sap.com/sap/support/notes/1730271","1730271")</f>
        <v>1730271</v>
      </c>
      <c r="E5877">
        <v>2</v>
      </c>
      <c r="F5877" t="s">
        <v>5946</v>
      </c>
    </row>
    <row r="5878" spans="1:6" x14ac:dyDescent="0.25">
      <c r="A5878" t="s">
        <v>5930</v>
      </c>
      <c r="B5878" t="s">
        <v>724</v>
      </c>
      <c r="C5878" t="s">
        <v>648</v>
      </c>
      <c r="D5878" t="str">
        <f>HYPERLINK("http://service.sap.com/sap/support/notes/1739604","1739604")</f>
        <v>1739604</v>
      </c>
      <c r="E5878">
        <v>2</v>
      </c>
      <c r="F5878" t="s">
        <v>5947</v>
      </c>
    </row>
    <row r="5879" spans="1:6" x14ac:dyDescent="0.25">
      <c r="A5879" t="s">
        <v>5930</v>
      </c>
      <c r="B5879" t="s">
        <v>724</v>
      </c>
      <c r="C5879" t="s">
        <v>648</v>
      </c>
      <c r="D5879" t="str">
        <f>HYPERLINK("http://service.sap.com/sap/support/notes/1745418","1745418")</f>
        <v>1745418</v>
      </c>
      <c r="E5879">
        <v>1</v>
      </c>
      <c r="F5879" t="s">
        <v>5948</v>
      </c>
    </row>
    <row r="5880" spans="1:6" x14ac:dyDescent="0.25">
      <c r="A5880" t="s">
        <v>5930</v>
      </c>
      <c r="B5880" t="s">
        <v>724</v>
      </c>
      <c r="C5880" t="s">
        <v>648</v>
      </c>
      <c r="D5880" t="str">
        <f>HYPERLINK("http://service.sap.com/sap/support/notes/1749072","1749072")</f>
        <v>1749072</v>
      </c>
      <c r="E5880">
        <v>1</v>
      </c>
      <c r="F5880" t="s">
        <v>5949</v>
      </c>
    </row>
    <row r="5881" spans="1:6" x14ac:dyDescent="0.25">
      <c r="A5881" t="s">
        <v>5930</v>
      </c>
      <c r="B5881" t="s">
        <v>15</v>
      </c>
      <c r="C5881" t="s">
        <v>16</v>
      </c>
    </row>
    <row r="5882" spans="1:6" x14ac:dyDescent="0.25">
      <c r="A5882" t="s">
        <v>5930</v>
      </c>
      <c r="B5882" t="s">
        <v>17</v>
      </c>
      <c r="C5882" t="s">
        <v>18</v>
      </c>
    </row>
    <row r="5883" spans="1:6" x14ac:dyDescent="0.25">
      <c r="A5883" t="s">
        <v>5930</v>
      </c>
      <c r="B5883" t="s">
        <v>19</v>
      </c>
      <c r="C5883" t="s">
        <v>20</v>
      </c>
    </row>
    <row r="5884" spans="1:6" x14ac:dyDescent="0.25">
      <c r="A5884" t="s">
        <v>5930</v>
      </c>
      <c r="B5884" t="s">
        <v>21</v>
      </c>
      <c r="C5884" t="s">
        <v>22</v>
      </c>
      <c r="D5884" t="str">
        <f>HYPERLINK("http://service.sap.com/sap/support/notes/1749319","1749319")</f>
        <v>1749319</v>
      </c>
      <c r="E5884">
        <v>1</v>
      </c>
      <c r="F5884" t="s">
        <v>5950</v>
      </c>
    </row>
    <row r="5885" spans="1:6" x14ac:dyDescent="0.25">
      <c r="A5885" t="s">
        <v>5930</v>
      </c>
      <c r="B5885" t="s">
        <v>21</v>
      </c>
      <c r="C5885" t="s">
        <v>22</v>
      </c>
      <c r="D5885" t="str">
        <f>HYPERLINK("http://service.sap.com/sap/support/notes/1750011","1750011")</f>
        <v>1750011</v>
      </c>
      <c r="E5885">
        <v>1</v>
      </c>
      <c r="F5885" t="s">
        <v>5951</v>
      </c>
    </row>
    <row r="5886" spans="1:6" x14ac:dyDescent="0.25">
      <c r="A5886" t="s">
        <v>5930</v>
      </c>
      <c r="B5886" t="s">
        <v>493</v>
      </c>
      <c r="C5886" t="s">
        <v>494</v>
      </c>
    </row>
    <row r="5887" spans="1:6" x14ac:dyDescent="0.25">
      <c r="A5887" t="s">
        <v>5930</v>
      </c>
      <c r="B5887" t="s">
        <v>495</v>
      </c>
      <c r="C5887" t="s">
        <v>655</v>
      </c>
      <c r="D5887" t="str">
        <f>HYPERLINK("http://service.sap.com/sap/support/notes/1706835","1706835")</f>
        <v>1706835</v>
      </c>
      <c r="E5887">
        <v>1</v>
      </c>
      <c r="F5887" t="s">
        <v>1567</v>
      </c>
    </row>
    <row r="5888" spans="1:6" x14ac:dyDescent="0.25">
      <c r="A5888" t="s">
        <v>5930</v>
      </c>
      <c r="B5888" t="s">
        <v>497</v>
      </c>
      <c r="C5888" t="s">
        <v>498</v>
      </c>
      <c r="D5888" t="str">
        <f>HYPERLINK("http://service.sap.com/sap/support/notes/1732023","1732023")</f>
        <v>1732023</v>
      </c>
      <c r="E5888">
        <v>3</v>
      </c>
      <c r="F5888" t="s">
        <v>5746</v>
      </c>
    </row>
    <row r="5889" spans="1:6" x14ac:dyDescent="0.25">
      <c r="A5889" t="s">
        <v>5930</v>
      </c>
      <c r="B5889" t="s">
        <v>497</v>
      </c>
      <c r="C5889" t="s">
        <v>498</v>
      </c>
      <c r="D5889" t="str">
        <f>HYPERLINK("http://service.sap.com/sap/support/notes/1742468","1742468")</f>
        <v>1742468</v>
      </c>
      <c r="E5889">
        <v>1</v>
      </c>
      <c r="F5889" t="s">
        <v>5952</v>
      </c>
    </row>
    <row r="5890" spans="1:6" x14ac:dyDescent="0.25">
      <c r="A5890" t="s">
        <v>5930</v>
      </c>
      <c r="B5890" t="s">
        <v>497</v>
      </c>
      <c r="C5890" t="s">
        <v>498</v>
      </c>
      <c r="D5890" t="str">
        <f>HYPERLINK("http://service.sap.com/sap/support/notes/1743113","1743113")</f>
        <v>1743113</v>
      </c>
      <c r="E5890">
        <v>1</v>
      </c>
      <c r="F5890" t="s">
        <v>5953</v>
      </c>
    </row>
    <row r="5891" spans="1:6" x14ac:dyDescent="0.25">
      <c r="A5891" t="s">
        <v>5930</v>
      </c>
      <c r="B5891" t="s">
        <v>497</v>
      </c>
      <c r="C5891" t="s">
        <v>498</v>
      </c>
      <c r="D5891" t="str">
        <f>HYPERLINK("http://service.sap.com/sap/support/notes/1744582","1744582")</f>
        <v>1744582</v>
      </c>
      <c r="E5891">
        <v>1</v>
      </c>
      <c r="F5891" t="s">
        <v>5954</v>
      </c>
    </row>
    <row r="5892" spans="1:6" x14ac:dyDescent="0.25">
      <c r="A5892" t="s">
        <v>5930</v>
      </c>
      <c r="B5892" t="s">
        <v>497</v>
      </c>
      <c r="C5892" t="s">
        <v>498</v>
      </c>
      <c r="D5892" t="str">
        <f>HYPERLINK("http://service.sap.com/sap/support/notes/1746134","1746134")</f>
        <v>1746134</v>
      </c>
      <c r="E5892">
        <v>1</v>
      </c>
      <c r="F5892" t="s">
        <v>5955</v>
      </c>
    </row>
    <row r="5893" spans="1:6" x14ac:dyDescent="0.25">
      <c r="A5893" t="s">
        <v>5930</v>
      </c>
      <c r="B5893" t="s">
        <v>497</v>
      </c>
      <c r="C5893" t="s">
        <v>498</v>
      </c>
      <c r="D5893" t="str">
        <f>HYPERLINK("http://service.sap.com/sap/support/notes/1746140","1746140")</f>
        <v>1746140</v>
      </c>
      <c r="E5893">
        <v>5</v>
      </c>
      <c r="F5893" t="s">
        <v>5956</v>
      </c>
    </row>
    <row r="5894" spans="1:6" x14ac:dyDescent="0.25">
      <c r="A5894" t="s">
        <v>5930</v>
      </c>
      <c r="B5894" t="s">
        <v>497</v>
      </c>
      <c r="C5894" t="s">
        <v>498</v>
      </c>
      <c r="D5894" t="str">
        <f>HYPERLINK("http://service.sap.com/sap/support/notes/1746213","1746213")</f>
        <v>1746213</v>
      </c>
      <c r="E5894">
        <v>1</v>
      </c>
      <c r="F5894" t="s">
        <v>5957</v>
      </c>
    </row>
    <row r="5895" spans="1:6" x14ac:dyDescent="0.25">
      <c r="A5895" t="s">
        <v>5930</v>
      </c>
      <c r="B5895" t="s">
        <v>497</v>
      </c>
      <c r="C5895" t="s">
        <v>498</v>
      </c>
      <c r="D5895" t="str">
        <f>HYPERLINK("http://service.sap.com/sap/support/notes/1747712","1747712")</f>
        <v>1747712</v>
      </c>
      <c r="E5895">
        <v>1</v>
      </c>
      <c r="F5895" t="s">
        <v>5958</v>
      </c>
    </row>
    <row r="5896" spans="1:6" x14ac:dyDescent="0.25">
      <c r="A5896" t="s">
        <v>5930</v>
      </c>
      <c r="B5896" t="s">
        <v>497</v>
      </c>
      <c r="C5896" t="s">
        <v>498</v>
      </c>
      <c r="D5896" t="str">
        <f>HYPERLINK("http://service.sap.com/sap/support/notes/1748435","1748435")</f>
        <v>1748435</v>
      </c>
      <c r="E5896">
        <v>1</v>
      </c>
      <c r="F5896" t="s">
        <v>5959</v>
      </c>
    </row>
    <row r="5897" spans="1:6" x14ac:dyDescent="0.25">
      <c r="A5897" t="s">
        <v>5930</v>
      </c>
      <c r="B5897" t="s">
        <v>497</v>
      </c>
      <c r="C5897" t="s">
        <v>498</v>
      </c>
      <c r="D5897" t="str">
        <f>HYPERLINK("http://service.sap.com/sap/support/notes/1751202","1751202")</f>
        <v>1751202</v>
      </c>
      <c r="E5897">
        <v>1</v>
      </c>
      <c r="F5897" t="s">
        <v>5960</v>
      </c>
    </row>
    <row r="5898" spans="1:6" x14ac:dyDescent="0.25">
      <c r="A5898" t="s">
        <v>5930</v>
      </c>
      <c r="B5898" t="s">
        <v>497</v>
      </c>
      <c r="C5898" t="s">
        <v>498</v>
      </c>
      <c r="D5898" t="str">
        <f>HYPERLINK("http://service.sap.com/sap/support/notes/1754057","1754057")</f>
        <v>1754057</v>
      </c>
      <c r="E5898">
        <v>1</v>
      </c>
      <c r="F5898" t="s">
        <v>5961</v>
      </c>
    </row>
    <row r="5899" spans="1:6" x14ac:dyDescent="0.25">
      <c r="A5899" t="s">
        <v>5930</v>
      </c>
      <c r="B5899" t="s">
        <v>656</v>
      </c>
      <c r="C5899" t="s">
        <v>657</v>
      </c>
      <c r="D5899" t="str">
        <f>HYPERLINK("http://service.sap.com/sap/support/notes/1732146","1732146")</f>
        <v>1732146</v>
      </c>
      <c r="E5899">
        <v>4</v>
      </c>
      <c r="F5899" t="s">
        <v>5774</v>
      </c>
    </row>
    <row r="5900" spans="1:6" x14ac:dyDescent="0.25">
      <c r="A5900" t="s">
        <v>5930</v>
      </c>
      <c r="B5900" t="s">
        <v>656</v>
      </c>
      <c r="C5900" t="s">
        <v>657</v>
      </c>
      <c r="D5900" t="str">
        <f>HYPERLINK("http://service.sap.com/sap/support/notes/1739990","1739990")</f>
        <v>1739990</v>
      </c>
      <c r="E5900">
        <v>2</v>
      </c>
      <c r="F5900" t="s">
        <v>5962</v>
      </c>
    </row>
    <row r="5901" spans="1:6" x14ac:dyDescent="0.25">
      <c r="A5901" t="s">
        <v>5930</v>
      </c>
      <c r="B5901" t="s">
        <v>656</v>
      </c>
      <c r="C5901" t="s">
        <v>657</v>
      </c>
      <c r="D5901" t="str">
        <f>HYPERLINK("http://service.sap.com/sap/support/notes/1740308","1740308")</f>
        <v>1740308</v>
      </c>
      <c r="E5901">
        <v>1</v>
      </c>
      <c r="F5901" t="s">
        <v>5787</v>
      </c>
    </row>
    <row r="5902" spans="1:6" x14ac:dyDescent="0.25">
      <c r="A5902" t="s">
        <v>5930</v>
      </c>
      <c r="B5902" t="s">
        <v>656</v>
      </c>
      <c r="C5902" t="s">
        <v>657</v>
      </c>
      <c r="D5902" t="str">
        <f>HYPERLINK("http://service.sap.com/sap/support/notes/1741896","1741896")</f>
        <v>1741896</v>
      </c>
      <c r="E5902">
        <v>2</v>
      </c>
      <c r="F5902" t="s">
        <v>5963</v>
      </c>
    </row>
    <row r="5903" spans="1:6" x14ac:dyDescent="0.25">
      <c r="A5903" t="s">
        <v>5930</v>
      </c>
      <c r="B5903" t="s">
        <v>656</v>
      </c>
      <c r="C5903" t="s">
        <v>657</v>
      </c>
      <c r="D5903" t="str">
        <f>HYPERLINK("http://service.sap.com/sap/support/notes/1745019","1745019")</f>
        <v>1745019</v>
      </c>
      <c r="E5903">
        <v>1</v>
      </c>
      <c r="F5903" t="s">
        <v>5964</v>
      </c>
    </row>
    <row r="5904" spans="1:6" x14ac:dyDescent="0.25">
      <c r="A5904" t="s">
        <v>5930</v>
      </c>
      <c r="B5904" t="s">
        <v>656</v>
      </c>
      <c r="C5904" t="s">
        <v>657</v>
      </c>
      <c r="D5904" t="str">
        <f>HYPERLINK("http://service.sap.com/sap/support/notes/1745148","1745148")</f>
        <v>1745148</v>
      </c>
      <c r="E5904">
        <v>1</v>
      </c>
      <c r="F5904" t="s">
        <v>5965</v>
      </c>
    </row>
    <row r="5905" spans="1:6" x14ac:dyDescent="0.25">
      <c r="A5905" t="s">
        <v>5930</v>
      </c>
      <c r="B5905" t="s">
        <v>656</v>
      </c>
      <c r="C5905" t="s">
        <v>657</v>
      </c>
      <c r="D5905" t="str">
        <f>HYPERLINK("http://service.sap.com/sap/support/notes/1745713","1745713")</f>
        <v>1745713</v>
      </c>
      <c r="E5905">
        <v>1</v>
      </c>
      <c r="F5905" t="s">
        <v>5966</v>
      </c>
    </row>
    <row r="5906" spans="1:6" x14ac:dyDescent="0.25">
      <c r="A5906" t="s">
        <v>5930</v>
      </c>
      <c r="B5906" t="s">
        <v>656</v>
      </c>
      <c r="C5906" t="s">
        <v>657</v>
      </c>
      <c r="D5906" t="str">
        <f>HYPERLINK("http://service.sap.com/sap/support/notes/1747935","1747935")</f>
        <v>1747935</v>
      </c>
      <c r="E5906">
        <v>1</v>
      </c>
      <c r="F5906" t="s">
        <v>5967</v>
      </c>
    </row>
    <row r="5907" spans="1:6" x14ac:dyDescent="0.25">
      <c r="A5907" t="s">
        <v>5930</v>
      </c>
      <c r="B5907" t="s">
        <v>656</v>
      </c>
      <c r="C5907" t="s">
        <v>657</v>
      </c>
      <c r="D5907" t="str">
        <f>HYPERLINK("http://service.sap.com/sap/support/notes/1750434","1750434")</f>
        <v>1750434</v>
      </c>
      <c r="E5907">
        <v>1</v>
      </c>
      <c r="F5907" t="s">
        <v>5968</v>
      </c>
    </row>
    <row r="5908" spans="1:6" x14ac:dyDescent="0.25">
      <c r="A5908" t="s">
        <v>5930</v>
      </c>
      <c r="B5908" t="s">
        <v>656</v>
      </c>
      <c r="C5908" t="s">
        <v>657</v>
      </c>
      <c r="D5908" t="str">
        <f>HYPERLINK("http://service.sap.com/sap/support/notes/1750761","1750761")</f>
        <v>1750761</v>
      </c>
      <c r="E5908">
        <v>1</v>
      </c>
      <c r="F5908" t="s">
        <v>5968</v>
      </c>
    </row>
    <row r="5909" spans="1:6" x14ac:dyDescent="0.25">
      <c r="A5909" t="s">
        <v>5930</v>
      </c>
      <c r="B5909" t="s">
        <v>656</v>
      </c>
      <c r="C5909" t="s">
        <v>657</v>
      </c>
      <c r="D5909" t="str">
        <f>HYPERLINK("http://service.sap.com/sap/support/notes/1751812","1751812")</f>
        <v>1751812</v>
      </c>
      <c r="E5909">
        <v>2</v>
      </c>
      <c r="F5909" t="s">
        <v>5969</v>
      </c>
    </row>
    <row r="5910" spans="1:6" x14ac:dyDescent="0.25">
      <c r="A5910" t="s">
        <v>5930</v>
      </c>
      <c r="B5910" t="s">
        <v>694</v>
      </c>
      <c r="C5910" t="s">
        <v>695</v>
      </c>
    </row>
    <row r="5911" spans="1:6" x14ac:dyDescent="0.25">
      <c r="A5911" t="s">
        <v>5930</v>
      </c>
      <c r="B5911" t="s">
        <v>5798</v>
      </c>
      <c r="C5911" t="s">
        <v>5799</v>
      </c>
      <c r="D5911" t="str">
        <f>HYPERLINK("http://service.sap.com/sap/support/notes/1741734","1741734")</f>
        <v>1741734</v>
      </c>
      <c r="E5911">
        <v>4</v>
      </c>
      <c r="F5911" t="s">
        <v>5800</v>
      </c>
    </row>
    <row r="5912" spans="1:6" x14ac:dyDescent="0.25">
      <c r="A5912" t="s">
        <v>5930</v>
      </c>
      <c r="B5912" t="s">
        <v>24</v>
      </c>
      <c r="C5912" t="s">
        <v>10</v>
      </c>
    </row>
    <row r="5913" spans="1:6" x14ac:dyDescent="0.25">
      <c r="A5913" t="s">
        <v>5930</v>
      </c>
      <c r="B5913" t="s">
        <v>5505</v>
      </c>
      <c r="C5913" t="s">
        <v>5506</v>
      </c>
      <c r="D5913" t="str">
        <f>HYPERLINK("http://service.sap.com/sap/support/notes/1744360","1744360")</f>
        <v>1744360</v>
      </c>
      <c r="E5913">
        <v>1</v>
      </c>
      <c r="F5913" t="s">
        <v>5970</v>
      </c>
    </row>
    <row r="5914" spans="1:6" x14ac:dyDescent="0.25">
      <c r="A5914" t="s">
        <v>5930</v>
      </c>
      <c r="B5914" t="s">
        <v>5505</v>
      </c>
      <c r="C5914" t="s">
        <v>5506</v>
      </c>
      <c r="D5914" t="str">
        <f>HYPERLINK("http://service.sap.com/sap/support/notes/1749602","1749602")</f>
        <v>1749602</v>
      </c>
      <c r="E5914">
        <v>1</v>
      </c>
      <c r="F5914" t="s">
        <v>5971</v>
      </c>
    </row>
    <row r="5915" spans="1:6" x14ac:dyDescent="0.25">
      <c r="A5915" t="s">
        <v>5930</v>
      </c>
      <c r="B5915" t="s">
        <v>5505</v>
      </c>
      <c r="C5915" t="s">
        <v>5506</v>
      </c>
      <c r="D5915" t="str">
        <f>HYPERLINK("http://service.sap.com/sap/support/notes/1751574","1751574")</f>
        <v>1751574</v>
      </c>
      <c r="E5915">
        <v>1</v>
      </c>
      <c r="F5915" t="s">
        <v>5972</v>
      </c>
    </row>
    <row r="5916" spans="1:6" x14ac:dyDescent="0.25">
      <c r="A5916" t="s">
        <v>5930</v>
      </c>
      <c r="B5916" t="s">
        <v>5505</v>
      </c>
      <c r="C5916" t="s">
        <v>5506</v>
      </c>
      <c r="D5916" t="str">
        <f>HYPERLINK("http://service.sap.com/sap/support/notes/1752982","1752982")</f>
        <v>1752982</v>
      </c>
      <c r="E5916">
        <v>1</v>
      </c>
      <c r="F5916" t="s">
        <v>5973</v>
      </c>
    </row>
    <row r="5917" spans="1:6" x14ac:dyDescent="0.25">
      <c r="A5917" t="s">
        <v>5930</v>
      </c>
      <c r="B5917" t="s">
        <v>5505</v>
      </c>
      <c r="C5917" t="s">
        <v>5506</v>
      </c>
      <c r="D5917" t="str">
        <f>HYPERLINK("http://service.sap.com/sap/support/notes/1753374","1753374")</f>
        <v>1753374</v>
      </c>
      <c r="E5917">
        <v>1</v>
      </c>
      <c r="F5917" t="s">
        <v>5974</v>
      </c>
    </row>
    <row r="5918" spans="1:6" x14ac:dyDescent="0.25">
      <c r="A5918" t="s">
        <v>5930</v>
      </c>
      <c r="B5918" t="s">
        <v>5505</v>
      </c>
      <c r="C5918" t="s">
        <v>5506</v>
      </c>
      <c r="D5918" t="str">
        <f>HYPERLINK("http://service.sap.com/sap/support/notes/1754090","1754090")</f>
        <v>1754090</v>
      </c>
      <c r="E5918">
        <v>1</v>
      </c>
      <c r="F5918" t="s">
        <v>5975</v>
      </c>
    </row>
    <row r="5919" spans="1:6" x14ac:dyDescent="0.25">
      <c r="A5919" t="s">
        <v>5930</v>
      </c>
      <c r="B5919" t="s">
        <v>5505</v>
      </c>
      <c r="C5919" t="s">
        <v>5506</v>
      </c>
      <c r="D5919" t="str">
        <f>HYPERLINK("http://service.sap.com/sap/support/notes/1754381","1754381")</f>
        <v>1754381</v>
      </c>
      <c r="E5919">
        <v>1</v>
      </c>
      <c r="F5919" t="s">
        <v>5976</v>
      </c>
    </row>
    <row r="5920" spans="1:6" x14ac:dyDescent="0.25">
      <c r="A5920" t="s">
        <v>5930</v>
      </c>
      <c r="B5920" t="s">
        <v>5505</v>
      </c>
      <c r="C5920" t="s">
        <v>5506</v>
      </c>
      <c r="D5920" t="str">
        <f>HYPERLINK("http://service.sap.com/sap/support/notes/1754520","1754520")</f>
        <v>1754520</v>
      </c>
      <c r="E5920">
        <v>1</v>
      </c>
      <c r="F5920" t="s">
        <v>5977</v>
      </c>
    </row>
    <row r="5921" spans="1:6" x14ac:dyDescent="0.25">
      <c r="A5921" t="s">
        <v>5930</v>
      </c>
      <c r="B5921" t="s">
        <v>5514</v>
      </c>
      <c r="C5921" t="s">
        <v>5515</v>
      </c>
      <c r="D5921" t="str">
        <f>HYPERLINK("http://service.sap.com/sap/support/notes/1742401","1742401")</f>
        <v>1742401</v>
      </c>
      <c r="E5921">
        <v>2</v>
      </c>
      <c r="F5921" t="s">
        <v>5978</v>
      </c>
    </row>
    <row r="5922" spans="1:6" x14ac:dyDescent="0.25">
      <c r="A5922" t="s">
        <v>5930</v>
      </c>
      <c r="B5922" t="s">
        <v>5514</v>
      </c>
      <c r="C5922" t="s">
        <v>5515</v>
      </c>
      <c r="D5922" t="str">
        <f>HYPERLINK("http://service.sap.com/sap/support/notes/1745954","1745954")</f>
        <v>1745954</v>
      </c>
      <c r="E5922">
        <v>2</v>
      </c>
      <c r="F5922" t="s">
        <v>5979</v>
      </c>
    </row>
    <row r="5923" spans="1:6" x14ac:dyDescent="0.25">
      <c r="A5923" t="s">
        <v>5930</v>
      </c>
      <c r="B5923" t="s">
        <v>5514</v>
      </c>
      <c r="C5923" t="s">
        <v>5515</v>
      </c>
      <c r="D5923" t="str">
        <f>HYPERLINK("http://service.sap.com/sap/support/notes/1753056","1753056")</f>
        <v>1753056</v>
      </c>
      <c r="E5923">
        <v>2</v>
      </c>
      <c r="F5923" t="s">
        <v>5980</v>
      </c>
    </row>
    <row r="5924" spans="1:6" x14ac:dyDescent="0.25">
      <c r="A5924" t="s">
        <v>5930</v>
      </c>
      <c r="B5924" t="s">
        <v>5524</v>
      </c>
      <c r="C5924" t="s">
        <v>5525</v>
      </c>
      <c r="D5924" t="str">
        <f>HYPERLINK("http://service.sap.com/sap/support/notes/1747322","1747322")</f>
        <v>1747322</v>
      </c>
      <c r="E5924">
        <v>1</v>
      </c>
      <c r="F5924" t="s">
        <v>5981</v>
      </c>
    </row>
    <row r="5925" spans="1:6" x14ac:dyDescent="0.25">
      <c r="A5925" t="s">
        <v>5930</v>
      </c>
      <c r="B5925" t="s">
        <v>5536</v>
      </c>
      <c r="C5925" t="s">
        <v>5537</v>
      </c>
      <c r="D5925" t="str">
        <f>HYPERLINK("http://service.sap.com/sap/support/notes/1723692","1723692")</f>
        <v>1723692</v>
      </c>
      <c r="E5925">
        <v>3</v>
      </c>
      <c r="F5925" t="s">
        <v>5982</v>
      </c>
    </row>
    <row r="5926" spans="1:6" x14ac:dyDescent="0.25">
      <c r="A5926" t="s">
        <v>5930</v>
      </c>
      <c r="B5926" t="s">
        <v>5539</v>
      </c>
      <c r="C5926" t="s">
        <v>5540</v>
      </c>
    </row>
    <row r="5927" spans="1:6" x14ac:dyDescent="0.25">
      <c r="A5927" t="s">
        <v>5930</v>
      </c>
      <c r="B5927" t="s">
        <v>5541</v>
      </c>
      <c r="C5927" t="s">
        <v>5542</v>
      </c>
      <c r="D5927" t="str">
        <f>HYPERLINK("http://service.sap.com/sap/support/notes/1735293","1735293")</f>
        <v>1735293</v>
      </c>
      <c r="E5927">
        <v>2</v>
      </c>
      <c r="F5927" t="s">
        <v>5983</v>
      </c>
    </row>
    <row r="5928" spans="1:6" x14ac:dyDescent="0.25">
      <c r="A5928" t="s">
        <v>5930</v>
      </c>
      <c r="B5928" t="s">
        <v>5541</v>
      </c>
      <c r="C5928" t="s">
        <v>5542</v>
      </c>
      <c r="D5928" t="str">
        <f>HYPERLINK("http://service.sap.com/sap/support/notes/1749510","1749510")</f>
        <v>1749510</v>
      </c>
      <c r="E5928">
        <v>1</v>
      </c>
      <c r="F5928" t="s">
        <v>5984</v>
      </c>
    </row>
    <row r="5929" spans="1:6" x14ac:dyDescent="0.25">
      <c r="A5929" t="s">
        <v>5930</v>
      </c>
      <c r="B5929" t="s">
        <v>5546</v>
      </c>
      <c r="C5929" t="s">
        <v>5547</v>
      </c>
      <c r="D5929" t="str">
        <f>HYPERLINK("http://service.sap.com/sap/support/notes/1722450","1722450")</f>
        <v>1722450</v>
      </c>
      <c r="E5929">
        <v>2</v>
      </c>
      <c r="F5929" t="s">
        <v>5985</v>
      </c>
    </row>
    <row r="5930" spans="1:6" x14ac:dyDescent="0.25">
      <c r="A5930" t="s">
        <v>5930</v>
      </c>
      <c r="B5930" t="s">
        <v>5546</v>
      </c>
      <c r="C5930" t="s">
        <v>5547</v>
      </c>
      <c r="D5930" t="str">
        <f>HYPERLINK("http://service.sap.com/sap/support/notes/1748245","1748245")</f>
        <v>1748245</v>
      </c>
      <c r="E5930">
        <v>1</v>
      </c>
      <c r="F5930" t="s">
        <v>5986</v>
      </c>
    </row>
    <row r="5931" spans="1:6" x14ac:dyDescent="0.25">
      <c r="A5931" t="s">
        <v>5930</v>
      </c>
      <c r="B5931" t="s">
        <v>5546</v>
      </c>
      <c r="C5931" t="s">
        <v>5547</v>
      </c>
      <c r="D5931" t="str">
        <f>HYPERLINK("http://service.sap.com/sap/support/notes/1749116","1749116")</f>
        <v>1749116</v>
      </c>
      <c r="E5931">
        <v>2</v>
      </c>
      <c r="F5931" t="s">
        <v>5987</v>
      </c>
    </row>
    <row r="5932" spans="1:6" x14ac:dyDescent="0.25">
      <c r="A5932" t="s">
        <v>5930</v>
      </c>
      <c r="B5932" t="s">
        <v>510</v>
      </c>
      <c r="C5932" t="s">
        <v>5562</v>
      </c>
      <c r="D5932" t="str">
        <f>HYPERLINK("http://service.sap.com/sap/support/notes/1739870","1739870")</f>
        <v>1739870</v>
      </c>
      <c r="E5932">
        <v>3</v>
      </c>
      <c r="F5932" t="s">
        <v>5988</v>
      </c>
    </row>
    <row r="5933" spans="1:6" x14ac:dyDescent="0.25">
      <c r="A5933" t="s">
        <v>5930</v>
      </c>
      <c r="B5933" t="s">
        <v>510</v>
      </c>
      <c r="C5933" t="s">
        <v>5562</v>
      </c>
      <c r="D5933" t="str">
        <f>HYPERLINK("http://service.sap.com/sap/support/notes/1739933","1739933")</f>
        <v>1739933</v>
      </c>
      <c r="E5933">
        <v>3</v>
      </c>
      <c r="F5933" t="s">
        <v>5989</v>
      </c>
    </row>
    <row r="5934" spans="1:6" x14ac:dyDescent="0.25">
      <c r="A5934" t="s">
        <v>5930</v>
      </c>
      <c r="B5934" t="s">
        <v>25</v>
      </c>
      <c r="C5934" t="s">
        <v>26</v>
      </c>
    </row>
    <row r="5935" spans="1:6" x14ac:dyDescent="0.25">
      <c r="A5935" t="s">
        <v>5930</v>
      </c>
      <c r="B5935" t="s">
        <v>519</v>
      </c>
      <c r="C5935" t="s">
        <v>132</v>
      </c>
      <c r="D5935" t="str">
        <f>HYPERLINK("http://service.sap.com/sap/support/notes/1726084","1726084")</f>
        <v>1726084</v>
      </c>
      <c r="E5935">
        <v>2</v>
      </c>
      <c r="F5935" t="s">
        <v>5990</v>
      </c>
    </row>
    <row r="5936" spans="1:6" x14ac:dyDescent="0.25">
      <c r="A5936" t="s">
        <v>5930</v>
      </c>
      <c r="B5936" t="s">
        <v>33</v>
      </c>
      <c r="C5936" t="s">
        <v>34</v>
      </c>
      <c r="D5936" t="str">
        <f>HYPERLINK("http://service.sap.com/sap/support/notes/1748093","1748093")</f>
        <v>1748093</v>
      </c>
      <c r="E5936">
        <v>1</v>
      </c>
      <c r="F5936" t="s">
        <v>5991</v>
      </c>
    </row>
    <row r="5937" spans="1:6" x14ac:dyDescent="0.25">
      <c r="A5937" t="s">
        <v>5930</v>
      </c>
      <c r="B5937" t="s">
        <v>40</v>
      </c>
      <c r="C5937" t="s">
        <v>41</v>
      </c>
      <c r="D5937" t="str">
        <f>HYPERLINK("http://service.sap.com/sap/support/notes/1749450","1749450")</f>
        <v>1749450</v>
      </c>
      <c r="E5937">
        <v>3</v>
      </c>
      <c r="F5937" t="s">
        <v>5992</v>
      </c>
    </row>
    <row r="5938" spans="1:6" x14ac:dyDescent="0.25">
      <c r="A5938" t="s">
        <v>5930</v>
      </c>
      <c r="B5938" t="s">
        <v>43</v>
      </c>
      <c r="C5938" t="s">
        <v>44</v>
      </c>
      <c r="D5938" t="str">
        <f>HYPERLINK("http://service.sap.com/sap/support/notes/1740043","1740043")</f>
        <v>1740043</v>
      </c>
      <c r="E5938">
        <v>3</v>
      </c>
      <c r="F5938" t="s">
        <v>5993</v>
      </c>
    </row>
    <row r="5939" spans="1:6" x14ac:dyDescent="0.25">
      <c r="A5939" t="s">
        <v>5930</v>
      </c>
      <c r="B5939" t="s">
        <v>1580</v>
      </c>
      <c r="C5939" t="s">
        <v>307</v>
      </c>
      <c r="D5939" t="str">
        <f>HYPERLINK("http://service.sap.com/sap/support/notes/1747725","1747725")</f>
        <v>1747725</v>
      </c>
      <c r="E5939">
        <v>2</v>
      </c>
      <c r="F5939" t="s">
        <v>5991</v>
      </c>
    </row>
    <row r="5940" spans="1:6" x14ac:dyDescent="0.25">
      <c r="A5940" t="s">
        <v>5930</v>
      </c>
      <c r="B5940" t="s">
        <v>681</v>
      </c>
      <c r="C5940" t="s">
        <v>320</v>
      </c>
      <c r="D5940" t="str">
        <f>HYPERLINK("http://service.sap.com/sap/support/notes/1667254","1667254")</f>
        <v>1667254</v>
      </c>
      <c r="E5940">
        <v>1</v>
      </c>
      <c r="F5940" t="s">
        <v>5994</v>
      </c>
    </row>
    <row r="5941" spans="1:6" x14ac:dyDescent="0.25">
      <c r="A5941" t="s">
        <v>5930</v>
      </c>
      <c r="B5941" t="s">
        <v>47</v>
      </c>
      <c r="C5941" t="s">
        <v>48</v>
      </c>
      <c r="D5941" t="str">
        <f>HYPERLINK("http://service.sap.com/sap/support/notes/1742662","1742662")</f>
        <v>1742662</v>
      </c>
      <c r="E5941">
        <v>1</v>
      </c>
      <c r="F5941" t="s">
        <v>5995</v>
      </c>
    </row>
    <row r="5942" spans="1:6" x14ac:dyDescent="0.25">
      <c r="A5942" t="s">
        <v>5930</v>
      </c>
      <c r="B5942" t="s">
        <v>47</v>
      </c>
      <c r="C5942" t="s">
        <v>48</v>
      </c>
      <c r="D5942" t="str">
        <f>HYPERLINK("http://service.sap.com/sap/support/notes/1746020","1746020")</f>
        <v>1746020</v>
      </c>
      <c r="E5942">
        <v>1</v>
      </c>
      <c r="F5942" t="s">
        <v>5996</v>
      </c>
    </row>
    <row r="5943" spans="1:6" x14ac:dyDescent="0.25">
      <c r="A5943" t="s">
        <v>5930</v>
      </c>
      <c r="B5943" t="s">
        <v>51</v>
      </c>
      <c r="C5943" t="s">
        <v>52</v>
      </c>
      <c r="D5943" t="str">
        <f>HYPERLINK("http://service.sap.com/sap/support/notes/1744885","1744885")</f>
        <v>1744885</v>
      </c>
      <c r="E5943">
        <v>2</v>
      </c>
      <c r="F5943" t="s">
        <v>5997</v>
      </c>
    </row>
    <row r="5944" spans="1:6" x14ac:dyDescent="0.25">
      <c r="A5944" t="s">
        <v>5930</v>
      </c>
      <c r="B5944" t="s">
        <v>525</v>
      </c>
      <c r="C5944" t="s">
        <v>351</v>
      </c>
      <c r="D5944" t="str">
        <f>HYPERLINK("http://service.sap.com/sap/support/notes/1750553","1750553")</f>
        <v>1750553</v>
      </c>
      <c r="E5944">
        <v>1</v>
      </c>
      <c r="F5944" t="s">
        <v>5998</v>
      </c>
    </row>
    <row r="5945" spans="1:6" x14ac:dyDescent="0.25">
      <c r="A5945" t="s">
        <v>5930</v>
      </c>
      <c r="B5945" t="s">
        <v>525</v>
      </c>
      <c r="C5945" t="s">
        <v>351</v>
      </c>
      <c r="D5945" t="str">
        <f>HYPERLINK("http://service.sap.com/sap/support/notes/1754516","1754516")</f>
        <v>1754516</v>
      </c>
      <c r="E5945">
        <v>1</v>
      </c>
      <c r="F5945" t="s">
        <v>5999</v>
      </c>
    </row>
    <row r="5946" spans="1:6" x14ac:dyDescent="0.25">
      <c r="A5946" t="s">
        <v>5930</v>
      </c>
      <c r="B5946" t="s">
        <v>54</v>
      </c>
      <c r="C5946" t="s">
        <v>55</v>
      </c>
      <c r="D5946" t="str">
        <f>HYPERLINK("http://service.sap.com/sap/support/notes/1749670","1749670")</f>
        <v>1749670</v>
      </c>
      <c r="E5946">
        <v>2</v>
      </c>
      <c r="F5946" t="s">
        <v>6000</v>
      </c>
    </row>
    <row r="5947" spans="1:6" x14ac:dyDescent="0.25">
      <c r="A5947" t="s">
        <v>5930</v>
      </c>
      <c r="B5947" t="s">
        <v>60</v>
      </c>
      <c r="C5947" t="s">
        <v>61</v>
      </c>
      <c r="D5947" t="str">
        <f>HYPERLINK("http://service.sap.com/sap/support/notes/1699757","1699757")</f>
        <v>1699757</v>
      </c>
      <c r="E5947">
        <v>2</v>
      </c>
      <c r="F5947" t="s">
        <v>62</v>
      </c>
    </row>
    <row r="5948" spans="1:6" x14ac:dyDescent="0.25">
      <c r="A5948" t="s">
        <v>5930</v>
      </c>
      <c r="B5948" t="s">
        <v>63</v>
      </c>
      <c r="C5948" t="s">
        <v>64</v>
      </c>
      <c r="D5948" t="str">
        <f>HYPERLINK("http://service.sap.com/sap/support/notes/1736358","1736358")</f>
        <v>1736358</v>
      </c>
      <c r="E5948">
        <v>5</v>
      </c>
      <c r="F5948" t="s">
        <v>6001</v>
      </c>
    </row>
    <row r="5949" spans="1:6" x14ac:dyDescent="0.25">
      <c r="A5949" t="s">
        <v>5930</v>
      </c>
      <c r="B5949" t="s">
        <v>63</v>
      </c>
      <c r="C5949" t="s">
        <v>64</v>
      </c>
      <c r="D5949" t="str">
        <f>HYPERLINK("http://service.sap.com/sap/support/notes/1742535","1742535")</f>
        <v>1742535</v>
      </c>
      <c r="E5949">
        <v>1</v>
      </c>
      <c r="F5949" t="s">
        <v>6002</v>
      </c>
    </row>
    <row r="5950" spans="1:6" x14ac:dyDescent="0.25">
      <c r="A5950" t="s">
        <v>5930</v>
      </c>
      <c r="B5950" t="s">
        <v>63</v>
      </c>
      <c r="C5950" t="s">
        <v>64</v>
      </c>
      <c r="D5950" t="str">
        <f>HYPERLINK("http://service.sap.com/sap/support/notes/1748567","1748567")</f>
        <v>1748567</v>
      </c>
      <c r="E5950">
        <v>2</v>
      </c>
      <c r="F5950" t="s">
        <v>6003</v>
      </c>
    </row>
    <row r="5951" spans="1:6" x14ac:dyDescent="0.25">
      <c r="A5951" t="s">
        <v>5930</v>
      </c>
      <c r="B5951" t="s">
        <v>63</v>
      </c>
      <c r="C5951" t="s">
        <v>64</v>
      </c>
      <c r="D5951" t="str">
        <f>HYPERLINK("http://service.sap.com/sap/support/notes/1749885","1749885")</f>
        <v>1749885</v>
      </c>
      <c r="E5951">
        <v>1</v>
      </c>
      <c r="F5951" t="s">
        <v>6004</v>
      </c>
    </row>
    <row r="5952" spans="1:6" x14ac:dyDescent="0.25">
      <c r="A5952" t="s">
        <v>5930</v>
      </c>
      <c r="B5952" t="s">
        <v>63</v>
      </c>
      <c r="C5952" t="s">
        <v>64</v>
      </c>
      <c r="D5952" t="str">
        <f>HYPERLINK("http://service.sap.com/sap/support/notes/1751480","1751480")</f>
        <v>1751480</v>
      </c>
      <c r="E5952">
        <v>1</v>
      </c>
      <c r="F5952" t="s">
        <v>6005</v>
      </c>
    </row>
    <row r="5953" spans="1:6" x14ac:dyDescent="0.25">
      <c r="A5953" t="s">
        <v>5930</v>
      </c>
      <c r="B5953" t="s">
        <v>6006</v>
      </c>
      <c r="C5953" t="s">
        <v>6007</v>
      </c>
      <c r="D5953" t="str">
        <f>HYPERLINK("http://service.sap.com/sap/support/notes/1666019","1666019")</f>
        <v>1666019</v>
      </c>
      <c r="E5953">
        <v>1</v>
      </c>
      <c r="F5953" t="s">
        <v>6008</v>
      </c>
    </row>
    <row r="5954" spans="1:6" x14ac:dyDescent="0.25">
      <c r="A5954" t="s">
        <v>5930</v>
      </c>
      <c r="B5954" t="s">
        <v>684</v>
      </c>
      <c r="C5954" t="s">
        <v>451</v>
      </c>
      <c r="D5954" t="str">
        <f>HYPERLINK("http://service.sap.com/sap/support/notes/1753802","1753802")</f>
        <v>1753802</v>
      </c>
      <c r="E5954">
        <v>1</v>
      </c>
      <c r="F5954" t="s">
        <v>5991</v>
      </c>
    </row>
    <row r="5955" spans="1:6" x14ac:dyDescent="0.25">
      <c r="A5955" t="s">
        <v>5930</v>
      </c>
      <c r="B5955" t="s">
        <v>531</v>
      </c>
      <c r="C5955" t="s">
        <v>532</v>
      </c>
      <c r="D5955" t="str">
        <f>HYPERLINK("http://service.sap.com/sap/support/notes/1715935","1715935")</f>
        <v>1715935</v>
      </c>
      <c r="E5955">
        <v>3</v>
      </c>
      <c r="F5955" t="s">
        <v>5590</v>
      </c>
    </row>
    <row r="5956" spans="1:6" x14ac:dyDescent="0.25">
      <c r="A5956" t="s">
        <v>5930</v>
      </c>
      <c r="B5956" t="s">
        <v>531</v>
      </c>
      <c r="C5956" t="s">
        <v>532</v>
      </c>
      <c r="D5956" t="str">
        <f>HYPERLINK("http://service.sap.com/sap/support/notes/1719577","1719577")</f>
        <v>1719577</v>
      </c>
      <c r="E5956">
        <v>1</v>
      </c>
      <c r="F5956" t="s">
        <v>5592</v>
      </c>
    </row>
    <row r="5957" spans="1:6" x14ac:dyDescent="0.25">
      <c r="A5957" t="s">
        <v>5930</v>
      </c>
      <c r="B5957" t="s">
        <v>531</v>
      </c>
      <c r="C5957" t="s">
        <v>532</v>
      </c>
      <c r="D5957" t="str">
        <f>HYPERLINK("http://service.sap.com/sap/support/notes/1731895","1731895")</f>
        <v>1731895</v>
      </c>
      <c r="E5957">
        <v>2</v>
      </c>
      <c r="F5957" t="s">
        <v>5843</v>
      </c>
    </row>
    <row r="5958" spans="1:6" x14ac:dyDescent="0.25">
      <c r="A5958" t="s">
        <v>5930</v>
      </c>
      <c r="B5958" t="s">
        <v>531</v>
      </c>
      <c r="C5958" t="s">
        <v>532</v>
      </c>
      <c r="D5958" t="str">
        <f>HYPERLINK("http://service.sap.com/sap/support/notes/1733786","1733786")</f>
        <v>1733786</v>
      </c>
      <c r="E5958">
        <v>1</v>
      </c>
      <c r="F5958" t="s">
        <v>6009</v>
      </c>
    </row>
    <row r="5959" spans="1:6" x14ac:dyDescent="0.25">
      <c r="A5959" t="s">
        <v>5930</v>
      </c>
      <c r="B5959" t="s">
        <v>531</v>
      </c>
      <c r="C5959" t="s">
        <v>532</v>
      </c>
      <c r="D5959" t="str">
        <f>HYPERLINK("http://service.sap.com/sap/support/notes/1738101","1738101")</f>
        <v>1738101</v>
      </c>
      <c r="E5959">
        <v>3</v>
      </c>
      <c r="F5959" t="s">
        <v>5846</v>
      </c>
    </row>
    <row r="5960" spans="1:6" x14ac:dyDescent="0.25">
      <c r="A5960" t="s">
        <v>5930</v>
      </c>
      <c r="B5960" t="s">
        <v>531</v>
      </c>
      <c r="C5960" t="s">
        <v>532</v>
      </c>
      <c r="D5960" t="str">
        <f>HYPERLINK("http://service.sap.com/sap/support/notes/1740925","1740925")</f>
        <v>1740925</v>
      </c>
      <c r="E5960">
        <v>1</v>
      </c>
      <c r="F5960" t="s">
        <v>6010</v>
      </c>
    </row>
    <row r="5961" spans="1:6" x14ac:dyDescent="0.25">
      <c r="A5961" t="s">
        <v>5930</v>
      </c>
      <c r="B5961" t="s">
        <v>531</v>
      </c>
      <c r="C5961" t="s">
        <v>532</v>
      </c>
      <c r="D5961" t="str">
        <f>HYPERLINK("http://service.sap.com/sap/support/notes/1741371","1741371")</f>
        <v>1741371</v>
      </c>
      <c r="E5961">
        <v>3</v>
      </c>
      <c r="F5961" t="s">
        <v>853</v>
      </c>
    </row>
    <row r="5962" spans="1:6" x14ac:dyDescent="0.25">
      <c r="A5962" t="s">
        <v>5930</v>
      </c>
      <c r="B5962" t="s">
        <v>531</v>
      </c>
      <c r="C5962" t="s">
        <v>532</v>
      </c>
      <c r="D5962" t="str">
        <f>HYPERLINK("http://service.sap.com/sap/support/notes/1741460","1741460")</f>
        <v>1741460</v>
      </c>
      <c r="E5962">
        <v>1</v>
      </c>
      <c r="F5962" t="s">
        <v>5841</v>
      </c>
    </row>
    <row r="5963" spans="1:6" x14ac:dyDescent="0.25">
      <c r="A5963" t="s">
        <v>5930</v>
      </c>
      <c r="B5963" t="s">
        <v>531</v>
      </c>
      <c r="C5963" t="s">
        <v>532</v>
      </c>
      <c r="D5963" t="str">
        <f>HYPERLINK("http://service.sap.com/sap/support/notes/1741925","1741925")</f>
        <v>1741925</v>
      </c>
      <c r="E5963">
        <v>1</v>
      </c>
      <c r="F5963" t="s">
        <v>6011</v>
      </c>
    </row>
    <row r="5964" spans="1:6" x14ac:dyDescent="0.25">
      <c r="A5964" t="s">
        <v>5930</v>
      </c>
      <c r="B5964" t="s">
        <v>531</v>
      </c>
      <c r="C5964" t="s">
        <v>532</v>
      </c>
      <c r="D5964" t="str">
        <f>HYPERLINK("http://service.sap.com/sap/support/notes/1746236","1746236")</f>
        <v>1746236</v>
      </c>
      <c r="E5964">
        <v>1</v>
      </c>
      <c r="F5964" t="s">
        <v>6012</v>
      </c>
    </row>
    <row r="5965" spans="1:6" x14ac:dyDescent="0.25">
      <c r="A5965" t="s">
        <v>5930</v>
      </c>
      <c r="B5965" t="s">
        <v>531</v>
      </c>
      <c r="C5965" t="s">
        <v>532</v>
      </c>
      <c r="D5965" t="str">
        <f>HYPERLINK("http://service.sap.com/sap/support/notes/1749966","1749966")</f>
        <v>1749966</v>
      </c>
      <c r="E5965">
        <v>1</v>
      </c>
      <c r="F5965" t="s">
        <v>6013</v>
      </c>
    </row>
    <row r="5966" spans="1:6" x14ac:dyDescent="0.25">
      <c r="A5966" t="s">
        <v>5930</v>
      </c>
      <c r="B5966" t="s">
        <v>531</v>
      </c>
      <c r="C5966" t="s">
        <v>532</v>
      </c>
      <c r="D5966" t="str">
        <f>HYPERLINK("http://service.sap.com/sap/support/notes/1750401","1750401")</f>
        <v>1750401</v>
      </c>
      <c r="E5966">
        <v>1</v>
      </c>
      <c r="F5966" t="s">
        <v>6014</v>
      </c>
    </row>
    <row r="5967" spans="1:6" x14ac:dyDescent="0.25">
      <c r="A5967" t="s">
        <v>5930</v>
      </c>
      <c r="B5967" t="s">
        <v>531</v>
      </c>
      <c r="C5967" t="s">
        <v>532</v>
      </c>
      <c r="D5967" t="str">
        <f>HYPERLINK("http://service.sap.com/sap/support/notes/1750886","1750886")</f>
        <v>1750886</v>
      </c>
      <c r="E5967">
        <v>1</v>
      </c>
      <c r="F5967" t="s">
        <v>6015</v>
      </c>
    </row>
    <row r="5968" spans="1:6" x14ac:dyDescent="0.25">
      <c r="A5968" t="s">
        <v>5930</v>
      </c>
      <c r="B5968" t="s">
        <v>531</v>
      </c>
      <c r="C5968" t="s">
        <v>532</v>
      </c>
      <c r="D5968" t="str">
        <f>HYPERLINK("http://service.sap.com/sap/support/notes/1750933","1750933")</f>
        <v>1750933</v>
      </c>
      <c r="E5968">
        <v>1</v>
      </c>
      <c r="F5968" t="s">
        <v>6016</v>
      </c>
    </row>
    <row r="5969" spans="1:6" x14ac:dyDescent="0.25">
      <c r="A5969" t="s">
        <v>5930</v>
      </c>
      <c r="B5969" t="s">
        <v>531</v>
      </c>
      <c r="C5969" t="s">
        <v>532</v>
      </c>
      <c r="D5969" t="str">
        <f>HYPERLINK("http://service.sap.com/sap/support/notes/1751266","1751266")</f>
        <v>1751266</v>
      </c>
      <c r="E5969">
        <v>1</v>
      </c>
      <c r="F5969" t="s">
        <v>6017</v>
      </c>
    </row>
    <row r="5970" spans="1:6" x14ac:dyDescent="0.25">
      <c r="A5970" t="s">
        <v>5930</v>
      </c>
      <c r="B5970" t="s">
        <v>6018</v>
      </c>
      <c r="C5970" t="s">
        <v>6019</v>
      </c>
      <c r="D5970" t="str">
        <f>HYPERLINK("http://service.sap.com/sap/support/notes/1748243","1748243")</f>
        <v>1748243</v>
      </c>
      <c r="E5970">
        <v>1</v>
      </c>
      <c r="F5970" t="s">
        <v>6020</v>
      </c>
    </row>
    <row r="5971" spans="1:6" x14ac:dyDescent="0.25">
      <c r="A5971" t="s">
        <v>5930</v>
      </c>
      <c r="B5971" t="s">
        <v>6018</v>
      </c>
      <c r="C5971" t="s">
        <v>6019</v>
      </c>
      <c r="D5971" t="str">
        <f>HYPERLINK("http://service.sap.com/sap/support/notes/1748660","1748660")</f>
        <v>1748660</v>
      </c>
      <c r="E5971">
        <v>1</v>
      </c>
      <c r="F5971" t="s">
        <v>6021</v>
      </c>
    </row>
    <row r="5972" spans="1:6" x14ac:dyDescent="0.25">
      <c r="A5972" t="s">
        <v>5930</v>
      </c>
      <c r="B5972" t="s">
        <v>6018</v>
      </c>
      <c r="C5972" t="s">
        <v>6019</v>
      </c>
      <c r="D5972" t="str">
        <f>HYPERLINK("http://service.sap.com/sap/support/notes/1748713","1748713")</f>
        <v>1748713</v>
      </c>
      <c r="E5972">
        <v>1</v>
      </c>
      <c r="F5972" t="s">
        <v>6022</v>
      </c>
    </row>
    <row r="5973" spans="1:6" x14ac:dyDescent="0.25">
      <c r="A5973" t="s">
        <v>5930</v>
      </c>
      <c r="B5973" t="s">
        <v>6018</v>
      </c>
      <c r="C5973" t="s">
        <v>6019</v>
      </c>
      <c r="D5973" t="str">
        <f>HYPERLINK("http://service.sap.com/sap/support/notes/1748902","1748902")</f>
        <v>1748902</v>
      </c>
      <c r="E5973">
        <v>1</v>
      </c>
      <c r="F5973" t="s">
        <v>6023</v>
      </c>
    </row>
    <row r="5974" spans="1:6" x14ac:dyDescent="0.25">
      <c r="A5974" t="s">
        <v>5930</v>
      </c>
      <c r="B5974" t="s">
        <v>6018</v>
      </c>
      <c r="C5974" t="s">
        <v>6019</v>
      </c>
      <c r="D5974" t="str">
        <f>HYPERLINK("http://service.sap.com/sap/support/notes/1749159","1749159")</f>
        <v>1749159</v>
      </c>
      <c r="E5974">
        <v>1</v>
      </c>
      <c r="F5974" t="s">
        <v>6024</v>
      </c>
    </row>
    <row r="5975" spans="1:6" x14ac:dyDescent="0.25">
      <c r="A5975" t="s">
        <v>5930</v>
      </c>
      <c r="B5975" t="s">
        <v>6018</v>
      </c>
      <c r="C5975" t="s">
        <v>6019</v>
      </c>
      <c r="D5975" t="str">
        <f>HYPERLINK("http://service.sap.com/sap/support/notes/1749161","1749161")</f>
        <v>1749161</v>
      </c>
      <c r="E5975">
        <v>1</v>
      </c>
      <c r="F5975" t="s">
        <v>6025</v>
      </c>
    </row>
    <row r="5976" spans="1:6" x14ac:dyDescent="0.25">
      <c r="A5976" t="s">
        <v>5930</v>
      </c>
      <c r="B5976" t="s">
        <v>6018</v>
      </c>
      <c r="C5976" t="s">
        <v>6019</v>
      </c>
      <c r="D5976" t="str">
        <f>HYPERLINK("http://service.sap.com/sap/support/notes/1749221","1749221")</f>
        <v>1749221</v>
      </c>
      <c r="E5976">
        <v>1</v>
      </c>
      <c r="F5976" t="s">
        <v>6026</v>
      </c>
    </row>
    <row r="5977" spans="1:6" x14ac:dyDescent="0.25">
      <c r="A5977" t="s">
        <v>5930</v>
      </c>
      <c r="B5977" t="s">
        <v>6018</v>
      </c>
      <c r="C5977" t="s">
        <v>6019</v>
      </c>
      <c r="D5977" t="str">
        <f>HYPERLINK("http://service.sap.com/sap/support/notes/1749964","1749964")</f>
        <v>1749964</v>
      </c>
      <c r="E5977">
        <v>1</v>
      </c>
      <c r="F5977" t="s">
        <v>6027</v>
      </c>
    </row>
    <row r="5978" spans="1:6" x14ac:dyDescent="0.25">
      <c r="A5978" t="s">
        <v>5930</v>
      </c>
      <c r="B5978" t="s">
        <v>6018</v>
      </c>
      <c r="C5978" t="s">
        <v>6019</v>
      </c>
      <c r="D5978" t="str">
        <f>HYPERLINK("http://service.sap.com/sap/support/notes/1751587","1751587")</f>
        <v>1751587</v>
      </c>
      <c r="E5978">
        <v>1</v>
      </c>
      <c r="F5978" t="s">
        <v>6028</v>
      </c>
    </row>
    <row r="5979" spans="1:6" x14ac:dyDescent="0.25">
      <c r="A5979" t="s">
        <v>5930</v>
      </c>
      <c r="B5979" t="s">
        <v>6018</v>
      </c>
      <c r="C5979" t="s">
        <v>6019</v>
      </c>
      <c r="D5979" t="str">
        <f>HYPERLINK("http://service.sap.com/sap/support/notes/1755025","1755025")</f>
        <v>1755025</v>
      </c>
      <c r="E5979">
        <v>1</v>
      </c>
      <c r="F5979" t="s">
        <v>6029</v>
      </c>
    </row>
    <row r="5980" spans="1:6" x14ac:dyDescent="0.25">
      <c r="A5980" t="s">
        <v>5930</v>
      </c>
      <c r="B5980" t="s">
        <v>536</v>
      </c>
      <c r="C5980" t="s">
        <v>537</v>
      </c>
    </row>
    <row r="5981" spans="1:6" x14ac:dyDescent="0.25">
      <c r="A5981" t="s">
        <v>5930</v>
      </c>
      <c r="B5981" t="s">
        <v>5594</v>
      </c>
      <c r="C5981" t="s">
        <v>5595</v>
      </c>
      <c r="D5981" t="str">
        <f>HYPERLINK("http://service.sap.com/sap/support/notes/1647394","1647394")</f>
        <v>1647394</v>
      </c>
      <c r="E5981">
        <v>2</v>
      </c>
      <c r="F5981" t="s">
        <v>6030</v>
      </c>
    </row>
    <row r="5982" spans="1:6" x14ac:dyDescent="0.25">
      <c r="A5982" t="s">
        <v>5930</v>
      </c>
      <c r="B5982" t="s">
        <v>5594</v>
      </c>
      <c r="C5982" t="s">
        <v>5595</v>
      </c>
      <c r="D5982" t="str">
        <f>HYPERLINK("http://service.sap.com/sap/support/notes/1736981","1736981")</f>
        <v>1736981</v>
      </c>
      <c r="E5982">
        <v>5</v>
      </c>
      <c r="F5982" t="s">
        <v>6031</v>
      </c>
    </row>
    <row r="5983" spans="1:6" x14ac:dyDescent="0.25">
      <c r="A5983" t="s">
        <v>5930</v>
      </c>
      <c r="B5983" t="s">
        <v>5594</v>
      </c>
      <c r="C5983" t="s">
        <v>5595</v>
      </c>
      <c r="D5983" t="str">
        <f>HYPERLINK("http://service.sap.com/sap/support/notes/1743416","1743416")</f>
        <v>1743416</v>
      </c>
      <c r="E5983">
        <v>5</v>
      </c>
      <c r="F5983" t="s">
        <v>6032</v>
      </c>
    </row>
    <row r="5984" spans="1:6" x14ac:dyDescent="0.25">
      <c r="A5984" t="s">
        <v>5930</v>
      </c>
      <c r="B5984" t="s">
        <v>5594</v>
      </c>
      <c r="C5984" t="s">
        <v>5595</v>
      </c>
      <c r="D5984" t="str">
        <f>HYPERLINK("http://service.sap.com/sap/support/notes/1748691","1748691")</f>
        <v>1748691</v>
      </c>
      <c r="E5984">
        <v>3</v>
      </c>
      <c r="F5984" t="s">
        <v>6033</v>
      </c>
    </row>
    <row r="5985" spans="1:6" x14ac:dyDescent="0.25">
      <c r="A5985" t="s">
        <v>5930</v>
      </c>
      <c r="B5985" t="s">
        <v>5594</v>
      </c>
      <c r="C5985" t="s">
        <v>5595</v>
      </c>
      <c r="D5985" t="str">
        <f>HYPERLINK("http://service.sap.com/sap/support/notes/1749394","1749394")</f>
        <v>1749394</v>
      </c>
      <c r="E5985">
        <v>3</v>
      </c>
      <c r="F5985" t="s">
        <v>6034</v>
      </c>
    </row>
    <row r="5986" spans="1:6" x14ac:dyDescent="0.25">
      <c r="A5986" t="s">
        <v>5930</v>
      </c>
      <c r="B5986" t="s">
        <v>5594</v>
      </c>
      <c r="C5986" t="s">
        <v>5595</v>
      </c>
      <c r="D5986" t="str">
        <f>HYPERLINK("http://service.sap.com/sap/support/notes/1751346","1751346")</f>
        <v>1751346</v>
      </c>
      <c r="E5986">
        <v>2</v>
      </c>
      <c r="F5986" t="s">
        <v>6035</v>
      </c>
    </row>
    <row r="5987" spans="1:6" x14ac:dyDescent="0.25">
      <c r="A5987" t="s">
        <v>5930</v>
      </c>
      <c r="B5987" t="s">
        <v>5594</v>
      </c>
      <c r="C5987" t="s">
        <v>5595</v>
      </c>
      <c r="D5987" t="str">
        <f>HYPERLINK("http://service.sap.com/sap/support/notes/1752611","1752611")</f>
        <v>1752611</v>
      </c>
      <c r="E5987">
        <v>2</v>
      </c>
      <c r="F5987" t="s">
        <v>6036</v>
      </c>
    </row>
    <row r="5988" spans="1:6" x14ac:dyDescent="0.25">
      <c r="A5988" t="s">
        <v>5930</v>
      </c>
      <c r="B5988" t="s">
        <v>5594</v>
      </c>
      <c r="C5988" t="s">
        <v>5595</v>
      </c>
      <c r="D5988" t="str">
        <f>HYPERLINK("http://service.sap.com/sap/support/notes/1754508","1754508")</f>
        <v>1754508</v>
      </c>
      <c r="E5988">
        <v>1</v>
      </c>
      <c r="F5988" t="s">
        <v>6037</v>
      </c>
    </row>
    <row r="5989" spans="1:6" x14ac:dyDescent="0.25">
      <c r="A5989" t="s">
        <v>5930</v>
      </c>
      <c r="B5989" t="s">
        <v>540</v>
      </c>
      <c r="C5989" t="s">
        <v>541</v>
      </c>
    </row>
    <row r="5990" spans="1:6" x14ac:dyDescent="0.25">
      <c r="A5990" t="s">
        <v>5930</v>
      </c>
      <c r="B5990" t="s">
        <v>542</v>
      </c>
      <c r="C5990" t="s">
        <v>5604</v>
      </c>
      <c r="D5990" t="str">
        <f>HYPERLINK("http://service.sap.com/sap/support/notes/1634192","1634192")</f>
        <v>1634192</v>
      </c>
      <c r="E5990">
        <v>3</v>
      </c>
      <c r="F5990" t="s">
        <v>6038</v>
      </c>
    </row>
    <row r="5991" spans="1:6" x14ac:dyDescent="0.25">
      <c r="A5991" t="s">
        <v>5930</v>
      </c>
      <c r="B5991" t="s">
        <v>542</v>
      </c>
      <c r="C5991" t="s">
        <v>5604</v>
      </c>
      <c r="D5991" t="str">
        <f>HYPERLINK("http://service.sap.com/sap/support/notes/1733278","1733278")</f>
        <v>1733278</v>
      </c>
      <c r="E5991">
        <v>8</v>
      </c>
      <c r="F5991" t="s">
        <v>6039</v>
      </c>
    </row>
    <row r="5992" spans="1:6" x14ac:dyDescent="0.25">
      <c r="A5992" t="s">
        <v>5930</v>
      </c>
      <c r="B5992" t="s">
        <v>544</v>
      </c>
      <c r="C5992" t="s">
        <v>5610</v>
      </c>
      <c r="D5992" t="str">
        <f>HYPERLINK("http://service.sap.com/sap/support/notes/1710514","1710514")</f>
        <v>1710514</v>
      </c>
      <c r="E5992">
        <v>10</v>
      </c>
      <c r="F5992" t="s">
        <v>5859</v>
      </c>
    </row>
    <row r="5993" spans="1:6" x14ac:dyDescent="0.25">
      <c r="A5993" t="s">
        <v>5930</v>
      </c>
      <c r="B5993" t="s">
        <v>544</v>
      </c>
      <c r="C5993" t="s">
        <v>5610</v>
      </c>
      <c r="D5993" t="str">
        <f>HYPERLINK("http://service.sap.com/sap/support/notes/1727428","1727428")</f>
        <v>1727428</v>
      </c>
      <c r="E5993">
        <v>9</v>
      </c>
      <c r="F5993" t="s">
        <v>5860</v>
      </c>
    </row>
    <row r="5994" spans="1:6" x14ac:dyDescent="0.25">
      <c r="A5994" t="s">
        <v>5930</v>
      </c>
      <c r="B5994" t="s">
        <v>544</v>
      </c>
      <c r="C5994" t="s">
        <v>5610</v>
      </c>
      <c r="D5994" t="str">
        <f>HYPERLINK("http://service.sap.com/sap/support/notes/1729749","1729749")</f>
        <v>1729749</v>
      </c>
      <c r="E5994">
        <v>17</v>
      </c>
      <c r="F5994" t="s">
        <v>6040</v>
      </c>
    </row>
    <row r="5995" spans="1:6" x14ac:dyDescent="0.25">
      <c r="A5995" t="s">
        <v>5930</v>
      </c>
      <c r="B5995" t="s">
        <v>544</v>
      </c>
      <c r="C5995" t="s">
        <v>5610</v>
      </c>
      <c r="D5995" t="str">
        <f>HYPERLINK("http://service.sap.com/sap/support/notes/1733570","1733570")</f>
        <v>1733570</v>
      </c>
      <c r="E5995">
        <v>3</v>
      </c>
      <c r="F5995" t="s">
        <v>6041</v>
      </c>
    </row>
    <row r="5996" spans="1:6" x14ac:dyDescent="0.25">
      <c r="A5996" t="s">
        <v>5930</v>
      </c>
      <c r="B5996" t="s">
        <v>544</v>
      </c>
      <c r="C5996" t="s">
        <v>5610</v>
      </c>
      <c r="D5996" t="str">
        <f>HYPERLINK("http://service.sap.com/sap/support/notes/1736946","1736946")</f>
        <v>1736946</v>
      </c>
      <c r="E5996">
        <v>3</v>
      </c>
      <c r="F5996" t="s">
        <v>6042</v>
      </c>
    </row>
    <row r="5997" spans="1:6" x14ac:dyDescent="0.25">
      <c r="A5997" t="s">
        <v>5930</v>
      </c>
      <c r="B5997" t="s">
        <v>544</v>
      </c>
      <c r="C5997" t="s">
        <v>5610</v>
      </c>
      <c r="D5997" t="str">
        <f>HYPERLINK("http://service.sap.com/sap/support/notes/1742522","1742522")</f>
        <v>1742522</v>
      </c>
      <c r="E5997">
        <v>2</v>
      </c>
      <c r="F5997" t="s">
        <v>6043</v>
      </c>
    </row>
    <row r="5998" spans="1:6" x14ac:dyDescent="0.25">
      <c r="A5998" t="s">
        <v>5930</v>
      </c>
      <c r="B5998" t="s">
        <v>544</v>
      </c>
      <c r="C5998" t="s">
        <v>5610</v>
      </c>
      <c r="D5998" t="str">
        <f>HYPERLINK("http://service.sap.com/sap/support/notes/1751446","1751446")</f>
        <v>1751446</v>
      </c>
      <c r="E5998">
        <v>1</v>
      </c>
      <c r="F5998" t="s">
        <v>6044</v>
      </c>
    </row>
    <row r="5999" spans="1:6" x14ac:dyDescent="0.25">
      <c r="A5999" t="s">
        <v>5930</v>
      </c>
      <c r="B5999" t="s">
        <v>5615</v>
      </c>
      <c r="C5999" t="s">
        <v>5616</v>
      </c>
      <c r="D5999" t="str">
        <f>HYPERLINK("http://service.sap.com/sap/support/notes/1647330","1647330")</f>
        <v>1647330</v>
      </c>
      <c r="E5999">
        <v>2</v>
      </c>
      <c r="F5999" t="s">
        <v>6045</v>
      </c>
    </row>
    <row r="6000" spans="1:6" x14ac:dyDescent="0.25">
      <c r="A6000" t="s">
        <v>5930</v>
      </c>
      <c r="B6000" t="s">
        <v>5615</v>
      </c>
      <c r="C6000" t="s">
        <v>5616</v>
      </c>
      <c r="D6000" t="str">
        <f>HYPERLINK("http://service.sap.com/sap/support/notes/1736663","1736663")</f>
        <v>1736663</v>
      </c>
      <c r="E6000">
        <v>2</v>
      </c>
      <c r="F6000" t="s">
        <v>6046</v>
      </c>
    </row>
    <row r="6001" spans="1:6" x14ac:dyDescent="0.25">
      <c r="A6001" t="s">
        <v>5930</v>
      </c>
      <c r="B6001" t="s">
        <v>5615</v>
      </c>
      <c r="C6001" t="s">
        <v>5616</v>
      </c>
      <c r="D6001" t="str">
        <f>HYPERLINK("http://service.sap.com/sap/support/notes/1737091","1737091")</f>
        <v>1737091</v>
      </c>
      <c r="E6001">
        <v>1</v>
      </c>
      <c r="F6001" t="s">
        <v>6047</v>
      </c>
    </row>
    <row r="6002" spans="1:6" x14ac:dyDescent="0.25">
      <c r="A6002" t="s">
        <v>5930</v>
      </c>
      <c r="B6002" t="s">
        <v>5615</v>
      </c>
      <c r="C6002" t="s">
        <v>5616</v>
      </c>
      <c r="D6002" t="str">
        <f>HYPERLINK("http://service.sap.com/sap/support/notes/1738813","1738813")</f>
        <v>1738813</v>
      </c>
      <c r="E6002">
        <v>2</v>
      </c>
      <c r="F6002" t="s">
        <v>6048</v>
      </c>
    </row>
    <row r="6003" spans="1:6" x14ac:dyDescent="0.25">
      <c r="A6003" t="s">
        <v>5930</v>
      </c>
      <c r="B6003" t="s">
        <v>5615</v>
      </c>
      <c r="C6003" t="s">
        <v>5616</v>
      </c>
      <c r="D6003" t="str">
        <f>HYPERLINK("http://service.sap.com/sap/support/notes/1739035","1739035")</f>
        <v>1739035</v>
      </c>
      <c r="E6003">
        <v>1</v>
      </c>
      <c r="F6003" t="s">
        <v>6049</v>
      </c>
    </row>
    <row r="6004" spans="1:6" x14ac:dyDescent="0.25">
      <c r="A6004" t="s">
        <v>5930</v>
      </c>
      <c r="B6004" t="s">
        <v>5615</v>
      </c>
      <c r="C6004" t="s">
        <v>5616</v>
      </c>
      <c r="D6004" t="str">
        <f>HYPERLINK("http://service.sap.com/sap/support/notes/1744206","1744206")</f>
        <v>1744206</v>
      </c>
      <c r="E6004">
        <v>1</v>
      </c>
      <c r="F6004" t="s">
        <v>6050</v>
      </c>
    </row>
    <row r="6005" spans="1:6" x14ac:dyDescent="0.25">
      <c r="A6005" t="s">
        <v>5930</v>
      </c>
      <c r="B6005" t="s">
        <v>5615</v>
      </c>
      <c r="C6005" t="s">
        <v>5616</v>
      </c>
      <c r="D6005" t="str">
        <f>HYPERLINK("http://service.sap.com/sap/support/notes/1746803","1746803")</f>
        <v>1746803</v>
      </c>
      <c r="E6005">
        <v>1</v>
      </c>
      <c r="F6005" t="s">
        <v>6051</v>
      </c>
    </row>
    <row r="6006" spans="1:6" x14ac:dyDescent="0.25">
      <c r="A6006" t="s">
        <v>5930</v>
      </c>
      <c r="B6006" t="s">
        <v>5615</v>
      </c>
      <c r="C6006" t="s">
        <v>5616</v>
      </c>
      <c r="D6006" t="str">
        <f>HYPERLINK("http://service.sap.com/sap/support/notes/1748907","1748907")</f>
        <v>1748907</v>
      </c>
      <c r="E6006">
        <v>3</v>
      </c>
      <c r="F6006" t="s">
        <v>6052</v>
      </c>
    </row>
    <row r="6007" spans="1:6" x14ac:dyDescent="0.25">
      <c r="A6007" t="s">
        <v>5930</v>
      </c>
      <c r="B6007" t="s">
        <v>5615</v>
      </c>
      <c r="C6007" t="s">
        <v>5616</v>
      </c>
      <c r="D6007" t="str">
        <f>HYPERLINK("http://service.sap.com/sap/support/notes/1753396","1753396")</f>
        <v>1753396</v>
      </c>
      <c r="E6007">
        <v>1</v>
      </c>
      <c r="F6007" t="s">
        <v>6053</v>
      </c>
    </row>
    <row r="6008" spans="1:6" x14ac:dyDescent="0.25">
      <c r="A6008" t="s">
        <v>5930</v>
      </c>
      <c r="B6008" t="s">
        <v>5615</v>
      </c>
      <c r="C6008" t="s">
        <v>5616</v>
      </c>
      <c r="D6008" t="str">
        <f>HYPERLINK("http://service.sap.com/sap/support/notes/1754504","1754504")</f>
        <v>1754504</v>
      </c>
      <c r="E6008">
        <v>1</v>
      </c>
      <c r="F6008" t="s">
        <v>6054</v>
      </c>
    </row>
    <row r="6009" spans="1:6" x14ac:dyDescent="0.25">
      <c r="A6009" t="s">
        <v>5930</v>
      </c>
      <c r="B6009" t="s">
        <v>85</v>
      </c>
      <c r="C6009" t="s">
        <v>86</v>
      </c>
    </row>
    <row r="6010" spans="1:6" x14ac:dyDescent="0.25">
      <c r="A6010" t="s">
        <v>5930</v>
      </c>
      <c r="B6010" t="s">
        <v>644</v>
      </c>
      <c r="C6010" t="s">
        <v>645</v>
      </c>
    </row>
    <row r="6011" spans="1:6" x14ac:dyDescent="0.25">
      <c r="A6011" t="s">
        <v>5930</v>
      </c>
      <c r="B6011" t="s">
        <v>682</v>
      </c>
      <c r="C6011" t="s">
        <v>683</v>
      </c>
      <c r="D6011" t="str">
        <f>HYPERLINK("http://service.sap.com/sap/support/notes/1721504","1721504")</f>
        <v>1721504</v>
      </c>
      <c r="E6011">
        <v>1</v>
      </c>
      <c r="F6011" t="s">
        <v>6055</v>
      </c>
    </row>
    <row r="6012" spans="1:6" x14ac:dyDescent="0.25">
      <c r="A6012" t="s">
        <v>5930</v>
      </c>
      <c r="B6012" t="s">
        <v>696</v>
      </c>
      <c r="C6012" t="s">
        <v>697</v>
      </c>
    </row>
    <row r="6013" spans="1:6" x14ac:dyDescent="0.25">
      <c r="A6013" t="s">
        <v>5930</v>
      </c>
      <c r="B6013" t="s">
        <v>6056</v>
      </c>
      <c r="C6013" t="s">
        <v>6057</v>
      </c>
      <c r="D6013" t="str">
        <f>HYPERLINK("http://service.sap.com/sap/support/notes/1706702","1706702")</f>
        <v>1706702</v>
      </c>
      <c r="E6013">
        <v>2</v>
      </c>
      <c r="F6013" t="s">
        <v>6058</v>
      </c>
    </row>
    <row r="6014" spans="1:6" x14ac:dyDescent="0.25">
      <c r="A6014" t="s">
        <v>5930</v>
      </c>
      <c r="B6014" t="s">
        <v>3380</v>
      </c>
      <c r="C6014" t="s">
        <v>3381</v>
      </c>
      <c r="D6014" t="str">
        <f>HYPERLINK("http://service.sap.com/sap/support/notes/1734049","1734049")</f>
        <v>1734049</v>
      </c>
      <c r="E6014">
        <v>1</v>
      </c>
      <c r="F6014" t="s">
        <v>6059</v>
      </c>
    </row>
    <row r="6015" spans="1:6" x14ac:dyDescent="0.25">
      <c r="A6015" t="s">
        <v>5930</v>
      </c>
      <c r="B6015" t="s">
        <v>3380</v>
      </c>
      <c r="C6015" t="s">
        <v>3381</v>
      </c>
      <c r="D6015" t="str">
        <f>HYPERLINK("http://service.sap.com/sap/support/notes/1735295","1735295")</f>
        <v>1735295</v>
      </c>
      <c r="E6015">
        <v>1</v>
      </c>
      <c r="F6015" t="s">
        <v>6060</v>
      </c>
    </row>
    <row r="6016" spans="1:6" x14ac:dyDescent="0.25">
      <c r="A6016" t="s">
        <v>5930</v>
      </c>
      <c r="B6016" t="s">
        <v>3380</v>
      </c>
      <c r="C6016" t="s">
        <v>3381</v>
      </c>
      <c r="D6016" t="str">
        <f>HYPERLINK("http://service.sap.com/sap/support/notes/1741130","1741130")</f>
        <v>1741130</v>
      </c>
      <c r="E6016">
        <v>1</v>
      </c>
      <c r="F6016" t="s">
        <v>6061</v>
      </c>
    </row>
    <row r="6017" spans="1:6" x14ac:dyDescent="0.25">
      <c r="A6017" t="s">
        <v>5930</v>
      </c>
      <c r="B6017" t="s">
        <v>3380</v>
      </c>
      <c r="C6017" t="s">
        <v>3381</v>
      </c>
      <c r="D6017" t="str">
        <f>HYPERLINK("http://service.sap.com/sap/support/notes/1744923","1744923")</f>
        <v>1744923</v>
      </c>
      <c r="E6017">
        <v>1</v>
      </c>
      <c r="F6017" t="s">
        <v>6062</v>
      </c>
    </row>
    <row r="6018" spans="1:6" x14ac:dyDescent="0.25">
      <c r="A6018" t="s">
        <v>5930</v>
      </c>
      <c r="B6018" t="s">
        <v>3380</v>
      </c>
      <c r="C6018" t="s">
        <v>3381</v>
      </c>
      <c r="D6018" t="str">
        <f>HYPERLINK("http://service.sap.com/sap/support/notes/1748166","1748166")</f>
        <v>1748166</v>
      </c>
      <c r="E6018">
        <v>2</v>
      </c>
      <c r="F6018" t="s">
        <v>6063</v>
      </c>
    </row>
    <row r="6019" spans="1:6" x14ac:dyDescent="0.25">
      <c r="A6019" t="s">
        <v>5930</v>
      </c>
      <c r="B6019" t="s">
        <v>3380</v>
      </c>
      <c r="C6019" t="s">
        <v>3381</v>
      </c>
      <c r="D6019" t="str">
        <f>HYPERLINK("http://service.sap.com/sap/support/notes/1750124","1750124")</f>
        <v>1750124</v>
      </c>
      <c r="E6019">
        <v>1</v>
      </c>
      <c r="F6019" t="s">
        <v>6064</v>
      </c>
    </row>
    <row r="6020" spans="1:6" x14ac:dyDescent="0.25">
      <c r="A6020" t="s">
        <v>5930</v>
      </c>
      <c r="B6020" t="s">
        <v>698</v>
      </c>
      <c r="C6020" t="s">
        <v>699</v>
      </c>
      <c r="D6020" t="str">
        <f>HYPERLINK("http://service.sap.com/sap/support/notes/1522710","1522710")</f>
        <v>1522710</v>
      </c>
      <c r="E6020">
        <v>2</v>
      </c>
      <c r="F6020" t="s">
        <v>6065</v>
      </c>
    </row>
    <row r="6021" spans="1:6" x14ac:dyDescent="0.25">
      <c r="A6021" t="s">
        <v>5930</v>
      </c>
      <c r="B6021" t="s">
        <v>698</v>
      </c>
      <c r="C6021" t="s">
        <v>699</v>
      </c>
      <c r="D6021" t="str">
        <f>HYPERLINK("http://service.sap.com/sap/support/notes/1665711","1665711")</f>
        <v>1665711</v>
      </c>
      <c r="E6021">
        <v>2</v>
      </c>
      <c r="F6021" t="s">
        <v>6066</v>
      </c>
    </row>
    <row r="6022" spans="1:6" x14ac:dyDescent="0.25">
      <c r="A6022" t="s">
        <v>5930</v>
      </c>
      <c r="B6022" t="s">
        <v>698</v>
      </c>
      <c r="C6022" t="s">
        <v>699</v>
      </c>
      <c r="D6022" t="str">
        <f>HYPERLINK("http://service.sap.com/sap/support/notes/1718301","1718301")</f>
        <v>1718301</v>
      </c>
      <c r="E6022">
        <v>1</v>
      </c>
      <c r="F6022" t="s">
        <v>6067</v>
      </c>
    </row>
    <row r="6023" spans="1:6" x14ac:dyDescent="0.25">
      <c r="A6023" t="s">
        <v>5930</v>
      </c>
      <c r="B6023" t="s">
        <v>698</v>
      </c>
      <c r="C6023" t="s">
        <v>699</v>
      </c>
      <c r="D6023" t="str">
        <f>HYPERLINK("http://service.sap.com/sap/support/notes/1719006","1719006")</f>
        <v>1719006</v>
      </c>
      <c r="E6023">
        <v>2</v>
      </c>
      <c r="F6023" t="s">
        <v>6068</v>
      </c>
    </row>
    <row r="6024" spans="1:6" x14ac:dyDescent="0.25">
      <c r="A6024" t="s">
        <v>5930</v>
      </c>
      <c r="B6024" t="s">
        <v>698</v>
      </c>
      <c r="C6024" t="s">
        <v>699</v>
      </c>
      <c r="D6024" t="str">
        <f>HYPERLINK("http://service.sap.com/sap/support/notes/1720137","1720137")</f>
        <v>1720137</v>
      </c>
      <c r="E6024">
        <v>1</v>
      </c>
      <c r="F6024" t="s">
        <v>6069</v>
      </c>
    </row>
    <row r="6025" spans="1:6" x14ac:dyDescent="0.25">
      <c r="A6025" t="s">
        <v>5930</v>
      </c>
      <c r="B6025" t="s">
        <v>698</v>
      </c>
      <c r="C6025" t="s">
        <v>699</v>
      </c>
      <c r="D6025" t="str">
        <f>HYPERLINK("http://service.sap.com/sap/support/notes/1720298","1720298")</f>
        <v>1720298</v>
      </c>
      <c r="E6025">
        <v>2</v>
      </c>
      <c r="F6025" t="s">
        <v>6070</v>
      </c>
    </row>
    <row r="6026" spans="1:6" x14ac:dyDescent="0.25">
      <c r="A6026" t="s">
        <v>5930</v>
      </c>
      <c r="B6026" t="s">
        <v>698</v>
      </c>
      <c r="C6026" t="s">
        <v>699</v>
      </c>
      <c r="D6026" t="str">
        <f>HYPERLINK("http://service.sap.com/sap/support/notes/1723608","1723608")</f>
        <v>1723608</v>
      </c>
      <c r="E6026">
        <v>1</v>
      </c>
      <c r="F6026" t="s">
        <v>6071</v>
      </c>
    </row>
    <row r="6027" spans="1:6" x14ac:dyDescent="0.25">
      <c r="A6027" t="s">
        <v>5930</v>
      </c>
      <c r="B6027" t="s">
        <v>698</v>
      </c>
      <c r="C6027" t="s">
        <v>699</v>
      </c>
      <c r="D6027" t="str">
        <f>HYPERLINK("http://service.sap.com/sap/support/notes/1723887","1723887")</f>
        <v>1723887</v>
      </c>
      <c r="E6027">
        <v>1</v>
      </c>
      <c r="F6027" t="s">
        <v>6072</v>
      </c>
    </row>
    <row r="6028" spans="1:6" x14ac:dyDescent="0.25">
      <c r="A6028" t="s">
        <v>5930</v>
      </c>
      <c r="B6028" t="s">
        <v>698</v>
      </c>
      <c r="C6028" t="s">
        <v>699</v>
      </c>
      <c r="D6028" t="str">
        <f>HYPERLINK("http://service.sap.com/sap/support/notes/1724971","1724971")</f>
        <v>1724971</v>
      </c>
      <c r="E6028">
        <v>1</v>
      </c>
      <c r="F6028" t="s">
        <v>6073</v>
      </c>
    </row>
    <row r="6029" spans="1:6" x14ac:dyDescent="0.25">
      <c r="A6029" t="s">
        <v>5930</v>
      </c>
      <c r="B6029" t="s">
        <v>698</v>
      </c>
      <c r="C6029" t="s">
        <v>699</v>
      </c>
      <c r="D6029" t="str">
        <f>HYPERLINK("http://service.sap.com/sap/support/notes/1732868","1732868")</f>
        <v>1732868</v>
      </c>
      <c r="E6029">
        <v>3</v>
      </c>
      <c r="F6029" t="s">
        <v>6074</v>
      </c>
    </row>
    <row r="6030" spans="1:6" x14ac:dyDescent="0.25">
      <c r="A6030" t="s">
        <v>5930</v>
      </c>
      <c r="B6030" t="s">
        <v>698</v>
      </c>
      <c r="C6030" t="s">
        <v>699</v>
      </c>
      <c r="D6030" t="str">
        <f>HYPERLINK("http://service.sap.com/sap/support/notes/1735114","1735114")</f>
        <v>1735114</v>
      </c>
      <c r="E6030">
        <v>1</v>
      </c>
      <c r="F6030" t="s">
        <v>6075</v>
      </c>
    </row>
    <row r="6031" spans="1:6" x14ac:dyDescent="0.25">
      <c r="A6031" t="s">
        <v>5930</v>
      </c>
      <c r="B6031" t="s">
        <v>698</v>
      </c>
      <c r="C6031" t="s">
        <v>699</v>
      </c>
      <c r="D6031" t="str">
        <f>HYPERLINK("http://service.sap.com/sap/support/notes/1750126","1750126")</f>
        <v>1750126</v>
      </c>
      <c r="E6031">
        <v>1</v>
      </c>
      <c r="F6031" t="s">
        <v>6076</v>
      </c>
    </row>
    <row r="6032" spans="1:6" x14ac:dyDescent="0.25">
      <c r="A6032" t="s">
        <v>5930</v>
      </c>
      <c r="B6032" t="s">
        <v>6077</v>
      </c>
      <c r="C6032" t="s">
        <v>645</v>
      </c>
      <c r="D6032" t="str">
        <f>HYPERLINK("http://service.sap.com/sap/support/notes/1738899","1738899")</f>
        <v>1738899</v>
      </c>
      <c r="E6032">
        <v>1</v>
      </c>
      <c r="F6032" t="s">
        <v>6078</v>
      </c>
    </row>
    <row r="6033" spans="1:6" x14ac:dyDescent="0.25">
      <c r="A6033" t="s">
        <v>5930</v>
      </c>
      <c r="B6033" t="s">
        <v>6079</v>
      </c>
      <c r="C6033" t="s">
        <v>6080</v>
      </c>
      <c r="D6033" t="str">
        <f>HYPERLINK("http://service.sap.com/sap/support/notes/1727165","1727165")</f>
        <v>1727165</v>
      </c>
      <c r="E6033">
        <v>1</v>
      </c>
      <c r="F6033" t="s">
        <v>6081</v>
      </c>
    </row>
    <row r="6034" spans="1:6" x14ac:dyDescent="0.25">
      <c r="A6034" t="s">
        <v>5930</v>
      </c>
      <c r="B6034" t="s">
        <v>6079</v>
      </c>
      <c r="C6034" t="s">
        <v>6080</v>
      </c>
      <c r="D6034" t="str">
        <f>HYPERLINK("http://service.sap.com/sap/support/notes/1729998","1729998")</f>
        <v>1729998</v>
      </c>
      <c r="E6034">
        <v>1</v>
      </c>
      <c r="F6034" t="s">
        <v>6082</v>
      </c>
    </row>
    <row r="6035" spans="1:6" x14ac:dyDescent="0.25">
      <c r="A6035" t="s">
        <v>5930</v>
      </c>
      <c r="B6035" t="s">
        <v>6079</v>
      </c>
      <c r="C6035" t="s">
        <v>6080</v>
      </c>
      <c r="D6035" t="str">
        <f>HYPERLINK("http://service.sap.com/sap/support/notes/1733400","1733400")</f>
        <v>1733400</v>
      </c>
      <c r="E6035">
        <v>2</v>
      </c>
      <c r="F6035" t="s">
        <v>6083</v>
      </c>
    </row>
    <row r="6036" spans="1:6" x14ac:dyDescent="0.25">
      <c r="A6036" t="s">
        <v>5930</v>
      </c>
      <c r="B6036" t="s">
        <v>6079</v>
      </c>
      <c r="C6036" t="s">
        <v>6080</v>
      </c>
      <c r="D6036" t="str">
        <f>HYPERLINK("http://service.sap.com/sap/support/notes/1751185","1751185")</f>
        <v>1751185</v>
      </c>
      <c r="E6036">
        <v>1</v>
      </c>
      <c r="F6036" t="s">
        <v>6084</v>
      </c>
    </row>
    <row r="6037" spans="1:6" x14ac:dyDescent="0.25">
      <c r="A6037" t="s">
        <v>5930</v>
      </c>
      <c r="B6037" t="s">
        <v>90</v>
      </c>
      <c r="C6037" t="s">
        <v>13</v>
      </c>
    </row>
    <row r="6038" spans="1:6" x14ac:dyDescent="0.25">
      <c r="A6038" t="s">
        <v>5930</v>
      </c>
      <c r="B6038" t="s">
        <v>557</v>
      </c>
      <c r="C6038" t="s">
        <v>646</v>
      </c>
      <c r="D6038" t="str">
        <f>HYPERLINK("http://service.sap.com/sap/support/notes/1749502","1749502")</f>
        <v>1749502</v>
      </c>
      <c r="E6038">
        <v>2</v>
      </c>
      <c r="F6038" t="s">
        <v>6085</v>
      </c>
    </row>
    <row r="6039" spans="1:6" x14ac:dyDescent="0.25">
      <c r="A6039" t="s">
        <v>5930</v>
      </c>
      <c r="B6039" t="s">
        <v>557</v>
      </c>
      <c r="C6039" t="s">
        <v>646</v>
      </c>
      <c r="D6039" t="str">
        <f>HYPERLINK("http://service.sap.com/sap/support/notes/1751146","1751146")</f>
        <v>1751146</v>
      </c>
      <c r="E6039">
        <v>1</v>
      </c>
      <c r="F6039" t="s">
        <v>6086</v>
      </c>
    </row>
    <row r="6040" spans="1:6" x14ac:dyDescent="0.25">
      <c r="A6040" t="s">
        <v>5930</v>
      </c>
      <c r="B6040" t="s">
        <v>563</v>
      </c>
      <c r="C6040" t="s">
        <v>564</v>
      </c>
    </row>
    <row r="6041" spans="1:6" x14ac:dyDescent="0.25">
      <c r="A6041" t="s">
        <v>5930</v>
      </c>
      <c r="B6041" t="s">
        <v>565</v>
      </c>
      <c r="C6041" t="s">
        <v>6087</v>
      </c>
      <c r="D6041" t="str">
        <f>HYPERLINK("http://service.sap.com/sap/support/notes/1745055","1745055")</f>
        <v>1745055</v>
      </c>
      <c r="E6041">
        <v>1</v>
      </c>
      <c r="F6041" t="s">
        <v>6088</v>
      </c>
    </row>
    <row r="6042" spans="1:6" x14ac:dyDescent="0.25">
      <c r="A6042" t="s">
        <v>5930</v>
      </c>
      <c r="B6042" t="s">
        <v>647</v>
      </c>
      <c r="C6042" t="s">
        <v>648</v>
      </c>
      <c r="D6042" t="str">
        <f>HYPERLINK("http://service.sap.com/sap/support/notes/1710571","1710571")</f>
        <v>1710571</v>
      </c>
      <c r="E6042">
        <v>2</v>
      </c>
      <c r="F6042" t="s">
        <v>6089</v>
      </c>
    </row>
    <row r="6043" spans="1:6" x14ac:dyDescent="0.25">
      <c r="A6043" t="s">
        <v>5930</v>
      </c>
      <c r="B6043" t="s">
        <v>647</v>
      </c>
      <c r="C6043" t="s">
        <v>648</v>
      </c>
      <c r="D6043" t="str">
        <f>HYPERLINK("http://service.sap.com/sap/support/notes/1719508","1719508")</f>
        <v>1719508</v>
      </c>
      <c r="E6043">
        <v>1</v>
      </c>
      <c r="F6043" t="s">
        <v>6090</v>
      </c>
    </row>
    <row r="6044" spans="1:6" x14ac:dyDescent="0.25">
      <c r="A6044" t="s">
        <v>5930</v>
      </c>
      <c r="B6044" t="s">
        <v>647</v>
      </c>
      <c r="C6044" t="s">
        <v>648</v>
      </c>
      <c r="D6044" t="str">
        <f>HYPERLINK("http://service.sap.com/sap/support/notes/1720001","1720001")</f>
        <v>1720001</v>
      </c>
      <c r="E6044">
        <v>2</v>
      </c>
      <c r="F6044" t="s">
        <v>6091</v>
      </c>
    </row>
    <row r="6045" spans="1:6" x14ac:dyDescent="0.25">
      <c r="A6045" t="s">
        <v>5930</v>
      </c>
      <c r="B6045" t="s">
        <v>647</v>
      </c>
      <c r="C6045" t="s">
        <v>648</v>
      </c>
      <c r="D6045" t="str">
        <f>HYPERLINK("http://service.sap.com/sap/support/notes/1720412","1720412")</f>
        <v>1720412</v>
      </c>
      <c r="E6045">
        <v>4</v>
      </c>
      <c r="F6045" t="s">
        <v>6092</v>
      </c>
    </row>
    <row r="6046" spans="1:6" x14ac:dyDescent="0.25">
      <c r="A6046" t="s">
        <v>5930</v>
      </c>
      <c r="B6046" t="s">
        <v>647</v>
      </c>
      <c r="C6046" t="s">
        <v>648</v>
      </c>
      <c r="D6046" t="str">
        <f>HYPERLINK("http://service.sap.com/sap/support/notes/1735310","1735310")</f>
        <v>1735310</v>
      </c>
      <c r="E6046">
        <v>2</v>
      </c>
      <c r="F6046" t="s">
        <v>6093</v>
      </c>
    </row>
    <row r="6047" spans="1:6" x14ac:dyDescent="0.25">
      <c r="A6047" t="s">
        <v>5930</v>
      </c>
      <c r="B6047" t="s">
        <v>647</v>
      </c>
      <c r="C6047" t="s">
        <v>648</v>
      </c>
      <c r="D6047" t="str">
        <f>HYPERLINK("http://service.sap.com/sap/support/notes/1741065","1741065")</f>
        <v>1741065</v>
      </c>
      <c r="E6047">
        <v>2</v>
      </c>
      <c r="F6047" t="s">
        <v>6094</v>
      </c>
    </row>
    <row r="6048" spans="1:6" x14ac:dyDescent="0.25">
      <c r="A6048" t="s">
        <v>5930</v>
      </c>
      <c r="B6048" t="s">
        <v>647</v>
      </c>
      <c r="C6048" t="s">
        <v>648</v>
      </c>
      <c r="D6048" t="str">
        <f>HYPERLINK("http://service.sap.com/sap/support/notes/1742120","1742120")</f>
        <v>1742120</v>
      </c>
      <c r="E6048">
        <v>2</v>
      </c>
      <c r="F6048" t="s">
        <v>6095</v>
      </c>
    </row>
    <row r="6049" spans="1:6" x14ac:dyDescent="0.25">
      <c r="A6049" t="s">
        <v>5930</v>
      </c>
      <c r="B6049" t="s">
        <v>647</v>
      </c>
      <c r="C6049" t="s">
        <v>648</v>
      </c>
      <c r="D6049" t="str">
        <f>HYPERLINK("http://service.sap.com/sap/support/notes/1743231","1743231")</f>
        <v>1743231</v>
      </c>
      <c r="E6049">
        <v>2</v>
      </c>
      <c r="F6049" t="s">
        <v>6096</v>
      </c>
    </row>
    <row r="6050" spans="1:6" x14ac:dyDescent="0.25">
      <c r="A6050" t="s">
        <v>5930</v>
      </c>
      <c r="B6050" t="s">
        <v>647</v>
      </c>
      <c r="C6050" t="s">
        <v>648</v>
      </c>
      <c r="D6050" t="str">
        <f>HYPERLINK("http://service.sap.com/sap/support/notes/1744509","1744509")</f>
        <v>1744509</v>
      </c>
      <c r="E6050">
        <v>3</v>
      </c>
      <c r="F6050" t="s">
        <v>6097</v>
      </c>
    </row>
    <row r="6051" spans="1:6" x14ac:dyDescent="0.25">
      <c r="A6051" t="s">
        <v>5930</v>
      </c>
      <c r="B6051" t="s">
        <v>647</v>
      </c>
      <c r="C6051" t="s">
        <v>648</v>
      </c>
      <c r="D6051" t="str">
        <f>HYPERLINK("http://service.sap.com/sap/support/notes/1744984","1744984")</f>
        <v>1744984</v>
      </c>
      <c r="E6051">
        <v>3</v>
      </c>
      <c r="F6051" t="s">
        <v>6098</v>
      </c>
    </row>
    <row r="6052" spans="1:6" x14ac:dyDescent="0.25">
      <c r="A6052" t="s">
        <v>5930</v>
      </c>
      <c r="B6052" t="s">
        <v>647</v>
      </c>
      <c r="C6052" t="s">
        <v>648</v>
      </c>
      <c r="D6052" t="str">
        <f>HYPERLINK("http://service.sap.com/sap/support/notes/1746054","1746054")</f>
        <v>1746054</v>
      </c>
      <c r="E6052">
        <v>1</v>
      </c>
      <c r="F6052" t="s">
        <v>6099</v>
      </c>
    </row>
    <row r="6053" spans="1:6" x14ac:dyDescent="0.25">
      <c r="A6053" t="s">
        <v>5930</v>
      </c>
      <c r="B6053" t="s">
        <v>647</v>
      </c>
      <c r="C6053" t="s">
        <v>648</v>
      </c>
      <c r="D6053" t="str">
        <f>HYPERLINK("http://service.sap.com/sap/support/notes/1748956","1748956")</f>
        <v>1748956</v>
      </c>
      <c r="E6053">
        <v>3</v>
      </c>
      <c r="F6053" t="s">
        <v>6100</v>
      </c>
    </row>
    <row r="6054" spans="1:6" x14ac:dyDescent="0.25">
      <c r="A6054" t="s">
        <v>5930</v>
      </c>
      <c r="B6054" t="s">
        <v>647</v>
      </c>
      <c r="C6054" t="s">
        <v>648</v>
      </c>
      <c r="D6054" t="str">
        <f>HYPERLINK("http://service.sap.com/sap/support/notes/1750636","1750636")</f>
        <v>1750636</v>
      </c>
      <c r="E6054">
        <v>4</v>
      </c>
      <c r="F6054" t="s">
        <v>6101</v>
      </c>
    </row>
    <row r="6055" spans="1:6" x14ac:dyDescent="0.25">
      <c r="A6055" t="s">
        <v>5930</v>
      </c>
      <c r="B6055" t="s">
        <v>95</v>
      </c>
      <c r="C6055" t="s">
        <v>96</v>
      </c>
    </row>
    <row r="6056" spans="1:6" x14ac:dyDescent="0.25">
      <c r="A6056" t="s">
        <v>5930</v>
      </c>
      <c r="B6056" t="s">
        <v>114</v>
      </c>
      <c r="C6056" t="s">
        <v>115</v>
      </c>
      <c r="D6056" t="str">
        <f>HYPERLINK("http://service.sap.com/sap/support/notes/1720117","1720117")</f>
        <v>1720117</v>
      </c>
      <c r="E6056">
        <v>3</v>
      </c>
      <c r="F6056" t="s">
        <v>6102</v>
      </c>
    </row>
    <row r="6057" spans="1:6" x14ac:dyDescent="0.25">
      <c r="A6057" t="s">
        <v>5930</v>
      </c>
      <c r="B6057" t="s">
        <v>114</v>
      </c>
      <c r="C6057" t="s">
        <v>115</v>
      </c>
      <c r="D6057" t="str">
        <f>HYPERLINK("http://service.sap.com/sap/support/notes/1720745","1720745")</f>
        <v>1720745</v>
      </c>
      <c r="E6057">
        <v>2</v>
      </c>
      <c r="F6057" t="s">
        <v>6103</v>
      </c>
    </row>
    <row r="6058" spans="1:6" x14ac:dyDescent="0.25">
      <c r="A6058" t="s">
        <v>5930</v>
      </c>
      <c r="B6058" t="s">
        <v>114</v>
      </c>
      <c r="C6058" t="s">
        <v>115</v>
      </c>
      <c r="D6058" t="str">
        <f>HYPERLINK("http://service.sap.com/sap/support/notes/1725162","1725162")</f>
        <v>1725162</v>
      </c>
      <c r="E6058">
        <v>3</v>
      </c>
      <c r="F6058" t="s">
        <v>6104</v>
      </c>
    </row>
    <row r="6059" spans="1:6" x14ac:dyDescent="0.25">
      <c r="A6059" t="s">
        <v>5930</v>
      </c>
      <c r="B6059" t="s">
        <v>114</v>
      </c>
      <c r="C6059" t="s">
        <v>115</v>
      </c>
      <c r="D6059" t="str">
        <f>HYPERLINK("http://service.sap.com/sap/support/notes/1740723","1740723")</f>
        <v>1740723</v>
      </c>
      <c r="E6059">
        <v>1</v>
      </c>
      <c r="F6059" t="s">
        <v>6105</v>
      </c>
    </row>
    <row r="6060" spans="1:6" x14ac:dyDescent="0.25">
      <c r="A6060" t="s">
        <v>5930</v>
      </c>
      <c r="B6060" t="s">
        <v>114</v>
      </c>
      <c r="C6060" t="s">
        <v>115</v>
      </c>
      <c r="D6060" t="str">
        <f>HYPERLINK("http://service.sap.com/sap/support/notes/1754916","1754916")</f>
        <v>1754916</v>
      </c>
      <c r="E6060">
        <v>1</v>
      </c>
      <c r="F6060" t="s">
        <v>6106</v>
      </c>
    </row>
    <row r="6061" spans="1:6" x14ac:dyDescent="0.25">
      <c r="A6061" t="s">
        <v>5930</v>
      </c>
      <c r="B6061" t="s">
        <v>685</v>
      </c>
      <c r="C6061" t="s">
        <v>686</v>
      </c>
      <c r="D6061" t="str">
        <f>HYPERLINK("http://service.sap.com/sap/support/notes/1747038","1747038")</f>
        <v>1747038</v>
      </c>
      <c r="E6061">
        <v>1</v>
      </c>
      <c r="F6061" t="s">
        <v>6107</v>
      </c>
    </row>
    <row r="6062" spans="1:6" x14ac:dyDescent="0.25">
      <c r="A6062" t="s">
        <v>5930</v>
      </c>
      <c r="B6062" t="s">
        <v>685</v>
      </c>
      <c r="C6062" t="s">
        <v>686</v>
      </c>
      <c r="D6062" t="str">
        <f>HYPERLINK("http://service.sap.com/sap/support/notes/1750956","1750956")</f>
        <v>1750956</v>
      </c>
      <c r="E6062">
        <v>1</v>
      </c>
      <c r="F6062" t="s">
        <v>6108</v>
      </c>
    </row>
    <row r="6063" spans="1:6" x14ac:dyDescent="0.25">
      <c r="A6063" t="s">
        <v>5930</v>
      </c>
      <c r="B6063" t="s">
        <v>685</v>
      </c>
      <c r="C6063" t="s">
        <v>686</v>
      </c>
      <c r="D6063" t="str">
        <f>HYPERLINK("http://service.sap.com/sap/support/notes/1751086","1751086")</f>
        <v>1751086</v>
      </c>
      <c r="E6063">
        <v>3</v>
      </c>
      <c r="F6063" t="s">
        <v>6109</v>
      </c>
    </row>
    <row r="6064" spans="1:6" x14ac:dyDescent="0.25">
      <c r="A6064" t="s">
        <v>5930</v>
      </c>
      <c r="B6064" t="s">
        <v>685</v>
      </c>
      <c r="C6064" t="s">
        <v>686</v>
      </c>
      <c r="D6064" t="str">
        <f>HYPERLINK("http://service.sap.com/sap/support/notes/1751609","1751609")</f>
        <v>1751609</v>
      </c>
      <c r="E6064">
        <v>1</v>
      </c>
      <c r="F6064" t="s">
        <v>6110</v>
      </c>
    </row>
    <row r="6065" spans="1:6" x14ac:dyDescent="0.25">
      <c r="A6065" t="s">
        <v>5930</v>
      </c>
      <c r="B6065" t="s">
        <v>685</v>
      </c>
      <c r="C6065" t="s">
        <v>686</v>
      </c>
      <c r="D6065" t="str">
        <f>HYPERLINK("http://service.sap.com/sap/support/notes/1753133","1753133")</f>
        <v>1753133</v>
      </c>
      <c r="E6065">
        <v>3</v>
      </c>
      <c r="F6065" t="s">
        <v>6111</v>
      </c>
    </row>
    <row r="6066" spans="1:6" x14ac:dyDescent="0.25">
      <c r="A6066" t="s">
        <v>5930</v>
      </c>
      <c r="B6066" t="s">
        <v>685</v>
      </c>
      <c r="C6066" t="s">
        <v>686</v>
      </c>
      <c r="D6066" t="str">
        <f>HYPERLINK("http://service.sap.com/sap/support/notes/1754915","1754915")</f>
        <v>1754915</v>
      </c>
      <c r="E6066">
        <v>1</v>
      </c>
      <c r="F6066" t="s">
        <v>6112</v>
      </c>
    </row>
    <row r="6067" spans="1:6" x14ac:dyDescent="0.25">
      <c r="A6067" t="s">
        <v>5930</v>
      </c>
      <c r="B6067" t="s">
        <v>159</v>
      </c>
      <c r="C6067" t="s">
        <v>160</v>
      </c>
      <c r="D6067" t="str">
        <f>HYPERLINK("http://service.sap.com/sap/support/notes/1738015","1738015")</f>
        <v>1738015</v>
      </c>
      <c r="E6067">
        <v>1</v>
      </c>
      <c r="F6067" t="s">
        <v>6113</v>
      </c>
    </row>
    <row r="6068" spans="1:6" x14ac:dyDescent="0.25">
      <c r="A6068" t="s">
        <v>5930</v>
      </c>
      <c r="B6068" t="s">
        <v>319</v>
      </c>
      <c r="C6068" t="s">
        <v>320</v>
      </c>
      <c r="D6068" t="str">
        <f>HYPERLINK("http://service.sap.com/sap/support/notes/1728881","1728881")</f>
        <v>1728881</v>
      </c>
      <c r="E6068">
        <v>1</v>
      </c>
      <c r="F6068" t="s">
        <v>6114</v>
      </c>
    </row>
    <row r="6069" spans="1:6" x14ac:dyDescent="0.25">
      <c r="A6069" t="s">
        <v>5930</v>
      </c>
      <c r="B6069" t="s">
        <v>319</v>
      </c>
      <c r="C6069" t="s">
        <v>320</v>
      </c>
      <c r="D6069" t="str">
        <f>HYPERLINK("http://service.sap.com/sap/support/notes/1736434","1736434")</f>
        <v>1736434</v>
      </c>
      <c r="E6069">
        <v>2</v>
      </c>
      <c r="F6069" t="s">
        <v>6115</v>
      </c>
    </row>
    <row r="6070" spans="1:6" x14ac:dyDescent="0.25">
      <c r="A6070" t="s">
        <v>5930</v>
      </c>
      <c r="B6070" t="s">
        <v>2263</v>
      </c>
      <c r="C6070" t="s">
        <v>2264</v>
      </c>
      <c r="D6070" t="str">
        <f>HYPERLINK("http://service.sap.com/sap/support/notes/1739062","1739062")</f>
        <v>1739062</v>
      </c>
      <c r="E6070">
        <v>2</v>
      </c>
      <c r="F6070" t="s">
        <v>6116</v>
      </c>
    </row>
    <row r="6071" spans="1:6" x14ac:dyDescent="0.25">
      <c r="A6071" t="s">
        <v>5930</v>
      </c>
      <c r="B6071" t="s">
        <v>2263</v>
      </c>
      <c r="C6071" t="s">
        <v>2264</v>
      </c>
      <c r="D6071" t="str">
        <f>HYPERLINK("http://service.sap.com/sap/support/notes/1751137","1751137")</f>
        <v>1751137</v>
      </c>
      <c r="E6071">
        <v>2</v>
      </c>
      <c r="F6071" t="s">
        <v>6117</v>
      </c>
    </row>
    <row r="6072" spans="1:6" x14ac:dyDescent="0.25">
      <c r="A6072" t="s">
        <v>5930</v>
      </c>
      <c r="B6072" t="s">
        <v>423</v>
      </c>
      <c r="C6072" t="s">
        <v>424</v>
      </c>
      <c r="D6072" t="str">
        <f>HYPERLINK("http://service.sap.com/sap/support/notes/1745988","1745988")</f>
        <v>1745988</v>
      </c>
      <c r="E6072">
        <v>2</v>
      </c>
      <c r="F6072" t="s">
        <v>6118</v>
      </c>
    </row>
    <row r="6073" spans="1:6" x14ac:dyDescent="0.25">
      <c r="A6073" t="s">
        <v>5930</v>
      </c>
      <c r="B6073" t="s">
        <v>453</v>
      </c>
      <c r="C6073" t="s">
        <v>74</v>
      </c>
    </row>
    <row r="6074" spans="1:6" x14ac:dyDescent="0.25">
      <c r="A6074" t="s">
        <v>5930</v>
      </c>
      <c r="B6074" t="s">
        <v>457</v>
      </c>
      <c r="C6074" t="s">
        <v>458</v>
      </c>
      <c r="D6074" t="str">
        <f>HYPERLINK("http://service.sap.com/sap/support/notes/1739847","1739847")</f>
        <v>1739847</v>
      </c>
      <c r="E6074">
        <v>2</v>
      </c>
      <c r="F6074" t="s">
        <v>6119</v>
      </c>
    </row>
    <row r="6075" spans="1:6" x14ac:dyDescent="0.25">
      <c r="A6075" t="s">
        <v>5930</v>
      </c>
      <c r="B6075" t="s">
        <v>610</v>
      </c>
      <c r="C6075" t="s">
        <v>635</v>
      </c>
    </row>
    <row r="6076" spans="1:6" x14ac:dyDescent="0.25">
      <c r="A6076" t="s">
        <v>5930</v>
      </c>
      <c r="B6076" t="s">
        <v>612</v>
      </c>
      <c r="C6076" t="s">
        <v>5696</v>
      </c>
      <c r="D6076" t="str">
        <f>HYPERLINK("http://service.sap.com/sap/support/notes/1726082","1726082")</f>
        <v>1726082</v>
      </c>
      <c r="E6076">
        <v>2</v>
      </c>
      <c r="F6076" t="s">
        <v>6120</v>
      </c>
    </row>
    <row r="6077" spans="1:6" x14ac:dyDescent="0.25">
      <c r="A6077" t="s">
        <v>5930</v>
      </c>
      <c r="B6077" t="s">
        <v>614</v>
      </c>
      <c r="C6077" t="s">
        <v>615</v>
      </c>
      <c r="D6077" t="str">
        <f>HYPERLINK("http://service.sap.com/sap/support/notes/1727216","1727216")</f>
        <v>1727216</v>
      </c>
      <c r="E6077">
        <v>2</v>
      </c>
      <c r="F6077" t="s">
        <v>6121</v>
      </c>
    </row>
    <row r="6078" spans="1:6" x14ac:dyDescent="0.25">
      <c r="A6078" t="s">
        <v>5930</v>
      </c>
      <c r="B6078" t="s">
        <v>614</v>
      </c>
      <c r="C6078" t="s">
        <v>615</v>
      </c>
      <c r="D6078" t="str">
        <f>HYPERLINK("http://service.sap.com/sap/support/notes/1744441","1744441")</f>
        <v>1744441</v>
      </c>
      <c r="E6078">
        <v>2</v>
      </c>
      <c r="F6078" t="s">
        <v>6122</v>
      </c>
    </row>
    <row r="6079" spans="1:6" x14ac:dyDescent="0.25">
      <c r="A6079" t="s">
        <v>5930</v>
      </c>
      <c r="B6079" t="s">
        <v>3809</v>
      </c>
      <c r="C6079" t="s">
        <v>3810</v>
      </c>
      <c r="D6079" t="str">
        <f>HYPERLINK("http://service.sap.com/sap/support/notes/1736189","1736189")</f>
        <v>1736189</v>
      </c>
      <c r="E6079">
        <v>2</v>
      </c>
      <c r="F6079" t="s">
        <v>6123</v>
      </c>
    </row>
    <row r="6080" spans="1:6" x14ac:dyDescent="0.25">
      <c r="A6080" t="s">
        <v>5930</v>
      </c>
      <c r="B6080" t="s">
        <v>624</v>
      </c>
      <c r="C6080" t="s">
        <v>625</v>
      </c>
      <c r="D6080" t="str">
        <f>HYPERLINK("http://service.sap.com/sap/support/notes/1736704","1736704")</f>
        <v>1736704</v>
      </c>
      <c r="E6080">
        <v>1</v>
      </c>
      <c r="F6080" t="s">
        <v>6124</v>
      </c>
    </row>
    <row r="6081" spans="1:6" x14ac:dyDescent="0.25">
      <c r="A6081" t="s">
        <v>5930</v>
      </c>
      <c r="B6081" t="s">
        <v>624</v>
      </c>
      <c r="C6081" t="s">
        <v>625</v>
      </c>
      <c r="D6081" t="str">
        <f>HYPERLINK("http://service.sap.com/sap/support/notes/1737572","1737572")</f>
        <v>1737572</v>
      </c>
      <c r="E6081">
        <v>1</v>
      </c>
      <c r="F6081" t="s">
        <v>6125</v>
      </c>
    </row>
    <row r="6082" spans="1:6" x14ac:dyDescent="0.25">
      <c r="A6082" t="s">
        <v>5930</v>
      </c>
      <c r="B6082" t="s">
        <v>624</v>
      </c>
      <c r="C6082" t="s">
        <v>625</v>
      </c>
      <c r="D6082" t="str">
        <f>HYPERLINK("http://service.sap.com/sap/support/notes/1751269","1751269")</f>
        <v>1751269</v>
      </c>
      <c r="E6082">
        <v>1</v>
      </c>
      <c r="F6082" t="s">
        <v>6126</v>
      </c>
    </row>
    <row r="6083" spans="1:6" x14ac:dyDescent="0.25">
      <c r="A6083" t="s">
        <v>5930</v>
      </c>
      <c r="B6083" t="s">
        <v>624</v>
      </c>
      <c r="C6083" t="s">
        <v>625</v>
      </c>
      <c r="D6083" t="str">
        <f>HYPERLINK("http://service.sap.com/sap/support/notes/1751678","1751678")</f>
        <v>1751678</v>
      </c>
      <c r="E6083">
        <v>1</v>
      </c>
      <c r="F6083" t="s">
        <v>6127</v>
      </c>
    </row>
    <row r="6084" spans="1:6" x14ac:dyDescent="0.25">
      <c r="A6084" t="s">
        <v>5930</v>
      </c>
      <c r="B6084" t="s">
        <v>624</v>
      </c>
      <c r="C6084" t="s">
        <v>625</v>
      </c>
      <c r="D6084" t="str">
        <f>HYPERLINK("http://service.sap.com/sap/support/notes/1753325","1753325")</f>
        <v>1753325</v>
      </c>
      <c r="E6084">
        <v>1</v>
      </c>
      <c r="F6084" t="s">
        <v>6128</v>
      </c>
    </row>
    <row r="6085" spans="1:6" x14ac:dyDescent="0.25">
      <c r="A6085" t="s">
        <v>5930</v>
      </c>
      <c r="B6085" t="s">
        <v>626</v>
      </c>
      <c r="C6085" t="s">
        <v>654</v>
      </c>
      <c r="D6085" t="str">
        <f>HYPERLINK("http://service.sap.com/sap/support/notes/1751313","1751313")</f>
        <v>1751313</v>
      </c>
      <c r="E6085">
        <v>1</v>
      </c>
      <c r="F6085" t="s">
        <v>1496</v>
      </c>
    </row>
    <row r="6086" spans="1:6" x14ac:dyDescent="0.25">
      <c r="A6086" t="s">
        <v>6129</v>
      </c>
      <c r="B6086" t="s">
        <v>481</v>
      </c>
      <c r="C6086" t="s">
        <v>482</v>
      </c>
    </row>
    <row r="6087" spans="1:6" x14ac:dyDescent="0.25">
      <c r="A6087" t="s">
        <v>6129</v>
      </c>
      <c r="B6087" t="s">
        <v>487</v>
      </c>
      <c r="C6087" t="s">
        <v>488</v>
      </c>
    </row>
    <row r="6088" spans="1:6" x14ac:dyDescent="0.25">
      <c r="A6088" t="s">
        <v>6129</v>
      </c>
      <c r="B6088" t="s">
        <v>489</v>
      </c>
      <c r="C6088" t="s">
        <v>641</v>
      </c>
      <c r="D6088" t="str">
        <f>HYPERLINK("http://service.sap.com/sap/support/notes/1755633","1755633")</f>
        <v>1755633</v>
      </c>
      <c r="E6088">
        <v>1</v>
      </c>
      <c r="F6088" t="s">
        <v>6130</v>
      </c>
    </row>
    <row r="6089" spans="1:6" x14ac:dyDescent="0.25">
      <c r="A6089" t="s">
        <v>6129</v>
      </c>
      <c r="B6089" t="s">
        <v>489</v>
      </c>
      <c r="C6089" t="s">
        <v>641</v>
      </c>
      <c r="D6089" t="str">
        <f>HYPERLINK("http://service.sap.com/sap/support/notes/1758922","1758922")</f>
        <v>1758922</v>
      </c>
      <c r="E6089">
        <v>1</v>
      </c>
      <c r="F6089" t="s">
        <v>6131</v>
      </c>
    </row>
    <row r="6090" spans="1:6" x14ac:dyDescent="0.25">
      <c r="A6090" t="s">
        <v>6129</v>
      </c>
      <c r="B6090" t="s">
        <v>489</v>
      </c>
      <c r="C6090" t="s">
        <v>641</v>
      </c>
      <c r="D6090" t="str">
        <f>HYPERLINK("http://service.sap.com/sap/support/notes/1765154","1765154")</f>
        <v>1765154</v>
      </c>
      <c r="E6090">
        <v>1</v>
      </c>
      <c r="F6090" t="s">
        <v>6132</v>
      </c>
    </row>
    <row r="6091" spans="1:6" x14ac:dyDescent="0.25">
      <c r="A6091" t="s">
        <v>6129</v>
      </c>
      <c r="B6091" t="s">
        <v>489</v>
      </c>
      <c r="C6091" t="s">
        <v>641</v>
      </c>
      <c r="D6091" t="str">
        <f>HYPERLINK("http://service.sap.com/sap/support/notes/1765608","1765608")</f>
        <v>1765608</v>
      </c>
      <c r="E6091">
        <v>2</v>
      </c>
      <c r="F6091" t="s">
        <v>6133</v>
      </c>
    </row>
    <row r="6092" spans="1:6" x14ac:dyDescent="0.25">
      <c r="A6092" t="s">
        <v>6129</v>
      </c>
      <c r="B6092" t="s">
        <v>489</v>
      </c>
      <c r="C6092" t="s">
        <v>641</v>
      </c>
      <c r="D6092" t="str">
        <f>HYPERLINK("http://service.sap.com/sap/support/notes/1766098","1766098")</f>
        <v>1766098</v>
      </c>
      <c r="E6092">
        <v>1</v>
      </c>
      <c r="F6092" t="s">
        <v>6134</v>
      </c>
    </row>
    <row r="6093" spans="1:6" x14ac:dyDescent="0.25">
      <c r="A6093" t="s">
        <v>6129</v>
      </c>
      <c r="B6093" t="s">
        <v>489</v>
      </c>
      <c r="C6093" t="s">
        <v>641</v>
      </c>
      <c r="D6093" t="str">
        <f>HYPERLINK("http://service.sap.com/sap/support/notes/1766628","1766628")</f>
        <v>1766628</v>
      </c>
      <c r="E6093">
        <v>2</v>
      </c>
      <c r="F6093" t="s">
        <v>6135</v>
      </c>
    </row>
    <row r="6094" spans="1:6" x14ac:dyDescent="0.25">
      <c r="A6094" t="s">
        <v>6129</v>
      </c>
      <c r="B6094" t="s">
        <v>490</v>
      </c>
      <c r="C6094" t="s">
        <v>491</v>
      </c>
    </row>
    <row r="6095" spans="1:6" x14ac:dyDescent="0.25">
      <c r="A6095" t="s">
        <v>6129</v>
      </c>
      <c r="B6095" t="s">
        <v>722</v>
      </c>
      <c r="C6095" t="s">
        <v>723</v>
      </c>
    </row>
    <row r="6096" spans="1:6" x14ac:dyDescent="0.25">
      <c r="A6096" t="s">
        <v>6129</v>
      </c>
      <c r="B6096" t="s">
        <v>724</v>
      </c>
      <c r="C6096" t="s">
        <v>648</v>
      </c>
      <c r="D6096" t="str">
        <f>HYPERLINK("http://service.sap.com/sap/support/notes/1655005","1655005")</f>
        <v>1655005</v>
      </c>
      <c r="E6096">
        <v>4</v>
      </c>
      <c r="F6096" t="s">
        <v>6136</v>
      </c>
    </row>
    <row r="6097" spans="1:6" x14ac:dyDescent="0.25">
      <c r="A6097" t="s">
        <v>6129</v>
      </c>
      <c r="B6097" t="s">
        <v>724</v>
      </c>
      <c r="C6097" t="s">
        <v>648</v>
      </c>
      <c r="D6097" t="str">
        <f>HYPERLINK("http://service.sap.com/sap/support/notes/1749248","1749248")</f>
        <v>1749248</v>
      </c>
      <c r="E6097">
        <v>3</v>
      </c>
      <c r="F6097" t="s">
        <v>6137</v>
      </c>
    </row>
    <row r="6098" spans="1:6" x14ac:dyDescent="0.25">
      <c r="A6098" t="s">
        <v>6129</v>
      </c>
      <c r="B6098" t="s">
        <v>724</v>
      </c>
      <c r="C6098" t="s">
        <v>648</v>
      </c>
      <c r="D6098" t="str">
        <f>HYPERLINK("http://service.sap.com/sap/support/notes/1751064","1751064")</f>
        <v>1751064</v>
      </c>
      <c r="E6098">
        <v>2</v>
      </c>
      <c r="F6098" t="s">
        <v>6138</v>
      </c>
    </row>
    <row r="6099" spans="1:6" x14ac:dyDescent="0.25">
      <c r="A6099" t="s">
        <v>6129</v>
      </c>
      <c r="B6099" t="s">
        <v>724</v>
      </c>
      <c r="C6099" t="s">
        <v>648</v>
      </c>
      <c r="D6099" t="str">
        <f>HYPERLINK("http://service.sap.com/sap/support/notes/1751646","1751646")</f>
        <v>1751646</v>
      </c>
      <c r="E6099">
        <v>4</v>
      </c>
      <c r="F6099" t="s">
        <v>6139</v>
      </c>
    </row>
    <row r="6100" spans="1:6" x14ac:dyDescent="0.25">
      <c r="A6100" t="s">
        <v>6129</v>
      </c>
      <c r="B6100" t="s">
        <v>724</v>
      </c>
      <c r="C6100" t="s">
        <v>648</v>
      </c>
      <c r="D6100" t="str">
        <f>HYPERLINK("http://service.sap.com/sap/support/notes/1752577","1752577")</f>
        <v>1752577</v>
      </c>
      <c r="E6100">
        <v>1</v>
      </c>
      <c r="F6100" t="s">
        <v>6140</v>
      </c>
    </row>
    <row r="6101" spans="1:6" x14ac:dyDescent="0.25">
      <c r="A6101" t="s">
        <v>6129</v>
      </c>
      <c r="B6101" t="s">
        <v>724</v>
      </c>
      <c r="C6101" t="s">
        <v>648</v>
      </c>
      <c r="D6101" t="str">
        <f>HYPERLINK("http://service.sap.com/sap/support/notes/1758891","1758891")</f>
        <v>1758891</v>
      </c>
      <c r="E6101">
        <v>2</v>
      </c>
      <c r="F6101" t="s">
        <v>6141</v>
      </c>
    </row>
    <row r="6102" spans="1:6" x14ac:dyDescent="0.25">
      <c r="A6102" t="s">
        <v>6129</v>
      </c>
      <c r="B6102" t="s">
        <v>15</v>
      </c>
      <c r="C6102" t="s">
        <v>16</v>
      </c>
    </row>
    <row r="6103" spans="1:6" x14ac:dyDescent="0.25">
      <c r="A6103" t="s">
        <v>6129</v>
      </c>
      <c r="B6103" t="s">
        <v>17</v>
      </c>
      <c r="C6103" t="s">
        <v>18</v>
      </c>
    </row>
    <row r="6104" spans="1:6" x14ac:dyDescent="0.25">
      <c r="A6104" t="s">
        <v>6129</v>
      </c>
      <c r="B6104" t="s">
        <v>19</v>
      </c>
      <c r="C6104" t="s">
        <v>20</v>
      </c>
    </row>
    <row r="6105" spans="1:6" x14ac:dyDescent="0.25">
      <c r="A6105" t="s">
        <v>6129</v>
      </c>
      <c r="B6105" t="s">
        <v>21</v>
      </c>
      <c r="C6105" t="s">
        <v>22</v>
      </c>
      <c r="D6105" t="str">
        <f>HYPERLINK("http://service.sap.com/sap/support/notes/1762439","1762439")</f>
        <v>1762439</v>
      </c>
      <c r="E6105">
        <v>3</v>
      </c>
      <c r="F6105" t="s">
        <v>6142</v>
      </c>
    </row>
    <row r="6106" spans="1:6" x14ac:dyDescent="0.25">
      <c r="A6106" t="s">
        <v>6129</v>
      </c>
      <c r="B6106" t="s">
        <v>493</v>
      </c>
      <c r="C6106" t="s">
        <v>494</v>
      </c>
    </row>
    <row r="6107" spans="1:6" x14ac:dyDescent="0.25">
      <c r="A6107" t="s">
        <v>6129</v>
      </c>
      <c r="B6107" t="s">
        <v>495</v>
      </c>
      <c r="C6107" t="s">
        <v>655</v>
      </c>
      <c r="D6107" t="str">
        <f>HYPERLINK("http://service.sap.com/sap/support/notes/1756901","1756901")</f>
        <v>1756901</v>
      </c>
      <c r="E6107">
        <v>1</v>
      </c>
      <c r="F6107" t="s">
        <v>6143</v>
      </c>
    </row>
    <row r="6108" spans="1:6" x14ac:dyDescent="0.25">
      <c r="A6108" t="s">
        <v>6129</v>
      </c>
      <c r="B6108" t="s">
        <v>495</v>
      </c>
      <c r="C6108" t="s">
        <v>655</v>
      </c>
      <c r="D6108" t="str">
        <f>HYPERLINK("http://service.sap.com/sap/support/notes/1757133","1757133")</f>
        <v>1757133</v>
      </c>
      <c r="E6108">
        <v>2</v>
      </c>
      <c r="F6108" t="s">
        <v>6144</v>
      </c>
    </row>
    <row r="6109" spans="1:6" x14ac:dyDescent="0.25">
      <c r="A6109" t="s">
        <v>6129</v>
      </c>
      <c r="B6109" t="s">
        <v>495</v>
      </c>
      <c r="C6109" t="s">
        <v>655</v>
      </c>
      <c r="D6109" t="str">
        <f>HYPERLINK("http://service.sap.com/sap/support/notes/1759714","1759714")</f>
        <v>1759714</v>
      </c>
      <c r="E6109">
        <v>1</v>
      </c>
      <c r="F6109" t="s">
        <v>6145</v>
      </c>
    </row>
    <row r="6110" spans="1:6" x14ac:dyDescent="0.25">
      <c r="A6110" t="s">
        <v>6129</v>
      </c>
      <c r="B6110" t="s">
        <v>497</v>
      </c>
      <c r="C6110" t="s">
        <v>498</v>
      </c>
      <c r="D6110" t="str">
        <f>HYPERLINK("http://service.sap.com/sap/support/notes/1719776","1719776")</f>
        <v>1719776</v>
      </c>
      <c r="E6110">
        <v>3</v>
      </c>
      <c r="F6110" t="s">
        <v>6146</v>
      </c>
    </row>
    <row r="6111" spans="1:6" x14ac:dyDescent="0.25">
      <c r="A6111" t="s">
        <v>6129</v>
      </c>
      <c r="B6111" t="s">
        <v>497</v>
      </c>
      <c r="C6111" t="s">
        <v>498</v>
      </c>
      <c r="D6111" t="str">
        <f>HYPERLINK("http://service.sap.com/sap/support/notes/1745090","1745090")</f>
        <v>1745090</v>
      </c>
      <c r="E6111">
        <v>1</v>
      </c>
      <c r="F6111" t="s">
        <v>6147</v>
      </c>
    </row>
    <row r="6112" spans="1:6" x14ac:dyDescent="0.25">
      <c r="A6112" t="s">
        <v>6129</v>
      </c>
      <c r="B6112" t="s">
        <v>497</v>
      </c>
      <c r="C6112" t="s">
        <v>498</v>
      </c>
      <c r="D6112" t="str">
        <f>HYPERLINK("http://service.sap.com/sap/support/notes/1746140","1746140")</f>
        <v>1746140</v>
      </c>
      <c r="E6112">
        <v>5</v>
      </c>
      <c r="F6112" t="s">
        <v>5956</v>
      </c>
    </row>
    <row r="6113" spans="1:6" x14ac:dyDescent="0.25">
      <c r="A6113" t="s">
        <v>6129</v>
      </c>
      <c r="B6113" t="s">
        <v>497</v>
      </c>
      <c r="C6113" t="s">
        <v>498</v>
      </c>
      <c r="D6113" t="str">
        <f>HYPERLINK("http://service.sap.com/sap/support/notes/1753306","1753306")</f>
        <v>1753306</v>
      </c>
      <c r="E6113">
        <v>1</v>
      </c>
      <c r="F6113" t="s">
        <v>6148</v>
      </c>
    </row>
    <row r="6114" spans="1:6" x14ac:dyDescent="0.25">
      <c r="A6114" t="s">
        <v>6129</v>
      </c>
      <c r="B6114" t="s">
        <v>497</v>
      </c>
      <c r="C6114" t="s">
        <v>498</v>
      </c>
      <c r="D6114" t="str">
        <f>HYPERLINK("http://service.sap.com/sap/support/notes/1756223","1756223")</f>
        <v>1756223</v>
      </c>
      <c r="E6114">
        <v>2</v>
      </c>
      <c r="F6114" t="s">
        <v>6149</v>
      </c>
    </row>
    <row r="6115" spans="1:6" x14ac:dyDescent="0.25">
      <c r="A6115" t="s">
        <v>6129</v>
      </c>
      <c r="B6115" t="s">
        <v>497</v>
      </c>
      <c r="C6115" t="s">
        <v>498</v>
      </c>
      <c r="D6115" t="str">
        <f>HYPERLINK("http://service.sap.com/sap/support/notes/1756598","1756598")</f>
        <v>1756598</v>
      </c>
      <c r="E6115">
        <v>2</v>
      </c>
      <c r="F6115" t="s">
        <v>6150</v>
      </c>
    </row>
    <row r="6116" spans="1:6" x14ac:dyDescent="0.25">
      <c r="A6116" t="s">
        <v>6129</v>
      </c>
      <c r="B6116" t="s">
        <v>497</v>
      </c>
      <c r="C6116" t="s">
        <v>498</v>
      </c>
      <c r="D6116" t="str">
        <f>HYPERLINK("http://service.sap.com/sap/support/notes/1757489","1757489")</f>
        <v>1757489</v>
      </c>
      <c r="E6116">
        <v>1</v>
      </c>
      <c r="F6116" t="s">
        <v>6151</v>
      </c>
    </row>
    <row r="6117" spans="1:6" x14ac:dyDescent="0.25">
      <c r="A6117" t="s">
        <v>6129</v>
      </c>
      <c r="B6117" t="s">
        <v>497</v>
      </c>
      <c r="C6117" t="s">
        <v>498</v>
      </c>
      <c r="D6117" t="str">
        <f>HYPERLINK("http://service.sap.com/sap/support/notes/1757563","1757563")</f>
        <v>1757563</v>
      </c>
      <c r="E6117">
        <v>1</v>
      </c>
      <c r="F6117" t="s">
        <v>6152</v>
      </c>
    </row>
    <row r="6118" spans="1:6" x14ac:dyDescent="0.25">
      <c r="A6118" t="s">
        <v>6129</v>
      </c>
      <c r="B6118" t="s">
        <v>497</v>
      </c>
      <c r="C6118" t="s">
        <v>498</v>
      </c>
      <c r="D6118" t="str">
        <f>HYPERLINK("http://service.sap.com/sap/support/notes/1758685","1758685")</f>
        <v>1758685</v>
      </c>
      <c r="E6118">
        <v>1</v>
      </c>
      <c r="F6118" t="s">
        <v>6153</v>
      </c>
    </row>
    <row r="6119" spans="1:6" x14ac:dyDescent="0.25">
      <c r="A6119" t="s">
        <v>6129</v>
      </c>
      <c r="B6119" t="s">
        <v>497</v>
      </c>
      <c r="C6119" t="s">
        <v>498</v>
      </c>
      <c r="D6119" t="str">
        <f>HYPERLINK("http://service.sap.com/sap/support/notes/1759591","1759591")</f>
        <v>1759591</v>
      </c>
      <c r="E6119">
        <v>4</v>
      </c>
      <c r="F6119" t="s">
        <v>6154</v>
      </c>
    </row>
    <row r="6120" spans="1:6" x14ac:dyDescent="0.25">
      <c r="A6120" t="s">
        <v>6129</v>
      </c>
      <c r="B6120" t="s">
        <v>497</v>
      </c>
      <c r="C6120" t="s">
        <v>498</v>
      </c>
      <c r="D6120" t="str">
        <f>HYPERLINK("http://service.sap.com/sap/support/notes/1760237","1760237")</f>
        <v>1760237</v>
      </c>
      <c r="E6120">
        <v>1</v>
      </c>
      <c r="F6120" t="s">
        <v>6155</v>
      </c>
    </row>
    <row r="6121" spans="1:6" x14ac:dyDescent="0.25">
      <c r="A6121" t="s">
        <v>6129</v>
      </c>
      <c r="B6121" t="s">
        <v>497</v>
      </c>
      <c r="C6121" t="s">
        <v>498</v>
      </c>
      <c r="D6121" t="str">
        <f>HYPERLINK("http://service.sap.com/sap/support/notes/1760430","1760430")</f>
        <v>1760430</v>
      </c>
      <c r="E6121">
        <v>1</v>
      </c>
      <c r="F6121" t="s">
        <v>6156</v>
      </c>
    </row>
    <row r="6122" spans="1:6" x14ac:dyDescent="0.25">
      <c r="A6122" t="s">
        <v>6129</v>
      </c>
      <c r="B6122" t="s">
        <v>497</v>
      </c>
      <c r="C6122" t="s">
        <v>498</v>
      </c>
      <c r="D6122" t="str">
        <f>HYPERLINK("http://service.sap.com/sap/support/notes/1760690","1760690")</f>
        <v>1760690</v>
      </c>
      <c r="E6122">
        <v>1</v>
      </c>
      <c r="F6122" t="s">
        <v>6157</v>
      </c>
    </row>
    <row r="6123" spans="1:6" x14ac:dyDescent="0.25">
      <c r="A6123" t="s">
        <v>6129</v>
      </c>
      <c r="B6123" t="s">
        <v>497</v>
      </c>
      <c r="C6123" t="s">
        <v>498</v>
      </c>
      <c r="D6123" t="str">
        <f>HYPERLINK("http://service.sap.com/sap/support/notes/1760815","1760815")</f>
        <v>1760815</v>
      </c>
      <c r="E6123">
        <v>1</v>
      </c>
      <c r="F6123" t="s">
        <v>6158</v>
      </c>
    </row>
    <row r="6124" spans="1:6" x14ac:dyDescent="0.25">
      <c r="A6124" t="s">
        <v>6129</v>
      </c>
      <c r="B6124" t="s">
        <v>497</v>
      </c>
      <c r="C6124" t="s">
        <v>498</v>
      </c>
      <c r="D6124" t="str">
        <f>HYPERLINK("http://service.sap.com/sap/support/notes/1761635","1761635")</f>
        <v>1761635</v>
      </c>
      <c r="E6124">
        <v>1</v>
      </c>
      <c r="F6124" t="s">
        <v>6159</v>
      </c>
    </row>
    <row r="6125" spans="1:6" x14ac:dyDescent="0.25">
      <c r="A6125" t="s">
        <v>6129</v>
      </c>
      <c r="B6125" t="s">
        <v>497</v>
      </c>
      <c r="C6125" t="s">
        <v>498</v>
      </c>
      <c r="D6125" t="str">
        <f>HYPERLINK("http://service.sap.com/sap/support/notes/1762255","1762255")</f>
        <v>1762255</v>
      </c>
      <c r="E6125">
        <v>1</v>
      </c>
      <c r="F6125" t="s">
        <v>6160</v>
      </c>
    </row>
    <row r="6126" spans="1:6" x14ac:dyDescent="0.25">
      <c r="A6126" t="s">
        <v>6129</v>
      </c>
      <c r="B6126" t="s">
        <v>497</v>
      </c>
      <c r="C6126" t="s">
        <v>498</v>
      </c>
      <c r="D6126" t="str">
        <f>HYPERLINK("http://service.sap.com/sap/support/notes/1763170","1763170")</f>
        <v>1763170</v>
      </c>
      <c r="E6126">
        <v>1</v>
      </c>
      <c r="F6126" t="s">
        <v>6161</v>
      </c>
    </row>
    <row r="6127" spans="1:6" x14ac:dyDescent="0.25">
      <c r="A6127" t="s">
        <v>6129</v>
      </c>
      <c r="B6127" t="s">
        <v>497</v>
      </c>
      <c r="C6127" t="s">
        <v>498</v>
      </c>
      <c r="D6127" t="str">
        <f>HYPERLINK("http://service.sap.com/sap/support/notes/1763837","1763837")</f>
        <v>1763837</v>
      </c>
      <c r="E6127">
        <v>1</v>
      </c>
      <c r="F6127" t="s">
        <v>6162</v>
      </c>
    </row>
    <row r="6128" spans="1:6" x14ac:dyDescent="0.25">
      <c r="A6128" t="s">
        <v>6129</v>
      </c>
      <c r="B6128" t="s">
        <v>497</v>
      </c>
      <c r="C6128" t="s">
        <v>498</v>
      </c>
      <c r="D6128" t="str">
        <f>HYPERLINK("http://service.sap.com/sap/support/notes/1763966","1763966")</f>
        <v>1763966</v>
      </c>
      <c r="E6128">
        <v>1</v>
      </c>
      <c r="F6128" t="s">
        <v>6163</v>
      </c>
    </row>
    <row r="6129" spans="1:6" x14ac:dyDescent="0.25">
      <c r="A6129" t="s">
        <v>6129</v>
      </c>
      <c r="B6129" t="s">
        <v>497</v>
      </c>
      <c r="C6129" t="s">
        <v>498</v>
      </c>
      <c r="D6129" t="str">
        <f>HYPERLINK("http://service.sap.com/sap/support/notes/1764489","1764489")</f>
        <v>1764489</v>
      </c>
      <c r="E6129">
        <v>1</v>
      </c>
      <c r="F6129" t="s">
        <v>6164</v>
      </c>
    </row>
    <row r="6130" spans="1:6" x14ac:dyDescent="0.25">
      <c r="A6130" t="s">
        <v>6129</v>
      </c>
      <c r="B6130" t="s">
        <v>497</v>
      </c>
      <c r="C6130" t="s">
        <v>498</v>
      </c>
      <c r="D6130" t="str">
        <f>HYPERLINK("http://service.sap.com/sap/support/notes/1765837","1765837")</f>
        <v>1765837</v>
      </c>
      <c r="E6130">
        <v>1</v>
      </c>
      <c r="F6130" t="s">
        <v>6165</v>
      </c>
    </row>
    <row r="6131" spans="1:6" x14ac:dyDescent="0.25">
      <c r="A6131" t="s">
        <v>6129</v>
      </c>
      <c r="B6131" t="s">
        <v>497</v>
      </c>
      <c r="C6131" t="s">
        <v>498</v>
      </c>
      <c r="D6131" t="str">
        <f>HYPERLINK("http://service.sap.com/sap/support/notes/1766042","1766042")</f>
        <v>1766042</v>
      </c>
      <c r="E6131">
        <v>1</v>
      </c>
      <c r="F6131" t="s">
        <v>6166</v>
      </c>
    </row>
    <row r="6132" spans="1:6" x14ac:dyDescent="0.25">
      <c r="A6132" t="s">
        <v>6129</v>
      </c>
      <c r="B6132" t="s">
        <v>497</v>
      </c>
      <c r="C6132" t="s">
        <v>498</v>
      </c>
      <c r="D6132" t="str">
        <f>HYPERLINK("http://service.sap.com/sap/support/notes/1766511","1766511")</f>
        <v>1766511</v>
      </c>
      <c r="E6132">
        <v>2</v>
      </c>
      <c r="F6132" t="s">
        <v>6167</v>
      </c>
    </row>
    <row r="6133" spans="1:6" x14ac:dyDescent="0.25">
      <c r="A6133" t="s">
        <v>6129</v>
      </c>
      <c r="B6133" t="s">
        <v>497</v>
      </c>
      <c r="C6133" t="s">
        <v>498</v>
      </c>
      <c r="D6133" t="str">
        <f>HYPERLINK("http://service.sap.com/sap/support/notes/1766576","1766576")</f>
        <v>1766576</v>
      </c>
      <c r="E6133">
        <v>1</v>
      </c>
      <c r="F6133" t="s">
        <v>6168</v>
      </c>
    </row>
    <row r="6134" spans="1:6" x14ac:dyDescent="0.25">
      <c r="A6134" t="s">
        <v>6129</v>
      </c>
      <c r="B6134" t="s">
        <v>656</v>
      </c>
      <c r="C6134" t="s">
        <v>657</v>
      </c>
      <c r="D6134" t="str">
        <f>HYPERLINK("http://service.sap.com/sap/support/notes/1750704","1750704")</f>
        <v>1750704</v>
      </c>
      <c r="E6134">
        <v>1</v>
      </c>
      <c r="F6134" t="s">
        <v>6169</v>
      </c>
    </row>
    <row r="6135" spans="1:6" x14ac:dyDescent="0.25">
      <c r="A6135" t="s">
        <v>6129</v>
      </c>
      <c r="B6135" t="s">
        <v>656</v>
      </c>
      <c r="C6135" t="s">
        <v>657</v>
      </c>
      <c r="D6135" t="str">
        <f>HYPERLINK("http://service.sap.com/sap/support/notes/1751619","1751619")</f>
        <v>1751619</v>
      </c>
      <c r="E6135">
        <v>1</v>
      </c>
      <c r="F6135" t="s">
        <v>6170</v>
      </c>
    </row>
    <row r="6136" spans="1:6" x14ac:dyDescent="0.25">
      <c r="A6136" t="s">
        <v>6129</v>
      </c>
      <c r="B6136" t="s">
        <v>656</v>
      </c>
      <c r="C6136" t="s">
        <v>657</v>
      </c>
      <c r="D6136" t="str">
        <f>HYPERLINK("http://service.sap.com/sap/support/notes/1753211","1753211")</f>
        <v>1753211</v>
      </c>
      <c r="E6136">
        <v>1</v>
      </c>
      <c r="F6136" t="s">
        <v>6171</v>
      </c>
    </row>
    <row r="6137" spans="1:6" x14ac:dyDescent="0.25">
      <c r="A6137" t="s">
        <v>6129</v>
      </c>
      <c r="B6137" t="s">
        <v>656</v>
      </c>
      <c r="C6137" t="s">
        <v>657</v>
      </c>
      <c r="D6137" t="str">
        <f>HYPERLINK("http://service.sap.com/sap/support/notes/1758237","1758237")</f>
        <v>1758237</v>
      </c>
      <c r="E6137">
        <v>1</v>
      </c>
      <c r="F6137" t="s">
        <v>6172</v>
      </c>
    </row>
    <row r="6138" spans="1:6" x14ac:dyDescent="0.25">
      <c r="A6138" t="s">
        <v>6129</v>
      </c>
      <c r="B6138" t="s">
        <v>656</v>
      </c>
      <c r="C6138" t="s">
        <v>657</v>
      </c>
      <c r="D6138" t="str">
        <f>HYPERLINK("http://service.sap.com/sap/support/notes/1758675","1758675")</f>
        <v>1758675</v>
      </c>
      <c r="E6138">
        <v>1</v>
      </c>
      <c r="F6138" t="s">
        <v>6173</v>
      </c>
    </row>
    <row r="6139" spans="1:6" x14ac:dyDescent="0.25">
      <c r="A6139" t="s">
        <v>6129</v>
      </c>
      <c r="B6139" t="s">
        <v>656</v>
      </c>
      <c r="C6139" t="s">
        <v>657</v>
      </c>
      <c r="D6139" t="str">
        <f>HYPERLINK("http://service.sap.com/sap/support/notes/1759745","1759745")</f>
        <v>1759745</v>
      </c>
      <c r="E6139">
        <v>1</v>
      </c>
      <c r="F6139" t="s">
        <v>6174</v>
      </c>
    </row>
    <row r="6140" spans="1:6" x14ac:dyDescent="0.25">
      <c r="A6140" t="s">
        <v>6129</v>
      </c>
      <c r="B6140" t="s">
        <v>656</v>
      </c>
      <c r="C6140" t="s">
        <v>657</v>
      </c>
      <c r="D6140" t="str">
        <f>HYPERLINK("http://service.sap.com/sap/support/notes/1760167","1760167")</f>
        <v>1760167</v>
      </c>
      <c r="E6140">
        <v>2</v>
      </c>
      <c r="F6140" t="s">
        <v>6175</v>
      </c>
    </row>
    <row r="6141" spans="1:6" x14ac:dyDescent="0.25">
      <c r="A6141" t="s">
        <v>6129</v>
      </c>
      <c r="B6141" t="s">
        <v>656</v>
      </c>
      <c r="C6141" t="s">
        <v>657</v>
      </c>
      <c r="D6141" t="str">
        <f>HYPERLINK("http://service.sap.com/sap/support/notes/1760272","1760272")</f>
        <v>1760272</v>
      </c>
      <c r="E6141">
        <v>1</v>
      </c>
      <c r="F6141" t="s">
        <v>6176</v>
      </c>
    </row>
    <row r="6142" spans="1:6" x14ac:dyDescent="0.25">
      <c r="A6142" t="s">
        <v>6129</v>
      </c>
      <c r="B6142" t="s">
        <v>656</v>
      </c>
      <c r="C6142" t="s">
        <v>657</v>
      </c>
      <c r="D6142" t="str">
        <f>HYPERLINK("http://service.sap.com/sap/support/notes/1760638","1760638")</f>
        <v>1760638</v>
      </c>
      <c r="E6142">
        <v>1</v>
      </c>
      <c r="F6142" t="s">
        <v>6177</v>
      </c>
    </row>
    <row r="6143" spans="1:6" x14ac:dyDescent="0.25">
      <c r="A6143" t="s">
        <v>6129</v>
      </c>
      <c r="B6143" t="s">
        <v>656</v>
      </c>
      <c r="C6143" t="s">
        <v>657</v>
      </c>
      <c r="D6143" t="str">
        <f>HYPERLINK("http://service.sap.com/sap/support/notes/1762186","1762186")</f>
        <v>1762186</v>
      </c>
      <c r="E6143">
        <v>1</v>
      </c>
      <c r="F6143" t="s">
        <v>6178</v>
      </c>
    </row>
    <row r="6144" spans="1:6" x14ac:dyDescent="0.25">
      <c r="A6144" t="s">
        <v>6129</v>
      </c>
      <c r="B6144" t="s">
        <v>656</v>
      </c>
      <c r="C6144" t="s">
        <v>657</v>
      </c>
      <c r="D6144" t="str">
        <f>HYPERLINK("http://service.sap.com/sap/support/notes/1762288","1762288")</f>
        <v>1762288</v>
      </c>
      <c r="E6144">
        <v>1</v>
      </c>
      <c r="F6144" t="s">
        <v>6179</v>
      </c>
    </row>
    <row r="6145" spans="1:6" x14ac:dyDescent="0.25">
      <c r="A6145" t="s">
        <v>6129</v>
      </c>
      <c r="B6145" t="s">
        <v>656</v>
      </c>
      <c r="C6145" t="s">
        <v>657</v>
      </c>
      <c r="D6145" t="str">
        <f>HYPERLINK("http://service.sap.com/sap/support/notes/1762662","1762662")</f>
        <v>1762662</v>
      </c>
      <c r="E6145">
        <v>1</v>
      </c>
      <c r="F6145" t="s">
        <v>6180</v>
      </c>
    </row>
    <row r="6146" spans="1:6" x14ac:dyDescent="0.25">
      <c r="A6146" t="s">
        <v>6129</v>
      </c>
      <c r="B6146" t="s">
        <v>656</v>
      </c>
      <c r="C6146" t="s">
        <v>657</v>
      </c>
      <c r="D6146" t="str">
        <f>HYPERLINK("http://service.sap.com/sap/support/notes/1762760","1762760")</f>
        <v>1762760</v>
      </c>
      <c r="E6146">
        <v>2</v>
      </c>
      <c r="F6146" t="s">
        <v>6181</v>
      </c>
    </row>
    <row r="6147" spans="1:6" x14ac:dyDescent="0.25">
      <c r="A6147" t="s">
        <v>6129</v>
      </c>
      <c r="B6147" t="s">
        <v>656</v>
      </c>
      <c r="C6147" t="s">
        <v>657</v>
      </c>
      <c r="D6147" t="str">
        <f>HYPERLINK("http://service.sap.com/sap/support/notes/1763989","1763989")</f>
        <v>1763989</v>
      </c>
      <c r="E6147">
        <v>1</v>
      </c>
      <c r="F6147" t="s">
        <v>6182</v>
      </c>
    </row>
    <row r="6148" spans="1:6" x14ac:dyDescent="0.25">
      <c r="A6148" t="s">
        <v>6129</v>
      </c>
      <c r="B6148" t="s">
        <v>656</v>
      </c>
      <c r="C6148" t="s">
        <v>657</v>
      </c>
      <c r="D6148" t="str">
        <f>HYPERLINK("http://service.sap.com/sap/support/notes/1764229","1764229")</f>
        <v>1764229</v>
      </c>
      <c r="E6148">
        <v>1</v>
      </c>
      <c r="F6148" t="s">
        <v>6183</v>
      </c>
    </row>
    <row r="6149" spans="1:6" x14ac:dyDescent="0.25">
      <c r="A6149" t="s">
        <v>6129</v>
      </c>
      <c r="B6149" t="s">
        <v>656</v>
      </c>
      <c r="C6149" t="s">
        <v>657</v>
      </c>
      <c r="D6149" t="str">
        <f>HYPERLINK("http://service.sap.com/sap/support/notes/1764956","1764956")</f>
        <v>1764956</v>
      </c>
      <c r="E6149">
        <v>1</v>
      </c>
      <c r="F6149" t="s">
        <v>6184</v>
      </c>
    </row>
    <row r="6150" spans="1:6" x14ac:dyDescent="0.25">
      <c r="A6150" t="s">
        <v>6129</v>
      </c>
      <c r="B6150" t="s">
        <v>656</v>
      </c>
      <c r="C6150" t="s">
        <v>657</v>
      </c>
      <c r="D6150" t="str">
        <f>HYPERLINK("http://service.sap.com/sap/support/notes/1765329","1765329")</f>
        <v>1765329</v>
      </c>
      <c r="E6150">
        <v>1</v>
      </c>
      <c r="F6150" t="s">
        <v>6185</v>
      </c>
    </row>
    <row r="6151" spans="1:6" x14ac:dyDescent="0.25">
      <c r="A6151" t="s">
        <v>6129</v>
      </c>
      <c r="B6151" t="s">
        <v>656</v>
      </c>
      <c r="C6151" t="s">
        <v>657</v>
      </c>
      <c r="D6151" t="str">
        <f>HYPERLINK("http://service.sap.com/sap/support/notes/1765468","1765468")</f>
        <v>1765468</v>
      </c>
      <c r="E6151">
        <v>1</v>
      </c>
      <c r="F6151" t="s">
        <v>6186</v>
      </c>
    </row>
    <row r="6152" spans="1:6" x14ac:dyDescent="0.25">
      <c r="A6152" t="s">
        <v>6129</v>
      </c>
      <c r="B6152" t="s">
        <v>656</v>
      </c>
      <c r="C6152" t="s">
        <v>657</v>
      </c>
      <c r="D6152" t="str">
        <f>HYPERLINK("http://service.sap.com/sap/support/notes/1765992","1765992")</f>
        <v>1765992</v>
      </c>
      <c r="E6152">
        <v>1</v>
      </c>
      <c r="F6152" t="s">
        <v>6187</v>
      </c>
    </row>
    <row r="6153" spans="1:6" x14ac:dyDescent="0.25">
      <c r="A6153" t="s">
        <v>6129</v>
      </c>
      <c r="B6153" t="s">
        <v>656</v>
      </c>
      <c r="C6153" t="s">
        <v>657</v>
      </c>
      <c r="D6153" t="str">
        <f>HYPERLINK("http://service.sap.com/sap/support/notes/1766020","1766020")</f>
        <v>1766020</v>
      </c>
      <c r="E6153">
        <v>1</v>
      </c>
      <c r="F6153" t="s">
        <v>6181</v>
      </c>
    </row>
    <row r="6154" spans="1:6" x14ac:dyDescent="0.25">
      <c r="A6154" t="s">
        <v>6129</v>
      </c>
      <c r="B6154" t="s">
        <v>656</v>
      </c>
      <c r="C6154" t="s">
        <v>657</v>
      </c>
      <c r="D6154" t="str">
        <f>HYPERLINK("http://service.sap.com/sap/support/notes/1766760","1766760")</f>
        <v>1766760</v>
      </c>
      <c r="E6154">
        <v>1</v>
      </c>
      <c r="F6154" t="s">
        <v>6188</v>
      </c>
    </row>
    <row r="6155" spans="1:6" x14ac:dyDescent="0.25">
      <c r="A6155" t="s">
        <v>6129</v>
      </c>
      <c r="B6155" t="s">
        <v>694</v>
      </c>
      <c r="C6155" t="s">
        <v>695</v>
      </c>
      <c r="D6155" t="str">
        <f>HYPERLINK("http://service.sap.com/sap/support/notes/1760600","1760600")</f>
        <v>1760600</v>
      </c>
      <c r="E6155">
        <v>1</v>
      </c>
      <c r="F6155" t="s">
        <v>6189</v>
      </c>
    </row>
    <row r="6156" spans="1:6" x14ac:dyDescent="0.25">
      <c r="A6156" t="s">
        <v>6129</v>
      </c>
      <c r="B6156" t="s">
        <v>5795</v>
      </c>
      <c r="C6156" t="s">
        <v>5796</v>
      </c>
      <c r="D6156" t="str">
        <f>HYPERLINK("http://service.sap.com/sap/support/notes/1758052","1758052")</f>
        <v>1758052</v>
      </c>
      <c r="E6156">
        <v>2</v>
      </c>
      <c r="F6156" t="s">
        <v>6190</v>
      </c>
    </row>
    <row r="6157" spans="1:6" x14ac:dyDescent="0.25">
      <c r="A6157" t="s">
        <v>6129</v>
      </c>
      <c r="B6157" t="s">
        <v>5798</v>
      </c>
      <c r="C6157" t="s">
        <v>5799</v>
      </c>
      <c r="D6157" t="str">
        <f>HYPERLINK("http://service.sap.com/sap/support/notes/1754668","1754668")</f>
        <v>1754668</v>
      </c>
      <c r="E6157">
        <v>2</v>
      </c>
      <c r="F6157" t="s">
        <v>6191</v>
      </c>
    </row>
    <row r="6158" spans="1:6" x14ac:dyDescent="0.25">
      <c r="A6158" t="s">
        <v>6129</v>
      </c>
      <c r="B6158" t="s">
        <v>5798</v>
      </c>
      <c r="C6158" t="s">
        <v>5799</v>
      </c>
      <c r="D6158" t="str">
        <f>HYPERLINK("http://service.sap.com/sap/support/notes/1759726","1759726")</f>
        <v>1759726</v>
      </c>
      <c r="E6158">
        <v>1</v>
      </c>
      <c r="F6158" t="s">
        <v>6192</v>
      </c>
    </row>
    <row r="6159" spans="1:6" x14ac:dyDescent="0.25">
      <c r="A6159" t="s">
        <v>6129</v>
      </c>
      <c r="B6159" t="s">
        <v>24</v>
      </c>
      <c r="C6159" t="s">
        <v>10</v>
      </c>
    </row>
    <row r="6160" spans="1:6" x14ac:dyDescent="0.25">
      <c r="A6160" t="s">
        <v>6129</v>
      </c>
      <c r="B6160" t="s">
        <v>5505</v>
      </c>
      <c r="C6160" t="s">
        <v>5506</v>
      </c>
      <c r="D6160" t="str">
        <f>HYPERLINK("http://service.sap.com/sap/support/notes/1755398","1755398")</f>
        <v>1755398</v>
      </c>
      <c r="E6160">
        <v>1</v>
      </c>
      <c r="F6160" t="s">
        <v>6193</v>
      </c>
    </row>
    <row r="6161" spans="1:6" x14ac:dyDescent="0.25">
      <c r="A6161" t="s">
        <v>6129</v>
      </c>
      <c r="B6161" t="s">
        <v>5505</v>
      </c>
      <c r="C6161" t="s">
        <v>5506</v>
      </c>
      <c r="D6161" t="str">
        <f>HYPERLINK("http://service.sap.com/sap/support/notes/1760186","1760186")</f>
        <v>1760186</v>
      </c>
      <c r="E6161">
        <v>1</v>
      </c>
      <c r="F6161" t="s">
        <v>6194</v>
      </c>
    </row>
    <row r="6162" spans="1:6" x14ac:dyDescent="0.25">
      <c r="A6162" t="s">
        <v>6129</v>
      </c>
      <c r="B6162" t="s">
        <v>5505</v>
      </c>
      <c r="C6162" t="s">
        <v>5506</v>
      </c>
      <c r="D6162" t="str">
        <f>HYPERLINK("http://service.sap.com/sap/support/notes/1760189","1760189")</f>
        <v>1760189</v>
      </c>
      <c r="E6162">
        <v>3</v>
      </c>
      <c r="F6162" t="s">
        <v>6195</v>
      </c>
    </row>
    <row r="6163" spans="1:6" x14ac:dyDescent="0.25">
      <c r="A6163" t="s">
        <v>6129</v>
      </c>
      <c r="B6163" t="s">
        <v>5505</v>
      </c>
      <c r="C6163" t="s">
        <v>5506</v>
      </c>
      <c r="D6163" t="str">
        <f>HYPERLINK("http://service.sap.com/sap/support/notes/1761472","1761472")</f>
        <v>1761472</v>
      </c>
      <c r="E6163">
        <v>1</v>
      </c>
      <c r="F6163" t="s">
        <v>6196</v>
      </c>
    </row>
    <row r="6164" spans="1:6" x14ac:dyDescent="0.25">
      <c r="A6164" t="s">
        <v>6129</v>
      </c>
      <c r="B6164" t="s">
        <v>5505</v>
      </c>
      <c r="C6164" t="s">
        <v>5506</v>
      </c>
      <c r="D6164" t="str">
        <f>HYPERLINK("http://service.sap.com/sap/support/notes/1762071","1762071")</f>
        <v>1762071</v>
      </c>
      <c r="E6164">
        <v>1</v>
      </c>
      <c r="F6164" t="s">
        <v>6197</v>
      </c>
    </row>
    <row r="6165" spans="1:6" x14ac:dyDescent="0.25">
      <c r="A6165" t="s">
        <v>6129</v>
      </c>
      <c r="B6165" t="s">
        <v>5505</v>
      </c>
      <c r="C6165" t="s">
        <v>5506</v>
      </c>
      <c r="D6165" t="str">
        <f>HYPERLINK("http://service.sap.com/sap/support/notes/1766893","1766893")</f>
        <v>1766893</v>
      </c>
      <c r="E6165">
        <v>1</v>
      </c>
      <c r="F6165" t="s">
        <v>6198</v>
      </c>
    </row>
    <row r="6166" spans="1:6" x14ac:dyDescent="0.25">
      <c r="A6166" t="s">
        <v>6129</v>
      </c>
      <c r="B6166" t="s">
        <v>503</v>
      </c>
      <c r="C6166" t="s">
        <v>504</v>
      </c>
    </row>
    <row r="6167" spans="1:6" x14ac:dyDescent="0.25">
      <c r="A6167" t="s">
        <v>6129</v>
      </c>
      <c r="B6167" t="s">
        <v>507</v>
      </c>
      <c r="C6167" t="s">
        <v>484</v>
      </c>
      <c r="D6167" t="str">
        <f>HYPERLINK("http://service.sap.com/sap/support/notes/1757802","1757802")</f>
        <v>1757802</v>
      </c>
      <c r="E6167">
        <v>1</v>
      </c>
      <c r="F6167" t="s">
        <v>6199</v>
      </c>
    </row>
    <row r="6168" spans="1:6" x14ac:dyDescent="0.25">
      <c r="A6168" t="s">
        <v>6129</v>
      </c>
      <c r="B6168" t="s">
        <v>507</v>
      </c>
      <c r="C6168" t="s">
        <v>484</v>
      </c>
      <c r="D6168" t="str">
        <f>HYPERLINK("http://service.sap.com/sap/support/notes/1761490","1761490")</f>
        <v>1761490</v>
      </c>
      <c r="E6168">
        <v>1</v>
      </c>
      <c r="F6168" t="s">
        <v>6200</v>
      </c>
    </row>
    <row r="6169" spans="1:6" x14ac:dyDescent="0.25">
      <c r="A6169" t="s">
        <v>6129</v>
      </c>
      <c r="B6169" t="s">
        <v>5514</v>
      </c>
      <c r="C6169" t="s">
        <v>5515</v>
      </c>
      <c r="D6169" t="str">
        <f>HYPERLINK("http://service.sap.com/sap/support/notes/1731305","1731305")</f>
        <v>1731305</v>
      </c>
      <c r="E6169">
        <v>3</v>
      </c>
      <c r="F6169" t="s">
        <v>6201</v>
      </c>
    </row>
    <row r="6170" spans="1:6" x14ac:dyDescent="0.25">
      <c r="A6170" t="s">
        <v>6129</v>
      </c>
      <c r="B6170" t="s">
        <v>5514</v>
      </c>
      <c r="C6170" t="s">
        <v>5515</v>
      </c>
      <c r="D6170" t="str">
        <f>HYPERLINK("http://service.sap.com/sap/support/notes/1757392","1757392")</f>
        <v>1757392</v>
      </c>
      <c r="E6170">
        <v>4</v>
      </c>
      <c r="F6170" t="s">
        <v>6202</v>
      </c>
    </row>
    <row r="6171" spans="1:6" x14ac:dyDescent="0.25">
      <c r="A6171" t="s">
        <v>6129</v>
      </c>
      <c r="B6171" t="s">
        <v>5514</v>
      </c>
      <c r="C6171" t="s">
        <v>5515</v>
      </c>
      <c r="D6171" t="str">
        <f>HYPERLINK("http://service.sap.com/sap/support/notes/1763069","1763069")</f>
        <v>1763069</v>
      </c>
      <c r="E6171">
        <v>3</v>
      </c>
      <c r="F6171" t="s">
        <v>6203</v>
      </c>
    </row>
    <row r="6172" spans="1:6" x14ac:dyDescent="0.25">
      <c r="A6172" t="s">
        <v>6129</v>
      </c>
      <c r="B6172" t="s">
        <v>5524</v>
      </c>
      <c r="C6172" t="s">
        <v>5525</v>
      </c>
      <c r="D6172" t="str">
        <f>HYPERLINK("http://service.sap.com/sap/support/notes/1751023","1751023")</f>
        <v>1751023</v>
      </c>
      <c r="E6172">
        <v>1</v>
      </c>
      <c r="F6172" t="s">
        <v>6204</v>
      </c>
    </row>
    <row r="6173" spans="1:6" x14ac:dyDescent="0.25">
      <c r="A6173" t="s">
        <v>6129</v>
      </c>
      <c r="B6173" t="s">
        <v>5524</v>
      </c>
      <c r="C6173" t="s">
        <v>5525</v>
      </c>
      <c r="D6173" t="str">
        <f>HYPERLINK("http://service.sap.com/sap/support/notes/1756562","1756562")</f>
        <v>1756562</v>
      </c>
      <c r="E6173">
        <v>1</v>
      </c>
      <c r="F6173" t="s">
        <v>6205</v>
      </c>
    </row>
    <row r="6174" spans="1:6" x14ac:dyDescent="0.25">
      <c r="A6174" t="s">
        <v>6129</v>
      </c>
      <c r="B6174" t="s">
        <v>5536</v>
      </c>
      <c r="C6174" t="s">
        <v>5537</v>
      </c>
      <c r="D6174" t="str">
        <f>HYPERLINK("http://service.sap.com/sap/support/notes/1757211","1757211")</f>
        <v>1757211</v>
      </c>
      <c r="E6174">
        <v>2</v>
      </c>
      <c r="F6174" t="s">
        <v>6206</v>
      </c>
    </row>
    <row r="6175" spans="1:6" x14ac:dyDescent="0.25">
      <c r="A6175" t="s">
        <v>6129</v>
      </c>
      <c r="B6175" t="s">
        <v>5536</v>
      </c>
      <c r="C6175" t="s">
        <v>5537</v>
      </c>
      <c r="D6175" t="str">
        <f>HYPERLINK("http://service.sap.com/sap/support/notes/1757776","1757776")</f>
        <v>1757776</v>
      </c>
      <c r="E6175">
        <v>3</v>
      </c>
      <c r="F6175" t="s">
        <v>6207</v>
      </c>
    </row>
    <row r="6176" spans="1:6" x14ac:dyDescent="0.25">
      <c r="A6176" t="s">
        <v>6129</v>
      </c>
      <c r="B6176" t="s">
        <v>5539</v>
      </c>
      <c r="C6176" t="s">
        <v>5540</v>
      </c>
    </row>
    <row r="6177" spans="1:6" x14ac:dyDescent="0.25">
      <c r="A6177" t="s">
        <v>6129</v>
      </c>
      <c r="B6177" t="s">
        <v>5541</v>
      </c>
      <c r="C6177" t="s">
        <v>5542</v>
      </c>
      <c r="D6177" t="str">
        <f>HYPERLINK("http://service.sap.com/sap/support/notes/1755609","1755609")</f>
        <v>1755609</v>
      </c>
      <c r="E6177">
        <v>1</v>
      </c>
      <c r="F6177" t="s">
        <v>6208</v>
      </c>
    </row>
    <row r="6178" spans="1:6" x14ac:dyDescent="0.25">
      <c r="A6178" t="s">
        <v>6129</v>
      </c>
      <c r="B6178" t="s">
        <v>5546</v>
      </c>
      <c r="C6178" t="s">
        <v>5547</v>
      </c>
      <c r="D6178" t="str">
        <f>HYPERLINK("http://service.sap.com/sap/support/notes/1755844","1755844")</f>
        <v>1755844</v>
      </c>
      <c r="E6178">
        <v>1</v>
      </c>
      <c r="F6178" t="s">
        <v>6209</v>
      </c>
    </row>
    <row r="6179" spans="1:6" x14ac:dyDescent="0.25">
      <c r="A6179" t="s">
        <v>6129</v>
      </c>
      <c r="B6179" t="s">
        <v>5546</v>
      </c>
      <c r="C6179" t="s">
        <v>5547</v>
      </c>
      <c r="D6179" t="str">
        <f>HYPERLINK("http://service.sap.com/sap/support/notes/1762587","1762587")</f>
        <v>1762587</v>
      </c>
      <c r="E6179">
        <v>1</v>
      </c>
      <c r="F6179" t="s">
        <v>6210</v>
      </c>
    </row>
    <row r="6180" spans="1:6" x14ac:dyDescent="0.25">
      <c r="A6180" t="s">
        <v>6129</v>
      </c>
      <c r="B6180" t="s">
        <v>5546</v>
      </c>
      <c r="C6180" t="s">
        <v>5547</v>
      </c>
      <c r="D6180" t="str">
        <f>HYPERLINK("http://service.sap.com/sap/support/notes/1764120","1764120")</f>
        <v>1764120</v>
      </c>
      <c r="E6180">
        <v>1</v>
      </c>
      <c r="F6180" t="s">
        <v>6211</v>
      </c>
    </row>
    <row r="6181" spans="1:6" x14ac:dyDescent="0.25">
      <c r="A6181" t="s">
        <v>6129</v>
      </c>
      <c r="B6181" t="s">
        <v>5546</v>
      </c>
      <c r="C6181" t="s">
        <v>5547</v>
      </c>
      <c r="D6181" t="str">
        <f>HYPERLINK("http://service.sap.com/sap/support/notes/1765925","1765925")</f>
        <v>1765925</v>
      </c>
      <c r="E6181">
        <v>1</v>
      </c>
      <c r="F6181" t="s">
        <v>6212</v>
      </c>
    </row>
    <row r="6182" spans="1:6" x14ac:dyDescent="0.25">
      <c r="A6182" t="s">
        <v>6129</v>
      </c>
      <c r="B6182" t="s">
        <v>510</v>
      </c>
      <c r="C6182" t="s">
        <v>5562</v>
      </c>
      <c r="D6182" t="str">
        <f>HYPERLINK("http://service.sap.com/sap/support/notes/1753195","1753195")</f>
        <v>1753195</v>
      </c>
      <c r="E6182">
        <v>1</v>
      </c>
      <c r="F6182" t="s">
        <v>6213</v>
      </c>
    </row>
    <row r="6183" spans="1:6" x14ac:dyDescent="0.25">
      <c r="A6183" t="s">
        <v>6129</v>
      </c>
      <c r="B6183" t="s">
        <v>510</v>
      </c>
      <c r="C6183" t="s">
        <v>5562</v>
      </c>
      <c r="D6183" t="str">
        <f>HYPERLINK("http://service.sap.com/sap/support/notes/1761593","1761593")</f>
        <v>1761593</v>
      </c>
      <c r="E6183">
        <v>1</v>
      </c>
      <c r="F6183" t="s">
        <v>6214</v>
      </c>
    </row>
    <row r="6184" spans="1:6" x14ac:dyDescent="0.25">
      <c r="A6184" t="s">
        <v>6129</v>
      </c>
      <c r="B6184" t="s">
        <v>25</v>
      </c>
      <c r="C6184" t="s">
        <v>26</v>
      </c>
    </row>
    <row r="6185" spans="1:6" x14ac:dyDescent="0.25">
      <c r="A6185" t="s">
        <v>6129</v>
      </c>
      <c r="B6185" t="s">
        <v>680</v>
      </c>
      <c r="C6185" t="s">
        <v>115</v>
      </c>
      <c r="D6185" t="str">
        <f>HYPERLINK("http://service.sap.com/sap/support/notes/1754501","1754501")</f>
        <v>1754501</v>
      </c>
      <c r="E6185">
        <v>2</v>
      </c>
      <c r="F6185" t="s">
        <v>6215</v>
      </c>
    </row>
    <row r="6186" spans="1:6" x14ac:dyDescent="0.25">
      <c r="A6186" t="s">
        <v>6129</v>
      </c>
      <c r="B6186" t="s">
        <v>519</v>
      </c>
      <c r="C6186" t="s">
        <v>132</v>
      </c>
      <c r="D6186" t="str">
        <f>HYPERLINK("http://service.sap.com/sap/support/notes/1762612","1762612")</f>
        <v>1762612</v>
      </c>
      <c r="E6186">
        <v>2</v>
      </c>
      <c r="F6186" t="s">
        <v>6216</v>
      </c>
    </row>
    <row r="6187" spans="1:6" x14ac:dyDescent="0.25">
      <c r="A6187" t="s">
        <v>6129</v>
      </c>
      <c r="B6187" t="s">
        <v>40</v>
      </c>
      <c r="C6187" t="s">
        <v>41</v>
      </c>
    </row>
    <row r="6188" spans="1:6" x14ac:dyDescent="0.25">
      <c r="A6188" t="s">
        <v>6129</v>
      </c>
      <c r="B6188" t="s">
        <v>43</v>
      </c>
      <c r="C6188" t="s">
        <v>44</v>
      </c>
      <c r="D6188" t="str">
        <f>HYPERLINK("http://service.sap.com/sap/support/notes/1756234","1756234")</f>
        <v>1756234</v>
      </c>
      <c r="E6188">
        <v>1</v>
      </c>
      <c r="F6188" t="s">
        <v>6217</v>
      </c>
    </row>
    <row r="6189" spans="1:6" x14ac:dyDescent="0.25">
      <c r="A6189" t="s">
        <v>6129</v>
      </c>
      <c r="B6189" t="s">
        <v>43</v>
      </c>
      <c r="C6189" t="s">
        <v>44</v>
      </c>
      <c r="D6189" t="str">
        <f>HYPERLINK("http://service.sap.com/sap/support/notes/1756540","1756540")</f>
        <v>1756540</v>
      </c>
      <c r="E6189">
        <v>2</v>
      </c>
      <c r="F6189" t="s">
        <v>6218</v>
      </c>
    </row>
    <row r="6190" spans="1:6" x14ac:dyDescent="0.25">
      <c r="A6190" t="s">
        <v>6129</v>
      </c>
      <c r="B6190" t="s">
        <v>43</v>
      </c>
      <c r="C6190" t="s">
        <v>44</v>
      </c>
      <c r="D6190" t="str">
        <f>HYPERLINK("http://service.sap.com/sap/support/notes/1757183","1757183")</f>
        <v>1757183</v>
      </c>
      <c r="E6190">
        <v>3</v>
      </c>
      <c r="F6190" t="s">
        <v>6219</v>
      </c>
    </row>
    <row r="6191" spans="1:6" x14ac:dyDescent="0.25">
      <c r="A6191" t="s">
        <v>6129</v>
      </c>
      <c r="B6191" t="s">
        <v>43</v>
      </c>
      <c r="C6191" t="s">
        <v>44</v>
      </c>
      <c r="D6191" t="str">
        <f>HYPERLINK("http://service.sap.com/sap/support/notes/1765633","1765633")</f>
        <v>1765633</v>
      </c>
      <c r="E6191">
        <v>1</v>
      </c>
      <c r="F6191" t="s">
        <v>6220</v>
      </c>
    </row>
    <row r="6192" spans="1:6" x14ac:dyDescent="0.25">
      <c r="A6192" t="s">
        <v>6129</v>
      </c>
      <c r="B6192" t="s">
        <v>681</v>
      </c>
      <c r="C6192" t="s">
        <v>320</v>
      </c>
      <c r="D6192" t="str">
        <f>HYPERLINK("http://service.sap.com/sap/support/notes/1749674","1749674")</f>
        <v>1749674</v>
      </c>
      <c r="E6192">
        <v>2</v>
      </c>
      <c r="F6192" t="s">
        <v>6221</v>
      </c>
    </row>
    <row r="6193" spans="1:6" x14ac:dyDescent="0.25">
      <c r="A6193" t="s">
        <v>6129</v>
      </c>
      <c r="B6193" t="s">
        <v>47</v>
      </c>
      <c r="C6193" t="s">
        <v>48</v>
      </c>
      <c r="D6193" t="str">
        <f>HYPERLINK("http://service.sap.com/sap/support/notes/1756301","1756301")</f>
        <v>1756301</v>
      </c>
      <c r="E6193">
        <v>3</v>
      </c>
      <c r="F6193" t="s">
        <v>6222</v>
      </c>
    </row>
    <row r="6194" spans="1:6" x14ac:dyDescent="0.25">
      <c r="A6194" t="s">
        <v>6129</v>
      </c>
      <c r="B6194" t="s">
        <v>47</v>
      </c>
      <c r="C6194" t="s">
        <v>48</v>
      </c>
      <c r="D6194" t="str">
        <f>HYPERLINK("http://service.sap.com/sap/support/notes/1759415","1759415")</f>
        <v>1759415</v>
      </c>
      <c r="E6194">
        <v>2</v>
      </c>
      <c r="F6194" t="s">
        <v>6223</v>
      </c>
    </row>
    <row r="6195" spans="1:6" x14ac:dyDescent="0.25">
      <c r="A6195" t="s">
        <v>6129</v>
      </c>
      <c r="B6195" t="s">
        <v>54</v>
      </c>
      <c r="C6195" t="s">
        <v>55</v>
      </c>
      <c r="D6195" t="str">
        <f>HYPERLINK("http://service.sap.com/sap/support/notes/1761303","1761303")</f>
        <v>1761303</v>
      </c>
      <c r="E6195">
        <v>1</v>
      </c>
      <c r="F6195" t="s">
        <v>6224</v>
      </c>
    </row>
    <row r="6196" spans="1:6" x14ac:dyDescent="0.25">
      <c r="A6196" t="s">
        <v>6129</v>
      </c>
      <c r="B6196" t="s">
        <v>5568</v>
      </c>
      <c r="C6196" t="s">
        <v>363</v>
      </c>
      <c r="D6196" t="str">
        <f>HYPERLINK("http://service.sap.com/sap/support/notes/1734685","1734685")</f>
        <v>1734685</v>
      </c>
      <c r="E6196">
        <v>3</v>
      </c>
      <c r="F6196" t="s">
        <v>6225</v>
      </c>
    </row>
    <row r="6197" spans="1:6" x14ac:dyDescent="0.25">
      <c r="A6197" t="s">
        <v>6129</v>
      </c>
      <c r="B6197" t="s">
        <v>5075</v>
      </c>
      <c r="C6197" t="s">
        <v>403</v>
      </c>
      <c r="D6197" t="str">
        <f>HYPERLINK("http://service.sap.com/sap/support/notes/1760733","1760733")</f>
        <v>1760733</v>
      </c>
      <c r="E6197">
        <v>1</v>
      </c>
      <c r="F6197" t="s">
        <v>6226</v>
      </c>
    </row>
    <row r="6198" spans="1:6" x14ac:dyDescent="0.25">
      <c r="A6198" t="s">
        <v>6129</v>
      </c>
      <c r="B6198" t="s">
        <v>63</v>
      </c>
      <c r="C6198" t="s">
        <v>64</v>
      </c>
      <c r="D6198" t="str">
        <f>HYPERLINK("http://service.sap.com/sap/support/notes/960754","960754")</f>
        <v>960754</v>
      </c>
      <c r="E6198">
        <v>9</v>
      </c>
      <c r="F6198" t="s">
        <v>65</v>
      </c>
    </row>
    <row r="6199" spans="1:6" x14ac:dyDescent="0.25">
      <c r="A6199" t="s">
        <v>6129</v>
      </c>
      <c r="B6199" t="s">
        <v>63</v>
      </c>
      <c r="C6199" t="s">
        <v>64</v>
      </c>
      <c r="D6199" t="str">
        <f>HYPERLINK("http://service.sap.com/sap/support/notes/1698545","1698545")</f>
        <v>1698545</v>
      </c>
      <c r="E6199">
        <v>1</v>
      </c>
      <c r="F6199" t="s">
        <v>709</v>
      </c>
    </row>
    <row r="6200" spans="1:6" x14ac:dyDescent="0.25">
      <c r="A6200" t="s">
        <v>6129</v>
      </c>
      <c r="B6200" t="s">
        <v>63</v>
      </c>
      <c r="C6200" t="s">
        <v>64</v>
      </c>
      <c r="D6200" t="str">
        <f>HYPERLINK("http://service.sap.com/sap/support/notes/1754575","1754575")</f>
        <v>1754575</v>
      </c>
      <c r="E6200">
        <v>5</v>
      </c>
      <c r="F6200" t="s">
        <v>6227</v>
      </c>
    </row>
    <row r="6201" spans="1:6" x14ac:dyDescent="0.25">
      <c r="A6201" t="s">
        <v>6129</v>
      </c>
      <c r="B6201" t="s">
        <v>63</v>
      </c>
      <c r="C6201" t="s">
        <v>64</v>
      </c>
      <c r="D6201" t="str">
        <f>HYPERLINK("http://service.sap.com/sap/support/notes/1756070","1756070")</f>
        <v>1756070</v>
      </c>
      <c r="E6201">
        <v>2</v>
      </c>
      <c r="F6201" t="s">
        <v>6228</v>
      </c>
    </row>
    <row r="6202" spans="1:6" x14ac:dyDescent="0.25">
      <c r="A6202" t="s">
        <v>6129</v>
      </c>
      <c r="B6202" t="s">
        <v>661</v>
      </c>
      <c r="C6202" t="s">
        <v>438</v>
      </c>
      <c r="D6202" t="str">
        <f>HYPERLINK("http://service.sap.com/sap/support/notes/1764269","1764269")</f>
        <v>1764269</v>
      </c>
      <c r="E6202">
        <v>1</v>
      </c>
      <c r="F6202" t="s">
        <v>6229</v>
      </c>
    </row>
    <row r="6203" spans="1:6" x14ac:dyDescent="0.25">
      <c r="A6203" t="s">
        <v>6129</v>
      </c>
      <c r="B6203" t="s">
        <v>531</v>
      </c>
      <c r="C6203" t="s">
        <v>532</v>
      </c>
      <c r="D6203" t="str">
        <f>HYPERLINK("http://service.sap.com/sap/support/notes/1731895","1731895")</f>
        <v>1731895</v>
      </c>
      <c r="E6203">
        <v>5</v>
      </c>
      <c r="F6203" t="s">
        <v>5843</v>
      </c>
    </row>
    <row r="6204" spans="1:6" x14ac:dyDescent="0.25">
      <c r="A6204" t="s">
        <v>6129</v>
      </c>
      <c r="B6204" t="s">
        <v>531</v>
      </c>
      <c r="C6204" t="s">
        <v>532</v>
      </c>
      <c r="D6204" t="str">
        <f>HYPERLINK("http://service.sap.com/sap/support/notes/1758112","1758112")</f>
        <v>1758112</v>
      </c>
      <c r="E6204">
        <v>2</v>
      </c>
      <c r="F6204" t="s">
        <v>6230</v>
      </c>
    </row>
    <row r="6205" spans="1:6" x14ac:dyDescent="0.25">
      <c r="A6205" t="s">
        <v>6129</v>
      </c>
      <c r="B6205" t="s">
        <v>531</v>
      </c>
      <c r="C6205" t="s">
        <v>532</v>
      </c>
      <c r="D6205" t="str">
        <f>HYPERLINK("http://service.sap.com/sap/support/notes/1760330","1760330")</f>
        <v>1760330</v>
      </c>
      <c r="E6205">
        <v>2</v>
      </c>
      <c r="F6205" t="s">
        <v>6231</v>
      </c>
    </row>
    <row r="6206" spans="1:6" x14ac:dyDescent="0.25">
      <c r="A6206" t="s">
        <v>6129</v>
      </c>
      <c r="B6206" t="s">
        <v>531</v>
      </c>
      <c r="C6206" t="s">
        <v>532</v>
      </c>
      <c r="D6206" t="str">
        <f>HYPERLINK("http://service.sap.com/sap/support/notes/1765053","1765053")</f>
        <v>1765053</v>
      </c>
      <c r="E6206">
        <v>1</v>
      </c>
      <c r="F6206" t="s">
        <v>6232</v>
      </c>
    </row>
    <row r="6207" spans="1:6" x14ac:dyDescent="0.25">
      <c r="A6207" t="s">
        <v>6129</v>
      </c>
      <c r="B6207" t="s">
        <v>6018</v>
      </c>
      <c r="C6207" t="s">
        <v>6019</v>
      </c>
      <c r="D6207" t="str">
        <f>HYPERLINK("http://service.sap.com/sap/support/notes/1748243","1748243")</f>
        <v>1748243</v>
      </c>
      <c r="E6207">
        <v>1</v>
      </c>
      <c r="F6207" t="s">
        <v>6020</v>
      </c>
    </row>
    <row r="6208" spans="1:6" x14ac:dyDescent="0.25">
      <c r="A6208" t="s">
        <v>6129</v>
      </c>
      <c r="B6208" t="s">
        <v>6018</v>
      </c>
      <c r="C6208" t="s">
        <v>6019</v>
      </c>
      <c r="D6208" t="str">
        <f>HYPERLINK("http://service.sap.com/sap/support/notes/1749221","1749221")</f>
        <v>1749221</v>
      </c>
      <c r="E6208">
        <v>1</v>
      </c>
      <c r="F6208" t="s">
        <v>6026</v>
      </c>
    </row>
    <row r="6209" spans="1:6" x14ac:dyDescent="0.25">
      <c r="A6209" t="s">
        <v>6129</v>
      </c>
      <c r="B6209" t="s">
        <v>6018</v>
      </c>
      <c r="C6209" t="s">
        <v>6019</v>
      </c>
      <c r="D6209" t="str">
        <f>HYPERLINK("http://service.sap.com/sap/support/notes/1755025","1755025")</f>
        <v>1755025</v>
      </c>
      <c r="E6209">
        <v>1</v>
      </c>
      <c r="F6209" t="s">
        <v>6029</v>
      </c>
    </row>
    <row r="6210" spans="1:6" x14ac:dyDescent="0.25">
      <c r="A6210" t="s">
        <v>6129</v>
      </c>
      <c r="B6210" t="s">
        <v>6018</v>
      </c>
      <c r="C6210" t="s">
        <v>6019</v>
      </c>
      <c r="D6210" t="str">
        <f>HYPERLINK("http://service.sap.com/sap/support/notes/1756368","1756368")</f>
        <v>1756368</v>
      </c>
      <c r="E6210">
        <v>1</v>
      </c>
      <c r="F6210" t="s">
        <v>6233</v>
      </c>
    </row>
    <row r="6211" spans="1:6" x14ac:dyDescent="0.25">
      <c r="A6211" t="s">
        <v>6129</v>
      </c>
      <c r="B6211" t="s">
        <v>6018</v>
      </c>
      <c r="C6211" t="s">
        <v>6019</v>
      </c>
      <c r="D6211" t="str">
        <f>HYPERLINK("http://service.sap.com/sap/support/notes/1757015","1757015")</f>
        <v>1757015</v>
      </c>
      <c r="E6211">
        <v>1</v>
      </c>
      <c r="F6211" t="s">
        <v>6234</v>
      </c>
    </row>
    <row r="6212" spans="1:6" x14ac:dyDescent="0.25">
      <c r="A6212" t="s">
        <v>6129</v>
      </c>
      <c r="B6212" t="s">
        <v>6018</v>
      </c>
      <c r="C6212" t="s">
        <v>6019</v>
      </c>
      <c r="D6212" t="str">
        <f>HYPERLINK("http://service.sap.com/sap/support/notes/1757513","1757513")</f>
        <v>1757513</v>
      </c>
      <c r="E6212">
        <v>1</v>
      </c>
      <c r="F6212" t="s">
        <v>6235</v>
      </c>
    </row>
    <row r="6213" spans="1:6" x14ac:dyDescent="0.25">
      <c r="A6213" t="s">
        <v>6129</v>
      </c>
      <c r="B6213" t="s">
        <v>6018</v>
      </c>
      <c r="C6213" t="s">
        <v>6019</v>
      </c>
      <c r="D6213" t="str">
        <f>HYPERLINK("http://service.sap.com/sap/support/notes/1758642","1758642")</f>
        <v>1758642</v>
      </c>
      <c r="E6213">
        <v>1</v>
      </c>
      <c r="F6213" t="s">
        <v>6236</v>
      </c>
    </row>
    <row r="6214" spans="1:6" x14ac:dyDescent="0.25">
      <c r="A6214" t="s">
        <v>6129</v>
      </c>
      <c r="B6214" t="s">
        <v>6018</v>
      </c>
      <c r="C6214" t="s">
        <v>6019</v>
      </c>
      <c r="D6214" t="str">
        <f>HYPERLINK("http://service.sap.com/sap/support/notes/1759088","1759088")</f>
        <v>1759088</v>
      </c>
      <c r="E6214">
        <v>3</v>
      </c>
      <c r="F6214" t="s">
        <v>6237</v>
      </c>
    </row>
    <row r="6215" spans="1:6" x14ac:dyDescent="0.25">
      <c r="A6215" t="s">
        <v>6129</v>
      </c>
      <c r="B6215" t="s">
        <v>6018</v>
      </c>
      <c r="C6215" t="s">
        <v>6019</v>
      </c>
      <c r="D6215" t="str">
        <f>HYPERLINK("http://service.sap.com/sap/support/notes/1759486","1759486")</f>
        <v>1759486</v>
      </c>
      <c r="E6215">
        <v>1</v>
      </c>
      <c r="F6215" t="s">
        <v>6238</v>
      </c>
    </row>
    <row r="6216" spans="1:6" x14ac:dyDescent="0.25">
      <c r="A6216" t="s">
        <v>6129</v>
      </c>
      <c r="B6216" t="s">
        <v>6018</v>
      </c>
      <c r="C6216" t="s">
        <v>6019</v>
      </c>
      <c r="D6216" t="str">
        <f>HYPERLINK("http://service.sap.com/sap/support/notes/1761080","1761080")</f>
        <v>1761080</v>
      </c>
      <c r="E6216">
        <v>1</v>
      </c>
      <c r="F6216" t="s">
        <v>6239</v>
      </c>
    </row>
    <row r="6217" spans="1:6" x14ac:dyDescent="0.25">
      <c r="A6217" t="s">
        <v>6129</v>
      </c>
      <c r="B6217" t="s">
        <v>6018</v>
      </c>
      <c r="C6217" t="s">
        <v>6019</v>
      </c>
      <c r="D6217" t="str">
        <f>HYPERLINK("http://service.sap.com/sap/support/notes/1761200","1761200")</f>
        <v>1761200</v>
      </c>
      <c r="E6217">
        <v>1</v>
      </c>
      <c r="F6217" t="s">
        <v>6240</v>
      </c>
    </row>
    <row r="6218" spans="1:6" x14ac:dyDescent="0.25">
      <c r="A6218" t="s">
        <v>6129</v>
      </c>
      <c r="B6218" t="s">
        <v>6018</v>
      </c>
      <c r="C6218" t="s">
        <v>6019</v>
      </c>
      <c r="D6218" t="str">
        <f>HYPERLINK("http://service.sap.com/sap/support/notes/1761548","1761548")</f>
        <v>1761548</v>
      </c>
      <c r="E6218">
        <v>1</v>
      </c>
      <c r="F6218" t="s">
        <v>6241</v>
      </c>
    </row>
    <row r="6219" spans="1:6" x14ac:dyDescent="0.25">
      <c r="A6219" t="s">
        <v>6129</v>
      </c>
      <c r="B6219" t="s">
        <v>6018</v>
      </c>
      <c r="C6219" t="s">
        <v>6019</v>
      </c>
      <c r="D6219" t="str">
        <f>HYPERLINK("http://service.sap.com/sap/support/notes/1761659","1761659")</f>
        <v>1761659</v>
      </c>
      <c r="E6219">
        <v>1</v>
      </c>
      <c r="F6219" t="s">
        <v>6242</v>
      </c>
    </row>
    <row r="6220" spans="1:6" x14ac:dyDescent="0.25">
      <c r="A6220" t="s">
        <v>6129</v>
      </c>
      <c r="B6220" t="s">
        <v>6018</v>
      </c>
      <c r="C6220" t="s">
        <v>6019</v>
      </c>
      <c r="D6220" t="str">
        <f>HYPERLINK("http://service.sap.com/sap/support/notes/1761724","1761724")</f>
        <v>1761724</v>
      </c>
      <c r="E6220">
        <v>2</v>
      </c>
      <c r="F6220" t="s">
        <v>6243</v>
      </c>
    </row>
    <row r="6221" spans="1:6" x14ac:dyDescent="0.25">
      <c r="A6221" t="s">
        <v>6129</v>
      </c>
      <c r="B6221" t="s">
        <v>6018</v>
      </c>
      <c r="C6221" t="s">
        <v>6019</v>
      </c>
      <c r="D6221" t="str">
        <f>HYPERLINK("http://service.sap.com/sap/support/notes/1762695","1762695")</f>
        <v>1762695</v>
      </c>
      <c r="E6221">
        <v>1</v>
      </c>
      <c r="F6221" t="s">
        <v>6244</v>
      </c>
    </row>
    <row r="6222" spans="1:6" x14ac:dyDescent="0.25">
      <c r="A6222" t="s">
        <v>6129</v>
      </c>
      <c r="B6222" t="s">
        <v>6018</v>
      </c>
      <c r="C6222" t="s">
        <v>6019</v>
      </c>
      <c r="D6222" t="str">
        <f>HYPERLINK("http://service.sap.com/sap/support/notes/1763112","1763112")</f>
        <v>1763112</v>
      </c>
      <c r="E6222">
        <v>3</v>
      </c>
      <c r="F6222" t="s">
        <v>6245</v>
      </c>
    </row>
    <row r="6223" spans="1:6" x14ac:dyDescent="0.25">
      <c r="A6223" t="s">
        <v>6129</v>
      </c>
      <c r="B6223" t="s">
        <v>6018</v>
      </c>
      <c r="C6223" t="s">
        <v>6019</v>
      </c>
      <c r="D6223" t="str">
        <f>HYPERLINK("http://service.sap.com/sap/support/notes/1763256","1763256")</f>
        <v>1763256</v>
      </c>
      <c r="E6223">
        <v>1</v>
      </c>
      <c r="F6223" t="s">
        <v>6246</v>
      </c>
    </row>
    <row r="6224" spans="1:6" x14ac:dyDescent="0.25">
      <c r="A6224" t="s">
        <v>6129</v>
      </c>
      <c r="B6224" t="s">
        <v>6018</v>
      </c>
      <c r="C6224" t="s">
        <v>6019</v>
      </c>
      <c r="D6224" t="str">
        <f>HYPERLINK("http://service.sap.com/sap/support/notes/1763357","1763357")</f>
        <v>1763357</v>
      </c>
      <c r="E6224">
        <v>1</v>
      </c>
      <c r="F6224" t="s">
        <v>6247</v>
      </c>
    </row>
    <row r="6225" spans="1:6" x14ac:dyDescent="0.25">
      <c r="A6225" t="s">
        <v>6129</v>
      </c>
      <c r="B6225" t="s">
        <v>6018</v>
      </c>
      <c r="C6225" t="s">
        <v>6019</v>
      </c>
      <c r="D6225" t="str">
        <f>HYPERLINK("http://service.sap.com/sap/support/notes/1763509","1763509")</f>
        <v>1763509</v>
      </c>
      <c r="E6225">
        <v>1</v>
      </c>
      <c r="F6225" t="s">
        <v>6248</v>
      </c>
    </row>
    <row r="6226" spans="1:6" x14ac:dyDescent="0.25">
      <c r="A6226" t="s">
        <v>6129</v>
      </c>
      <c r="B6226" t="s">
        <v>6018</v>
      </c>
      <c r="C6226" t="s">
        <v>6019</v>
      </c>
      <c r="D6226" t="str">
        <f>HYPERLINK("http://service.sap.com/sap/support/notes/1763519","1763519")</f>
        <v>1763519</v>
      </c>
      <c r="E6226">
        <v>2</v>
      </c>
      <c r="F6226" t="s">
        <v>6249</v>
      </c>
    </row>
    <row r="6227" spans="1:6" x14ac:dyDescent="0.25">
      <c r="A6227" t="s">
        <v>6129</v>
      </c>
      <c r="B6227" t="s">
        <v>6018</v>
      </c>
      <c r="C6227" t="s">
        <v>6019</v>
      </c>
      <c r="D6227" t="str">
        <f>HYPERLINK("http://service.sap.com/sap/support/notes/1763521","1763521")</f>
        <v>1763521</v>
      </c>
      <c r="E6227">
        <v>2</v>
      </c>
      <c r="F6227" t="s">
        <v>6250</v>
      </c>
    </row>
    <row r="6228" spans="1:6" x14ac:dyDescent="0.25">
      <c r="A6228" t="s">
        <v>6129</v>
      </c>
      <c r="B6228" t="s">
        <v>6018</v>
      </c>
      <c r="C6228" t="s">
        <v>6019</v>
      </c>
      <c r="D6228" t="str">
        <f>HYPERLINK("http://service.sap.com/sap/support/notes/1765537","1765537")</f>
        <v>1765537</v>
      </c>
      <c r="E6228">
        <v>1</v>
      </c>
      <c r="F6228" t="s">
        <v>6251</v>
      </c>
    </row>
    <row r="6229" spans="1:6" x14ac:dyDescent="0.25">
      <c r="A6229" t="s">
        <v>6129</v>
      </c>
      <c r="B6229" t="s">
        <v>6018</v>
      </c>
      <c r="C6229" t="s">
        <v>6019</v>
      </c>
      <c r="D6229" t="str">
        <f>HYPERLINK("http://service.sap.com/sap/support/notes/1765779","1765779")</f>
        <v>1765779</v>
      </c>
      <c r="E6229">
        <v>1</v>
      </c>
      <c r="F6229" t="s">
        <v>6252</v>
      </c>
    </row>
    <row r="6230" spans="1:6" x14ac:dyDescent="0.25">
      <c r="A6230" t="s">
        <v>6129</v>
      </c>
      <c r="B6230" t="s">
        <v>6018</v>
      </c>
      <c r="C6230" t="s">
        <v>6019</v>
      </c>
      <c r="D6230" t="str">
        <f>HYPERLINK("http://service.sap.com/sap/support/notes/1766311","1766311")</f>
        <v>1766311</v>
      </c>
      <c r="E6230">
        <v>1</v>
      </c>
      <c r="F6230" t="s">
        <v>6253</v>
      </c>
    </row>
    <row r="6231" spans="1:6" x14ac:dyDescent="0.25">
      <c r="A6231" t="s">
        <v>6129</v>
      </c>
      <c r="B6231" t="s">
        <v>6018</v>
      </c>
      <c r="C6231" t="s">
        <v>6019</v>
      </c>
      <c r="D6231" t="str">
        <f>HYPERLINK("http://service.sap.com/sap/support/notes/1766858","1766858")</f>
        <v>1766858</v>
      </c>
      <c r="E6231">
        <v>1</v>
      </c>
      <c r="F6231" t="s">
        <v>6254</v>
      </c>
    </row>
    <row r="6232" spans="1:6" x14ac:dyDescent="0.25">
      <c r="A6232" t="s">
        <v>6129</v>
      </c>
      <c r="B6232" t="s">
        <v>6018</v>
      </c>
      <c r="C6232" t="s">
        <v>6019</v>
      </c>
      <c r="D6232" t="str">
        <f>HYPERLINK("http://service.sap.com/sap/support/notes/1766933","1766933")</f>
        <v>1766933</v>
      </c>
      <c r="E6232">
        <v>1</v>
      </c>
      <c r="F6232" t="s">
        <v>6255</v>
      </c>
    </row>
    <row r="6233" spans="1:6" x14ac:dyDescent="0.25">
      <c r="A6233" t="s">
        <v>6129</v>
      </c>
      <c r="B6233" t="s">
        <v>6018</v>
      </c>
      <c r="C6233" t="s">
        <v>6019</v>
      </c>
      <c r="D6233" t="str">
        <f>HYPERLINK("http://service.sap.com/sap/support/notes/1767282","1767282")</f>
        <v>1767282</v>
      </c>
      <c r="E6233">
        <v>1</v>
      </c>
      <c r="F6233" t="s">
        <v>6256</v>
      </c>
    </row>
    <row r="6234" spans="1:6" x14ac:dyDescent="0.25">
      <c r="A6234" t="s">
        <v>6129</v>
      </c>
      <c r="B6234" t="s">
        <v>536</v>
      </c>
      <c r="C6234" t="s">
        <v>537</v>
      </c>
    </row>
    <row r="6235" spans="1:6" x14ac:dyDescent="0.25">
      <c r="A6235" t="s">
        <v>6129</v>
      </c>
      <c r="B6235" t="s">
        <v>5594</v>
      </c>
      <c r="C6235" t="s">
        <v>5595</v>
      </c>
      <c r="D6235" t="str">
        <f>HYPERLINK("http://service.sap.com/sap/support/notes/1714638","1714638")</f>
        <v>1714638</v>
      </c>
      <c r="E6235">
        <v>1</v>
      </c>
      <c r="F6235" t="s">
        <v>6257</v>
      </c>
    </row>
    <row r="6236" spans="1:6" x14ac:dyDescent="0.25">
      <c r="A6236" t="s">
        <v>6129</v>
      </c>
      <c r="B6236" t="s">
        <v>5594</v>
      </c>
      <c r="C6236" t="s">
        <v>5595</v>
      </c>
      <c r="D6236" t="str">
        <f>HYPERLINK("http://service.sap.com/sap/support/notes/1755047","1755047")</f>
        <v>1755047</v>
      </c>
      <c r="E6236">
        <v>2</v>
      </c>
      <c r="F6236" t="s">
        <v>6258</v>
      </c>
    </row>
    <row r="6237" spans="1:6" x14ac:dyDescent="0.25">
      <c r="A6237" t="s">
        <v>6129</v>
      </c>
      <c r="B6237" t="s">
        <v>5594</v>
      </c>
      <c r="C6237" t="s">
        <v>5595</v>
      </c>
      <c r="D6237" t="str">
        <f>HYPERLINK("http://service.sap.com/sap/support/notes/1756977","1756977")</f>
        <v>1756977</v>
      </c>
      <c r="E6237">
        <v>1</v>
      </c>
      <c r="F6237" t="s">
        <v>6259</v>
      </c>
    </row>
    <row r="6238" spans="1:6" x14ac:dyDescent="0.25">
      <c r="A6238" t="s">
        <v>6129</v>
      </c>
      <c r="B6238" t="s">
        <v>5594</v>
      </c>
      <c r="C6238" t="s">
        <v>5595</v>
      </c>
      <c r="D6238" t="str">
        <f>HYPERLINK("http://service.sap.com/sap/support/notes/1759766","1759766")</f>
        <v>1759766</v>
      </c>
      <c r="E6238">
        <v>1</v>
      </c>
      <c r="F6238" t="s">
        <v>6260</v>
      </c>
    </row>
    <row r="6239" spans="1:6" x14ac:dyDescent="0.25">
      <c r="A6239" t="s">
        <v>6129</v>
      </c>
      <c r="B6239" t="s">
        <v>5594</v>
      </c>
      <c r="C6239" t="s">
        <v>5595</v>
      </c>
      <c r="D6239" t="str">
        <f>HYPERLINK("http://service.sap.com/sap/support/notes/1761035","1761035")</f>
        <v>1761035</v>
      </c>
      <c r="E6239">
        <v>2</v>
      </c>
      <c r="F6239" t="s">
        <v>6261</v>
      </c>
    </row>
    <row r="6240" spans="1:6" x14ac:dyDescent="0.25">
      <c r="A6240" t="s">
        <v>6129</v>
      </c>
      <c r="B6240" t="s">
        <v>5594</v>
      </c>
      <c r="C6240" t="s">
        <v>5595</v>
      </c>
      <c r="D6240" t="str">
        <f>HYPERLINK("http://service.sap.com/sap/support/notes/1764262","1764262")</f>
        <v>1764262</v>
      </c>
      <c r="E6240">
        <v>1</v>
      </c>
      <c r="F6240" t="s">
        <v>6262</v>
      </c>
    </row>
    <row r="6241" spans="1:6" x14ac:dyDescent="0.25">
      <c r="A6241" t="s">
        <v>6129</v>
      </c>
      <c r="B6241" t="s">
        <v>5594</v>
      </c>
      <c r="C6241" t="s">
        <v>5595</v>
      </c>
      <c r="D6241" t="str">
        <f>HYPERLINK("http://service.sap.com/sap/support/notes/1764478","1764478")</f>
        <v>1764478</v>
      </c>
      <c r="E6241">
        <v>2</v>
      </c>
      <c r="F6241" t="s">
        <v>6263</v>
      </c>
    </row>
    <row r="6242" spans="1:6" x14ac:dyDescent="0.25">
      <c r="A6242" t="s">
        <v>6129</v>
      </c>
      <c r="B6242" t="s">
        <v>540</v>
      </c>
      <c r="C6242" t="s">
        <v>541</v>
      </c>
    </row>
    <row r="6243" spans="1:6" x14ac:dyDescent="0.25">
      <c r="A6243" t="s">
        <v>6129</v>
      </c>
      <c r="B6243" t="s">
        <v>542</v>
      </c>
      <c r="C6243" t="s">
        <v>5604</v>
      </c>
      <c r="D6243" t="str">
        <f>HYPERLINK("http://service.sap.com/sap/support/notes/1620083","1620083")</f>
        <v>1620083</v>
      </c>
      <c r="E6243">
        <v>3</v>
      </c>
      <c r="F6243" t="s">
        <v>6264</v>
      </c>
    </row>
    <row r="6244" spans="1:6" x14ac:dyDescent="0.25">
      <c r="A6244" t="s">
        <v>6129</v>
      </c>
      <c r="B6244" t="s">
        <v>542</v>
      </c>
      <c r="C6244" t="s">
        <v>5604</v>
      </c>
      <c r="D6244" t="str">
        <f>HYPERLINK("http://service.sap.com/sap/support/notes/1677894","1677894")</f>
        <v>1677894</v>
      </c>
      <c r="E6244">
        <v>4</v>
      </c>
      <c r="F6244" t="s">
        <v>6265</v>
      </c>
    </row>
    <row r="6245" spans="1:6" x14ac:dyDescent="0.25">
      <c r="A6245" t="s">
        <v>6129</v>
      </c>
      <c r="B6245" t="s">
        <v>542</v>
      </c>
      <c r="C6245" t="s">
        <v>5604</v>
      </c>
      <c r="D6245" t="str">
        <f>HYPERLINK("http://service.sap.com/sap/support/notes/1749239","1749239")</f>
        <v>1749239</v>
      </c>
      <c r="E6245">
        <v>2</v>
      </c>
      <c r="F6245" t="s">
        <v>6266</v>
      </c>
    </row>
    <row r="6246" spans="1:6" x14ac:dyDescent="0.25">
      <c r="A6246" t="s">
        <v>6129</v>
      </c>
      <c r="B6246" t="s">
        <v>542</v>
      </c>
      <c r="C6246" t="s">
        <v>5604</v>
      </c>
      <c r="D6246" t="str">
        <f>HYPERLINK("http://service.sap.com/sap/support/notes/1756715","1756715")</f>
        <v>1756715</v>
      </c>
      <c r="E6246">
        <v>6</v>
      </c>
      <c r="F6246" t="s">
        <v>6267</v>
      </c>
    </row>
    <row r="6247" spans="1:6" x14ac:dyDescent="0.25">
      <c r="A6247" t="s">
        <v>6129</v>
      </c>
      <c r="B6247" t="s">
        <v>542</v>
      </c>
      <c r="C6247" t="s">
        <v>5604</v>
      </c>
      <c r="D6247" t="str">
        <f>HYPERLINK("http://service.sap.com/sap/support/notes/1758137","1758137")</f>
        <v>1758137</v>
      </c>
      <c r="E6247">
        <v>3</v>
      </c>
      <c r="F6247" t="s">
        <v>6268</v>
      </c>
    </row>
    <row r="6248" spans="1:6" x14ac:dyDescent="0.25">
      <c r="A6248" t="s">
        <v>6129</v>
      </c>
      <c r="B6248" t="s">
        <v>544</v>
      </c>
      <c r="C6248" t="s">
        <v>5610</v>
      </c>
      <c r="D6248" t="str">
        <f>HYPERLINK("http://service.sap.com/sap/support/notes/1699117","1699117")</f>
        <v>1699117</v>
      </c>
      <c r="E6248">
        <v>11</v>
      </c>
      <c r="F6248" t="s">
        <v>5858</v>
      </c>
    </row>
    <row r="6249" spans="1:6" x14ac:dyDescent="0.25">
      <c r="A6249" t="s">
        <v>6129</v>
      </c>
      <c r="B6249" t="s">
        <v>544</v>
      </c>
      <c r="C6249" t="s">
        <v>5610</v>
      </c>
      <c r="D6249" t="str">
        <f>HYPERLINK("http://service.sap.com/sap/support/notes/1738452","1738452")</f>
        <v>1738452</v>
      </c>
      <c r="E6249">
        <v>3</v>
      </c>
      <c r="F6249" t="s">
        <v>6269</v>
      </c>
    </row>
    <row r="6250" spans="1:6" x14ac:dyDescent="0.25">
      <c r="A6250" t="s">
        <v>6129</v>
      </c>
      <c r="B6250" t="s">
        <v>5612</v>
      </c>
      <c r="C6250" t="s">
        <v>707</v>
      </c>
      <c r="D6250" t="str">
        <f>HYPERLINK("http://service.sap.com/sap/support/notes/1622866","1622866")</f>
        <v>1622866</v>
      </c>
      <c r="E6250">
        <v>16</v>
      </c>
      <c r="F6250" t="s">
        <v>5613</v>
      </c>
    </row>
    <row r="6251" spans="1:6" x14ac:dyDescent="0.25">
      <c r="A6251" t="s">
        <v>6129</v>
      </c>
      <c r="B6251" t="s">
        <v>5615</v>
      </c>
      <c r="C6251" t="s">
        <v>5616</v>
      </c>
      <c r="D6251" t="str">
        <f>HYPERLINK("http://service.sap.com/sap/support/notes/1742513","1742513")</f>
        <v>1742513</v>
      </c>
      <c r="E6251">
        <v>2</v>
      </c>
      <c r="F6251" t="s">
        <v>6270</v>
      </c>
    </row>
    <row r="6252" spans="1:6" x14ac:dyDescent="0.25">
      <c r="A6252" t="s">
        <v>6129</v>
      </c>
      <c r="B6252" t="s">
        <v>5615</v>
      </c>
      <c r="C6252" t="s">
        <v>5616</v>
      </c>
      <c r="D6252" t="str">
        <f>HYPERLINK("http://service.sap.com/sap/support/notes/1747379","1747379")</f>
        <v>1747379</v>
      </c>
      <c r="E6252">
        <v>2</v>
      </c>
      <c r="F6252" t="s">
        <v>6271</v>
      </c>
    </row>
    <row r="6253" spans="1:6" x14ac:dyDescent="0.25">
      <c r="A6253" t="s">
        <v>6129</v>
      </c>
      <c r="B6253" t="s">
        <v>5615</v>
      </c>
      <c r="C6253" t="s">
        <v>5616</v>
      </c>
      <c r="D6253" t="str">
        <f>HYPERLINK("http://service.sap.com/sap/support/notes/1752347","1752347")</f>
        <v>1752347</v>
      </c>
      <c r="E6253">
        <v>2</v>
      </c>
      <c r="F6253" t="s">
        <v>6272</v>
      </c>
    </row>
    <row r="6254" spans="1:6" x14ac:dyDescent="0.25">
      <c r="A6254" t="s">
        <v>6129</v>
      </c>
      <c r="B6254" t="s">
        <v>5615</v>
      </c>
      <c r="C6254" t="s">
        <v>5616</v>
      </c>
      <c r="D6254" t="str">
        <f>HYPERLINK("http://service.sap.com/sap/support/notes/1755660","1755660")</f>
        <v>1755660</v>
      </c>
      <c r="E6254">
        <v>1</v>
      </c>
      <c r="F6254" t="s">
        <v>6273</v>
      </c>
    </row>
    <row r="6255" spans="1:6" x14ac:dyDescent="0.25">
      <c r="A6255" t="s">
        <v>6129</v>
      </c>
      <c r="B6255" t="s">
        <v>5615</v>
      </c>
      <c r="C6255" t="s">
        <v>5616</v>
      </c>
      <c r="D6255" t="str">
        <f>HYPERLINK("http://service.sap.com/sap/support/notes/1755981","1755981")</f>
        <v>1755981</v>
      </c>
      <c r="E6255">
        <v>1</v>
      </c>
      <c r="F6255" t="s">
        <v>6274</v>
      </c>
    </row>
    <row r="6256" spans="1:6" x14ac:dyDescent="0.25">
      <c r="A6256" t="s">
        <v>6129</v>
      </c>
      <c r="B6256" t="s">
        <v>5615</v>
      </c>
      <c r="C6256" t="s">
        <v>5616</v>
      </c>
      <c r="D6256" t="str">
        <f>HYPERLINK("http://service.sap.com/sap/support/notes/1756607","1756607")</f>
        <v>1756607</v>
      </c>
      <c r="E6256">
        <v>2</v>
      </c>
      <c r="F6256" t="s">
        <v>6275</v>
      </c>
    </row>
    <row r="6257" spans="1:6" x14ac:dyDescent="0.25">
      <c r="A6257" t="s">
        <v>6129</v>
      </c>
      <c r="B6257" t="s">
        <v>5615</v>
      </c>
      <c r="C6257" t="s">
        <v>5616</v>
      </c>
      <c r="D6257" t="str">
        <f>HYPERLINK("http://service.sap.com/sap/support/notes/1759546","1759546")</f>
        <v>1759546</v>
      </c>
      <c r="E6257">
        <v>2</v>
      </c>
      <c r="F6257" t="s">
        <v>6276</v>
      </c>
    </row>
    <row r="6258" spans="1:6" x14ac:dyDescent="0.25">
      <c r="A6258" t="s">
        <v>6129</v>
      </c>
      <c r="B6258" t="s">
        <v>5615</v>
      </c>
      <c r="C6258" t="s">
        <v>5616</v>
      </c>
      <c r="D6258" t="str">
        <f>HYPERLINK("http://service.sap.com/sap/support/notes/1762869","1762869")</f>
        <v>1762869</v>
      </c>
      <c r="E6258">
        <v>2</v>
      </c>
      <c r="F6258" t="s">
        <v>6277</v>
      </c>
    </row>
    <row r="6259" spans="1:6" x14ac:dyDescent="0.25">
      <c r="A6259" t="s">
        <v>6129</v>
      </c>
      <c r="B6259" t="s">
        <v>5615</v>
      </c>
      <c r="C6259" t="s">
        <v>5616</v>
      </c>
      <c r="D6259" t="str">
        <f>HYPERLINK("http://service.sap.com/sap/support/notes/1764413","1764413")</f>
        <v>1764413</v>
      </c>
      <c r="E6259">
        <v>1</v>
      </c>
      <c r="F6259" t="s">
        <v>6278</v>
      </c>
    </row>
    <row r="6260" spans="1:6" x14ac:dyDescent="0.25">
      <c r="A6260" t="s">
        <v>6129</v>
      </c>
      <c r="B6260" t="s">
        <v>5615</v>
      </c>
      <c r="C6260" t="s">
        <v>5616</v>
      </c>
      <c r="D6260" t="str">
        <f>HYPERLINK("http://service.sap.com/sap/support/notes/1765312","1765312")</f>
        <v>1765312</v>
      </c>
      <c r="E6260">
        <v>1</v>
      </c>
      <c r="F6260" t="s">
        <v>6279</v>
      </c>
    </row>
    <row r="6261" spans="1:6" x14ac:dyDescent="0.25">
      <c r="A6261" t="s">
        <v>6129</v>
      </c>
      <c r="B6261" t="s">
        <v>5615</v>
      </c>
      <c r="C6261" t="s">
        <v>5616</v>
      </c>
      <c r="D6261" t="str">
        <f>HYPERLINK("http://service.sap.com/sap/support/notes/1766958","1766958")</f>
        <v>1766958</v>
      </c>
      <c r="E6261">
        <v>2</v>
      </c>
      <c r="F6261" t="s">
        <v>6280</v>
      </c>
    </row>
    <row r="6262" spans="1:6" x14ac:dyDescent="0.25">
      <c r="A6262" t="s">
        <v>6129</v>
      </c>
      <c r="B6262" t="s">
        <v>85</v>
      </c>
      <c r="C6262" t="s">
        <v>86</v>
      </c>
    </row>
    <row r="6263" spans="1:6" x14ac:dyDescent="0.25">
      <c r="A6263" t="s">
        <v>6129</v>
      </c>
      <c r="B6263" t="s">
        <v>696</v>
      </c>
      <c r="C6263" t="s">
        <v>697</v>
      </c>
    </row>
    <row r="6264" spans="1:6" x14ac:dyDescent="0.25">
      <c r="A6264" t="s">
        <v>6129</v>
      </c>
      <c r="B6264" t="s">
        <v>3380</v>
      </c>
      <c r="C6264" t="s">
        <v>3381</v>
      </c>
      <c r="D6264" t="str">
        <f>HYPERLINK("http://service.sap.com/sap/support/notes/1595386","1595386")</f>
        <v>1595386</v>
      </c>
      <c r="E6264">
        <v>2</v>
      </c>
      <c r="F6264" t="s">
        <v>6281</v>
      </c>
    </row>
    <row r="6265" spans="1:6" x14ac:dyDescent="0.25">
      <c r="A6265" t="s">
        <v>6129</v>
      </c>
      <c r="B6265" t="s">
        <v>3380</v>
      </c>
      <c r="C6265" t="s">
        <v>3381</v>
      </c>
      <c r="D6265" t="str">
        <f>HYPERLINK("http://service.sap.com/sap/support/notes/1669091","1669091")</f>
        <v>1669091</v>
      </c>
      <c r="E6265">
        <v>2</v>
      </c>
      <c r="F6265" t="s">
        <v>6282</v>
      </c>
    </row>
    <row r="6266" spans="1:6" x14ac:dyDescent="0.25">
      <c r="A6266" t="s">
        <v>6129</v>
      </c>
      <c r="B6266" t="s">
        <v>3380</v>
      </c>
      <c r="C6266" t="s">
        <v>3381</v>
      </c>
      <c r="D6266" t="str">
        <f>HYPERLINK("http://service.sap.com/sap/support/notes/1715120","1715120")</f>
        <v>1715120</v>
      </c>
      <c r="E6266">
        <v>2</v>
      </c>
      <c r="F6266" t="s">
        <v>6283</v>
      </c>
    </row>
    <row r="6267" spans="1:6" x14ac:dyDescent="0.25">
      <c r="A6267" t="s">
        <v>6129</v>
      </c>
      <c r="B6267" t="s">
        <v>3380</v>
      </c>
      <c r="C6267" t="s">
        <v>3381</v>
      </c>
      <c r="D6267" t="str">
        <f>HYPERLINK("http://service.sap.com/sap/support/notes/1754852","1754852")</f>
        <v>1754852</v>
      </c>
      <c r="E6267">
        <v>1</v>
      </c>
      <c r="F6267" t="s">
        <v>6284</v>
      </c>
    </row>
    <row r="6268" spans="1:6" x14ac:dyDescent="0.25">
      <c r="A6268" t="s">
        <v>6129</v>
      </c>
      <c r="B6268" t="s">
        <v>698</v>
      </c>
      <c r="C6268" t="s">
        <v>699</v>
      </c>
      <c r="D6268" t="str">
        <f>HYPERLINK("http://service.sap.com/sap/support/notes/1511904","1511904")</f>
        <v>1511904</v>
      </c>
      <c r="E6268">
        <v>4</v>
      </c>
      <c r="F6268" t="s">
        <v>6285</v>
      </c>
    </row>
    <row r="6269" spans="1:6" x14ac:dyDescent="0.25">
      <c r="A6269" t="s">
        <v>6129</v>
      </c>
      <c r="B6269" t="s">
        <v>698</v>
      </c>
      <c r="C6269" t="s">
        <v>699</v>
      </c>
      <c r="D6269" t="str">
        <f>HYPERLINK("http://service.sap.com/sap/support/notes/1609825","1609825")</f>
        <v>1609825</v>
      </c>
      <c r="E6269">
        <v>2</v>
      </c>
      <c r="F6269" t="s">
        <v>6286</v>
      </c>
    </row>
    <row r="6270" spans="1:6" x14ac:dyDescent="0.25">
      <c r="A6270" t="s">
        <v>6129</v>
      </c>
      <c r="B6270" t="s">
        <v>698</v>
      </c>
      <c r="C6270" t="s">
        <v>699</v>
      </c>
      <c r="D6270" t="str">
        <f>HYPERLINK("http://service.sap.com/sap/support/notes/1630468","1630468")</f>
        <v>1630468</v>
      </c>
      <c r="E6270">
        <v>2</v>
      </c>
      <c r="F6270" t="s">
        <v>6287</v>
      </c>
    </row>
    <row r="6271" spans="1:6" x14ac:dyDescent="0.25">
      <c r="A6271" t="s">
        <v>6129</v>
      </c>
      <c r="B6271" t="s">
        <v>698</v>
      </c>
      <c r="C6271" t="s">
        <v>699</v>
      </c>
      <c r="D6271" t="str">
        <f>HYPERLINK("http://service.sap.com/sap/support/notes/1637036","1637036")</f>
        <v>1637036</v>
      </c>
      <c r="E6271">
        <v>2</v>
      </c>
      <c r="F6271" t="s">
        <v>6288</v>
      </c>
    </row>
    <row r="6272" spans="1:6" x14ac:dyDescent="0.25">
      <c r="A6272" t="s">
        <v>6129</v>
      </c>
      <c r="B6272" t="s">
        <v>698</v>
      </c>
      <c r="C6272" t="s">
        <v>699</v>
      </c>
      <c r="D6272" t="str">
        <f>HYPERLINK("http://service.sap.com/sap/support/notes/1643803","1643803")</f>
        <v>1643803</v>
      </c>
      <c r="E6272">
        <v>4</v>
      </c>
      <c r="F6272" t="s">
        <v>6289</v>
      </c>
    </row>
    <row r="6273" spans="1:6" x14ac:dyDescent="0.25">
      <c r="A6273" t="s">
        <v>6129</v>
      </c>
      <c r="B6273" t="s">
        <v>698</v>
      </c>
      <c r="C6273" t="s">
        <v>699</v>
      </c>
      <c r="D6273" t="str">
        <f>HYPERLINK("http://service.sap.com/sap/support/notes/1643807","1643807")</f>
        <v>1643807</v>
      </c>
      <c r="E6273">
        <v>2</v>
      </c>
      <c r="F6273" t="s">
        <v>6290</v>
      </c>
    </row>
    <row r="6274" spans="1:6" x14ac:dyDescent="0.25">
      <c r="A6274" t="s">
        <v>6129</v>
      </c>
      <c r="B6274" t="s">
        <v>698</v>
      </c>
      <c r="C6274" t="s">
        <v>699</v>
      </c>
      <c r="D6274" t="str">
        <f>HYPERLINK("http://service.sap.com/sap/support/notes/1645136","1645136")</f>
        <v>1645136</v>
      </c>
      <c r="E6274">
        <v>4</v>
      </c>
      <c r="F6274" t="s">
        <v>6291</v>
      </c>
    </row>
    <row r="6275" spans="1:6" x14ac:dyDescent="0.25">
      <c r="A6275" t="s">
        <v>6129</v>
      </c>
      <c r="B6275" t="s">
        <v>698</v>
      </c>
      <c r="C6275" t="s">
        <v>699</v>
      </c>
      <c r="D6275" t="str">
        <f>HYPERLINK("http://service.sap.com/sap/support/notes/1658667","1658667")</f>
        <v>1658667</v>
      </c>
      <c r="E6275">
        <v>2</v>
      </c>
      <c r="F6275" t="s">
        <v>6292</v>
      </c>
    </row>
    <row r="6276" spans="1:6" x14ac:dyDescent="0.25">
      <c r="A6276" t="s">
        <v>6129</v>
      </c>
      <c r="B6276" t="s">
        <v>698</v>
      </c>
      <c r="C6276" t="s">
        <v>699</v>
      </c>
      <c r="D6276" t="str">
        <f>HYPERLINK("http://service.sap.com/sap/support/notes/1667172","1667172")</f>
        <v>1667172</v>
      </c>
      <c r="E6276">
        <v>2</v>
      </c>
      <c r="F6276" t="s">
        <v>6293</v>
      </c>
    </row>
    <row r="6277" spans="1:6" x14ac:dyDescent="0.25">
      <c r="A6277" t="s">
        <v>6129</v>
      </c>
      <c r="B6277" t="s">
        <v>698</v>
      </c>
      <c r="C6277" t="s">
        <v>699</v>
      </c>
      <c r="D6277" t="str">
        <f>HYPERLINK("http://service.sap.com/sap/support/notes/1678016","1678016")</f>
        <v>1678016</v>
      </c>
      <c r="E6277">
        <v>7</v>
      </c>
      <c r="F6277" t="s">
        <v>6294</v>
      </c>
    </row>
    <row r="6278" spans="1:6" x14ac:dyDescent="0.25">
      <c r="A6278" t="s">
        <v>6129</v>
      </c>
      <c r="B6278" t="s">
        <v>698</v>
      </c>
      <c r="C6278" t="s">
        <v>699</v>
      </c>
      <c r="D6278" t="str">
        <f>HYPERLINK("http://service.sap.com/sap/support/notes/1715523","1715523")</f>
        <v>1715523</v>
      </c>
      <c r="E6278">
        <v>3</v>
      </c>
      <c r="F6278" t="s">
        <v>6295</v>
      </c>
    </row>
    <row r="6279" spans="1:6" x14ac:dyDescent="0.25">
      <c r="A6279" t="s">
        <v>6129</v>
      </c>
      <c r="B6279" t="s">
        <v>698</v>
      </c>
      <c r="C6279" t="s">
        <v>699</v>
      </c>
      <c r="D6279" t="str">
        <f>HYPERLINK("http://service.sap.com/sap/support/notes/1742704","1742704")</f>
        <v>1742704</v>
      </c>
      <c r="E6279">
        <v>1</v>
      </c>
      <c r="F6279" t="s">
        <v>6296</v>
      </c>
    </row>
    <row r="6280" spans="1:6" x14ac:dyDescent="0.25">
      <c r="A6280" t="s">
        <v>6129</v>
      </c>
      <c r="B6280" t="s">
        <v>698</v>
      </c>
      <c r="C6280" t="s">
        <v>699</v>
      </c>
      <c r="D6280" t="str">
        <f>HYPERLINK("http://service.sap.com/sap/support/notes/1752581","1752581")</f>
        <v>1752581</v>
      </c>
      <c r="E6280">
        <v>1</v>
      </c>
      <c r="F6280" t="s">
        <v>6297</v>
      </c>
    </row>
    <row r="6281" spans="1:6" x14ac:dyDescent="0.25">
      <c r="A6281" t="s">
        <v>6129</v>
      </c>
      <c r="B6281" t="s">
        <v>698</v>
      </c>
      <c r="C6281" t="s">
        <v>699</v>
      </c>
      <c r="D6281" t="str">
        <f>HYPERLINK("http://service.sap.com/sap/support/notes/1755266","1755266")</f>
        <v>1755266</v>
      </c>
      <c r="E6281">
        <v>1</v>
      </c>
      <c r="F6281" t="s">
        <v>6298</v>
      </c>
    </row>
    <row r="6282" spans="1:6" x14ac:dyDescent="0.25">
      <c r="A6282" t="s">
        <v>6129</v>
      </c>
      <c r="B6282" t="s">
        <v>698</v>
      </c>
      <c r="C6282" t="s">
        <v>699</v>
      </c>
      <c r="D6282" t="str">
        <f>HYPERLINK("http://service.sap.com/sap/support/notes/1757470","1757470")</f>
        <v>1757470</v>
      </c>
      <c r="E6282">
        <v>2</v>
      </c>
      <c r="F6282" t="s">
        <v>6299</v>
      </c>
    </row>
    <row r="6283" spans="1:6" x14ac:dyDescent="0.25">
      <c r="A6283" t="s">
        <v>6129</v>
      </c>
      <c r="B6283" t="s">
        <v>698</v>
      </c>
      <c r="C6283" t="s">
        <v>699</v>
      </c>
      <c r="D6283" t="str">
        <f>HYPERLINK("http://service.sap.com/sap/support/notes/1761981","1761981")</f>
        <v>1761981</v>
      </c>
      <c r="E6283">
        <v>2</v>
      </c>
      <c r="F6283" t="s">
        <v>6300</v>
      </c>
    </row>
    <row r="6284" spans="1:6" x14ac:dyDescent="0.25">
      <c r="A6284" t="s">
        <v>6129</v>
      </c>
      <c r="B6284" t="s">
        <v>698</v>
      </c>
      <c r="C6284" t="s">
        <v>699</v>
      </c>
      <c r="D6284" t="str">
        <f>HYPERLINK("http://service.sap.com/sap/support/notes/1762020","1762020")</f>
        <v>1762020</v>
      </c>
      <c r="E6284">
        <v>1</v>
      </c>
      <c r="F6284" t="s">
        <v>6301</v>
      </c>
    </row>
    <row r="6285" spans="1:6" x14ac:dyDescent="0.25">
      <c r="A6285" t="s">
        <v>6129</v>
      </c>
      <c r="B6285" t="s">
        <v>698</v>
      </c>
      <c r="C6285" t="s">
        <v>699</v>
      </c>
      <c r="D6285" t="str">
        <f>HYPERLINK("http://service.sap.com/sap/support/notes/1764110","1764110")</f>
        <v>1764110</v>
      </c>
      <c r="E6285">
        <v>1</v>
      </c>
      <c r="F6285" t="s">
        <v>6302</v>
      </c>
    </row>
    <row r="6286" spans="1:6" x14ac:dyDescent="0.25">
      <c r="A6286" t="s">
        <v>6129</v>
      </c>
      <c r="B6286" t="s">
        <v>6077</v>
      </c>
      <c r="C6286" t="s">
        <v>645</v>
      </c>
      <c r="D6286" t="str">
        <f>HYPERLINK("http://service.sap.com/sap/support/notes/1750641","1750641")</f>
        <v>1750641</v>
      </c>
      <c r="E6286">
        <v>1</v>
      </c>
      <c r="F6286" t="s">
        <v>6303</v>
      </c>
    </row>
    <row r="6287" spans="1:6" x14ac:dyDescent="0.25">
      <c r="A6287" t="s">
        <v>6129</v>
      </c>
      <c r="B6287" t="s">
        <v>700</v>
      </c>
      <c r="C6287" t="s">
        <v>662</v>
      </c>
      <c r="D6287" t="str">
        <f>HYPERLINK("http://service.sap.com/sap/support/notes/1727656","1727656")</f>
        <v>1727656</v>
      </c>
      <c r="E6287">
        <v>5</v>
      </c>
      <c r="F6287" t="s">
        <v>6304</v>
      </c>
    </row>
    <row r="6288" spans="1:6" x14ac:dyDescent="0.25">
      <c r="A6288" t="s">
        <v>6129</v>
      </c>
      <c r="B6288" t="s">
        <v>6305</v>
      </c>
      <c r="C6288" t="s">
        <v>6306</v>
      </c>
      <c r="D6288" t="str">
        <f>HYPERLINK("http://service.sap.com/sap/support/notes/1644282","1644282")</f>
        <v>1644282</v>
      </c>
      <c r="E6288">
        <v>2</v>
      </c>
      <c r="F6288" t="s">
        <v>6307</v>
      </c>
    </row>
    <row r="6289" spans="1:6" x14ac:dyDescent="0.25">
      <c r="A6289" t="s">
        <v>6129</v>
      </c>
      <c r="B6289" t="s">
        <v>90</v>
      </c>
      <c r="C6289" t="s">
        <v>13</v>
      </c>
    </row>
    <row r="6290" spans="1:6" x14ac:dyDescent="0.25">
      <c r="A6290" t="s">
        <v>6129</v>
      </c>
      <c r="B6290" t="s">
        <v>6308</v>
      </c>
      <c r="C6290" t="s">
        <v>6309</v>
      </c>
      <c r="D6290" t="str">
        <f>HYPERLINK("http://service.sap.com/sap/support/notes/1760904","1760904")</f>
        <v>1760904</v>
      </c>
      <c r="E6290">
        <v>1</v>
      </c>
      <c r="F6290" t="s">
        <v>6310</v>
      </c>
    </row>
    <row r="6291" spans="1:6" x14ac:dyDescent="0.25">
      <c r="A6291" t="s">
        <v>6129</v>
      </c>
      <c r="B6291" t="s">
        <v>557</v>
      </c>
      <c r="C6291" t="s">
        <v>646</v>
      </c>
    </row>
    <row r="6292" spans="1:6" x14ac:dyDescent="0.25">
      <c r="A6292" t="s">
        <v>6129</v>
      </c>
      <c r="B6292" t="s">
        <v>563</v>
      </c>
      <c r="C6292" t="s">
        <v>564</v>
      </c>
    </row>
    <row r="6293" spans="1:6" x14ac:dyDescent="0.25">
      <c r="A6293" t="s">
        <v>6129</v>
      </c>
      <c r="B6293" t="s">
        <v>647</v>
      </c>
      <c r="C6293" t="s">
        <v>648</v>
      </c>
      <c r="D6293" t="str">
        <f>HYPERLINK("http://service.sap.com/sap/support/notes/1705871","1705871")</f>
        <v>1705871</v>
      </c>
      <c r="E6293">
        <v>3</v>
      </c>
      <c r="F6293" t="s">
        <v>6311</v>
      </c>
    </row>
    <row r="6294" spans="1:6" x14ac:dyDescent="0.25">
      <c r="A6294" t="s">
        <v>6129</v>
      </c>
      <c r="B6294" t="s">
        <v>647</v>
      </c>
      <c r="C6294" t="s">
        <v>648</v>
      </c>
      <c r="D6294" t="str">
        <f>HYPERLINK("http://service.sap.com/sap/support/notes/1709749","1709749")</f>
        <v>1709749</v>
      </c>
      <c r="E6294">
        <v>2</v>
      </c>
      <c r="F6294" t="s">
        <v>6312</v>
      </c>
    </row>
    <row r="6295" spans="1:6" x14ac:dyDescent="0.25">
      <c r="A6295" t="s">
        <v>6129</v>
      </c>
      <c r="B6295" t="s">
        <v>647</v>
      </c>
      <c r="C6295" t="s">
        <v>648</v>
      </c>
      <c r="D6295" t="str">
        <f>HYPERLINK("http://service.sap.com/sap/support/notes/1758493","1758493")</f>
        <v>1758493</v>
      </c>
      <c r="E6295">
        <v>1</v>
      </c>
      <c r="F6295" t="s">
        <v>6313</v>
      </c>
    </row>
    <row r="6296" spans="1:6" x14ac:dyDescent="0.25">
      <c r="A6296" t="s">
        <v>6129</v>
      </c>
      <c r="B6296" t="s">
        <v>647</v>
      </c>
      <c r="C6296" t="s">
        <v>648</v>
      </c>
      <c r="D6296" t="str">
        <f>HYPERLINK("http://service.sap.com/sap/support/notes/1759157","1759157")</f>
        <v>1759157</v>
      </c>
      <c r="E6296">
        <v>3</v>
      </c>
      <c r="F6296" t="s">
        <v>6314</v>
      </c>
    </row>
    <row r="6297" spans="1:6" x14ac:dyDescent="0.25">
      <c r="A6297" t="s">
        <v>6129</v>
      </c>
      <c r="B6297" t="s">
        <v>95</v>
      </c>
      <c r="C6297" t="s">
        <v>96</v>
      </c>
    </row>
    <row r="6298" spans="1:6" x14ac:dyDescent="0.25">
      <c r="A6298" t="s">
        <v>6129</v>
      </c>
      <c r="B6298" t="s">
        <v>114</v>
      </c>
      <c r="C6298" t="s">
        <v>115</v>
      </c>
      <c r="D6298" t="str">
        <f>HYPERLINK("http://service.sap.com/sap/support/notes/1752725","1752725")</f>
        <v>1752725</v>
      </c>
      <c r="E6298">
        <v>2</v>
      </c>
      <c r="F6298" t="s">
        <v>6315</v>
      </c>
    </row>
    <row r="6299" spans="1:6" x14ac:dyDescent="0.25">
      <c r="A6299" t="s">
        <v>6129</v>
      </c>
      <c r="B6299" t="s">
        <v>114</v>
      </c>
      <c r="C6299" t="s">
        <v>115</v>
      </c>
      <c r="D6299" t="str">
        <f>HYPERLINK("http://service.sap.com/sap/support/notes/1755354","1755354")</f>
        <v>1755354</v>
      </c>
      <c r="E6299">
        <v>1</v>
      </c>
      <c r="F6299" t="s">
        <v>6316</v>
      </c>
    </row>
    <row r="6300" spans="1:6" x14ac:dyDescent="0.25">
      <c r="A6300" t="s">
        <v>6129</v>
      </c>
      <c r="B6300" t="s">
        <v>114</v>
      </c>
      <c r="C6300" t="s">
        <v>115</v>
      </c>
      <c r="D6300" t="str">
        <f>HYPERLINK("http://service.sap.com/sap/support/notes/1763625","1763625")</f>
        <v>1763625</v>
      </c>
      <c r="E6300">
        <v>3</v>
      </c>
      <c r="F6300" t="s">
        <v>6317</v>
      </c>
    </row>
    <row r="6301" spans="1:6" x14ac:dyDescent="0.25">
      <c r="A6301" t="s">
        <v>6129</v>
      </c>
      <c r="B6301" t="s">
        <v>114</v>
      </c>
      <c r="C6301" t="s">
        <v>115</v>
      </c>
      <c r="D6301" t="str">
        <f>HYPERLINK("http://service.sap.com/sap/support/notes/1765380","1765380")</f>
        <v>1765380</v>
      </c>
      <c r="E6301">
        <v>1</v>
      </c>
      <c r="F6301" t="s">
        <v>6318</v>
      </c>
    </row>
    <row r="6302" spans="1:6" x14ac:dyDescent="0.25">
      <c r="A6302" t="s">
        <v>6129</v>
      </c>
      <c r="B6302" t="s">
        <v>685</v>
      </c>
      <c r="C6302" t="s">
        <v>686</v>
      </c>
      <c r="D6302" t="str">
        <f>HYPERLINK("http://service.sap.com/sap/support/notes/1719387","1719387")</f>
        <v>1719387</v>
      </c>
      <c r="E6302">
        <v>2</v>
      </c>
      <c r="F6302" t="s">
        <v>6319</v>
      </c>
    </row>
    <row r="6303" spans="1:6" x14ac:dyDescent="0.25">
      <c r="A6303" t="s">
        <v>6129</v>
      </c>
      <c r="B6303" t="s">
        <v>685</v>
      </c>
      <c r="C6303" t="s">
        <v>686</v>
      </c>
      <c r="D6303" t="str">
        <f>HYPERLINK("http://service.sap.com/sap/support/notes/1734176","1734176")</f>
        <v>1734176</v>
      </c>
      <c r="E6303">
        <v>2</v>
      </c>
      <c r="F6303" t="s">
        <v>6320</v>
      </c>
    </row>
    <row r="6304" spans="1:6" x14ac:dyDescent="0.25">
      <c r="A6304" t="s">
        <v>6129</v>
      </c>
      <c r="B6304" t="s">
        <v>685</v>
      </c>
      <c r="C6304" t="s">
        <v>686</v>
      </c>
      <c r="D6304" t="str">
        <f>HYPERLINK("http://service.sap.com/sap/support/notes/1744013","1744013")</f>
        <v>1744013</v>
      </c>
      <c r="E6304">
        <v>3</v>
      </c>
      <c r="F6304" t="s">
        <v>6321</v>
      </c>
    </row>
    <row r="6305" spans="1:6" x14ac:dyDescent="0.25">
      <c r="A6305" t="s">
        <v>6129</v>
      </c>
      <c r="B6305" t="s">
        <v>685</v>
      </c>
      <c r="C6305" t="s">
        <v>686</v>
      </c>
      <c r="D6305" t="str">
        <f>HYPERLINK("http://service.sap.com/sap/support/notes/1744115","1744115")</f>
        <v>1744115</v>
      </c>
      <c r="E6305">
        <v>3</v>
      </c>
      <c r="F6305" t="s">
        <v>6322</v>
      </c>
    </row>
    <row r="6306" spans="1:6" x14ac:dyDescent="0.25">
      <c r="A6306" t="s">
        <v>6129</v>
      </c>
      <c r="B6306" t="s">
        <v>685</v>
      </c>
      <c r="C6306" t="s">
        <v>686</v>
      </c>
      <c r="D6306" t="str">
        <f>HYPERLINK("http://service.sap.com/sap/support/notes/1755429","1755429")</f>
        <v>1755429</v>
      </c>
      <c r="E6306">
        <v>1</v>
      </c>
      <c r="F6306" t="s">
        <v>6323</v>
      </c>
    </row>
    <row r="6307" spans="1:6" x14ac:dyDescent="0.25">
      <c r="A6307" t="s">
        <v>6129</v>
      </c>
      <c r="B6307" t="s">
        <v>685</v>
      </c>
      <c r="C6307" t="s">
        <v>686</v>
      </c>
      <c r="D6307" t="str">
        <f>HYPERLINK("http://service.sap.com/sap/support/notes/1755505","1755505")</f>
        <v>1755505</v>
      </c>
      <c r="E6307">
        <v>1</v>
      </c>
      <c r="F6307" t="s">
        <v>6324</v>
      </c>
    </row>
    <row r="6308" spans="1:6" x14ac:dyDescent="0.25">
      <c r="A6308" t="s">
        <v>6129</v>
      </c>
      <c r="B6308" t="s">
        <v>685</v>
      </c>
      <c r="C6308" t="s">
        <v>686</v>
      </c>
      <c r="D6308" t="str">
        <f>HYPERLINK("http://service.sap.com/sap/support/notes/1755849","1755849")</f>
        <v>1755849</v>
      </c>
      <c r="E6308">
        <v>1</v>
      </c>
      <c r="F6308" t="s">
        <v>6325</v>
      </c>
    </row>
    <row r="6309" spans="1:6" x14ac:dyDescent="0.25">
      <c r="A6309" t="s">
        <v>6129</v>
      </c>
      <c r="B6309" t="s">
        <v>685</v>
      </c>
      <c r="C6309" t="s">
        <v>686</v>
      </c>
      <c r="D6309" t="str">
        <f>HYPERLINK("http://service.sap.com/sap/support/notes/1757201","1757201")</f>
        <v>1757201</v>
      </c>
      <c r="E6309">
        <v>3</v>
      </c>
      <c r="F6309" t="s">
        <v>6326</v>
      </c>
    </row>
    <row r="6310" spans="1:6" x14ac:dyDescent="0.25">
      <c r="A6310" t="s">
        <v>6129</v>
      </c>
      <c r="B6310" t="s">
        <v>685</v>
      </c>
      <c r="C6310" t="s">
        <v>686</v>
      </c>
      <c r="D6310" t="str">
        <f>HYPERLINK("http://service.sap.com/sap/support/notes/1757365","1757365")</f>
        <v>1757365</v>
      </c>
      <c r="E6310">
        <v>1</v>
      </c>
      <c r="F6310" t="s">
        <v>6327</v>
      </c>
    </row>
    <row r="6311" spans="1:6" x14ac:dyDescent="0.25">
      <c r="A6311" t="s">
        <v>6129</v>
      </c>
      <c r="B6311" t="s">
        <v>685</v>
      </c>
      <c r="C6311" t="s">
        <v>686</v>
      </c>
      <c r="D6311" t="str">
        <f>HYPERLINK("http://service.sap.com/sap/support/notes/1759408","1759408")</f>
        <v>1759408</v>
      </c>
      <c r="E6311">
        <v>3</v>
      </c>
      <c r="F6311" t="s">
        <v>6328</v>
      </c>
    </row>
    <row r="6312" spans="1:6" x14ac:dyDescent="0.25">
      <c r="A6312" t="s">
        <v>6129</v>
      </c>
      <c r="B6312" t="s">
        <v>685</v>
      </c>
      <c r="C6312" t="s">
        <v>686</v>
      </c>
      <c r="D6312" t="str">
        <f>HYPERLINK("http://service.sap.com/sap/support/notes/1764169","1764169")</f>
        <v>1764169</v>
      </c>
      <c r="E6312">
        <v>1</v>
      </c>
      <c r="F6312" t="s">
        <v>6329</v>
      </c>
    </row>
    <row r="6313" spans="1:6" x14ac:dyDescent="0.25">
      <c r="A6313" t="s">
        <v>6129</v>
      </c>
      <c r="B6313" t="s">
        <v>150</v>
      </c>
      <c r="C6313" t="s">
        <v>151</v>
      </c>
    </row>
    <row r="6314" spans="1:6" x14ac:dyDescent="0.25">
      <c r="A6314" t="s">
        <v>6129</v>
      </c>
      <c r="B6314" t="s">
        <v>155</v>
      </c>
      <c r="C6314" t="s">
        <v>156</v>
      </c>
      <c r="D6314" t="str">
        <f>HYPERLINK("http://service.sap.com/sap/support/notes/1687566","1687566")</f>
        <v>1687566</v>
      </c>
      <c r="E6314">
        <v>2</v>
      </c>
      <c r="F6314" t="s">
        <v>6330</v>
      </c>
    </row>
    <row r="6315" spans="1:6" x14ac:dyDescent="0.25">
      <c r="A6315" t="s">
        <v>6129</v>
      </c>
      <c r="B6315" t="s">
        <v>319</v>
      </c>
      <c r="C6315" t="s">
        <v>320</v>
      </c>
    </row>
    <row r="6316" spans="1:6" x14ac:dyDescent="0.25">
      <c r="A6316" t="s">
        <v>6129</v>
      </c>
      <c r="B6316" t="s">
        <v>2263</v>
      </c>
      <c r="C6316" t="s">
        <v>2264</v>
      </c>
      <c r="D6316" t="str">
        <f>HYPERLINK("http://service.sap.com/sap/support/notes/1732259","1732259")</f>
        <v>1732259</v>
      </c>
      <c r="E6316">
        <v>3</v>
      </c>
      <c r="F6316" t="s">
        <v>6331</v>
      </c>
    </row>
    <row r="6317" spans="1:6" x14ac:dyDescent="0.25">
      <c r="A6317" t="s">
        <v>6129</v>
      </c>
      <c r="B6317" t="s">
        <v>2263</v>
      </c>
      <c r="C6317" t="s">
        <v>2264</v>
      </c>
      <c r="D6317" t="str">
        <f>HYPERLINK("http://service.sap.com/sap/support/notes/1748145","1748145")</f>
        <v>1748145</v>
      </c>
      <c r="E6317">
        <v>2</v>
      </c>
      <c r="F6317" t="s">
        <v>6332</v>
      </c>
    </row>
    <row r="6318" spans="1:6" x14ac:dyDescent="0.25">
      <c r="A6318" t="s">
        <v>6129</v>
      </c>
      <c r="B6318" t="s">
        <v>2263</v>
      </c>
      <c r="C6318" t="s">
        <v>2264</v>
      </c>
      <c r="D6318" t="str">
        <f>HYPERLINK("http://service.sap.com/sap/support/notes/1755517","1755517")</f>
        <v>1755517</v>
      </c>
      <c r="E6318">
        <v>4</v>
      </c>
      <c r="F6318" t="s">
        <v>6333</v>
      </c>
    </row>
    <row r="6319" spans="1:6" x14ac:dyDescent="0.25">
      <c r="A6319" t="s">
        <v>6129</v>
      </c>
      <c r="B6319" t="s">
        <v>2263</v>
      </c>
      <c r="C6319" t="s">
        <v>2264</v>
      </c>
      <c r="D6319" t="str">
        <f>HYPERLINK("http://service.sap.com/sap/support/notes/1756029","1756029")</f>
        <v>1756029</v>
      </c>
      <c r="E6319">
        <v>3</v>
      </c>
      <c r="F6319" t="s">
        <v>6334</v>
      </c>
    </row>
    <row r="6320" spans="1:6" x14ac:dyDescent="0.25">
      <c r="A6320" t="s">
        <v>6129</v>
      </c>
      <c r="B6320" t="s">
        <v>2263</v>
      </c>
      <c r="C6320" t="s">
        <v>2264</v>
      </c>
      <c r="D6320" t="str">
        <f>HYPERLINK("http://service.sap.com/sap/support/notes/1762799","1762799")</f>
        <v>1762799</v>
      </c>
      <c r="E6320">
        <v>3</v>
      </c>
      <c r="F6320" t="s">
        <v>6335</v>
      </c>
    </row>
    <row r="6321" spans="1:6" x14ac:dyDescent="0.25">
      <c r="A6321" t="s">
        <v>6129</v>
      </c>
      <c r="B6321" t="s">
        <v>337</v>
      </c>
      <c r="C6321" t="s">
        <v>48</v>
      </c>
      <c r="D6321" t="str">
        <f>HYPERLINK("http://service.sap.com/sap/support/notes/1750214","1750214")</f>
        <v>1750214</v>
      </c>
      <c r="E6321">
        <v>5</v>
      </c>
      <c r="F6321" t="s">
        <v>6336</v>
      </c>
    </row>
    <row r="6322" spans="1:6" x14ac:dyDescent="0.25">
      <c r="A6322" t="s">
        <v>6129</v>
      </c>
      <c r="B6322" t="s">
        <v>423</v>
      </c>
      <c r="C6322" t="s">
        <v>424</v>
      </c>
      <c r="D6322" t="str">
        <f>HYPERLINK("http://service.sap.com/sap/support/notes/1737037","1737037")</f>
        <v>1737037</v>
      </c>
      <c r="E6322">
        <v>3</v>
      </c>
      <c r="F6322" t="s">
        <v>6337</v>
      </c>
    </row>
    <row r="6323" spans="1:6" x14ac:dyDescent="0.25">
      <c r="A6323" t="s">
        <v>6129</v>
      </c>
      <c r="B6323" t="s">
        <v>423</v>
      </c>
      <c r="C6323" t="s">
        <v>424</v>
      </c>
      <c r="D6323" t="str">
        <f>HYPERLINK("http://service.sap.com/sap/support/notes/1741172","1741172")</f>
        <v>1741172</v>
      </c>
      <c r="E6323">
        <v>3</v>
      </c>
      <c r="F6323" t="s">
        <v>6338</v>
      </c>
    </row>
    <row r="6324" spans="1:6" x14ac:dyDescent="0.25">
      <c r="A6324" t="s">
        <v>6129</v>
      </c>
      <c r="B6324" t="s">
        <v>423</v>
      </c>
      <c r="C6324" t="s">
        <v>424</v>
      </c>
      <c r="D6324" t="str">
        <f>HYPERLINK("http://service.sap.com/sap/support/notes/1762877","1762877")</f>
        <v>1762877</v>
      </c>
      <c r="E6324">
        <v>2</v>
      </c>
      <c r="F6324" t="s">
        <v>6339</v>
      </c>
    </row>
    <row r="6325" spans="1:6" x14ac:dyDescent="0.25">
      <c r="A6325" t="s">
        <v>6129</v>
      </c>
      <c r="B6325" t="s">
        <v>423</v>
      </c>
      <c r="C6325" t="s">
        <v>424</v>
      </c>
      <c r="D6325" t="str">
        <f>HYPERLINK("http://service.sap.com/sap/support/notes/1764898","1764898")</f>
        <v>1764898</v>
      </c>
      <c r="E6325">
        <v>2</v>
      </c>
      <c r="F6325" t="s">
        <v>6340</v>
      </c>
    </row>
    <row r="6326" spans="1:6" x14ac:dyDescent="0.25">
      <c r="A6326" t="s">
        <v>6129</v>
      </c>
      <c r="B6326" t="s">
        <v>423</v>
      </c>
      <c r="C6326" t="s">
        <v>424</v>
      </c>
      <c r="D6326" t="str">
        <f>HYPERLINK("http://service.sap.com/sap/support/notes/1767325","1767325")</f>
        <v>1767325</v>
      </c>
      <c r="E6326">
        <v>2</v>
      </c>
      <c r="F6326" t="s">
        <v>6341</v>
      </c>
    </row>
    <row r="6327" spans="1:6" x14ac:dyDescent="0.25">
      <c r="A6327" t="s">
        <v>6129</v>
      </c>
      <c r="B6327" t="s">
        <v>453</v>
      </c>
      <c r="C6327" t="s">
        <v>74</v>
      </c>
    </row>
    <row r="6328" spans="1:6" x14ac:dyDescent="0.25">
      <c r="A6328" t="s">
        <v>6129</v>
      </c>
      <c r="B6328" t="s">
        <v>457</v>
      </c>
      <c r="C6328" t="s">
        <v>458</v>
      </c>
      <c r="D6328" t="str">
        <f>HYPERLINK("http://service.sap.com/sap/support/notes/1739847","1739847")</f>
        <v>1739847</v>
      </c>
      <c r="E6328">
        <v>2</v>
      </c>
      <c r="F6328" t="s">
        <v>6119</v>
      </c>
    </row>
    <row r="6329" spans="1:6" x14ac:dyDescent="0.25">
      <c r="A6329" t="s">
        <v>6129</v>
      </c>
      <c r="B6329" t="s">
        <v>610</v>
      </c>
      <c r="C6329" t="s">
        <v>635</v>
      </c>
    </row>
    <row r="6330" spans="1:6" x14ac:dyDescent="0.25">
      <c r="A6330" t="s">
        <v>6129</v>
      </c>
      <c r="B6330" t="s">
        <v>612</v>
      </c>
      <c r="C6330" t="s">
        <v>5696</v>
      </c>
      <c r="D6330" t="str">
        <f>HYPERLINK("http://service.sap.com/sap/support/notes/1574351","1574351")</f>
        <v>1574351</v>
      </c>
      <c r="E6330">
        <v>3</v>
      </c>
      <c r="F6330" t="s">
        <v>6342</v>
      </c>
    </row>
    <row r="6331" spans="1:6" x14ac:dyDescent="0.25">
      <c r="A6331" t="s">
        <v>6129</v>
      </c>
      <c r="B6331" t="s">
        <v>618</v>
      </c>
      <c r="C6331" t="s">
        <v>619</v>
      </c>
    </row>
    <row r="6332" spans="1:6" x14ac:dyDescent="0.25">
      <c r="A6332" t="s">
        <v>6129</v>
      </c>
      <c r="B6332" t="s">
        <v>5701</v>
      </c>
      <c r="C6332" t="s">
        <v>5702</v>
      </c>
      <c r="D6332" t="str">
        <f>HYPERLINK("http://service.sap.com/sap/support/notes/1644869","1644869")</f>
        <v>1644869</v>
      </c>
      <c r="E6332">
        <v>2</v>
      </c>
      <c r="F6332" t="s">
        <v>6343</v>
      </c>
    </row>
    <row r="6333" spans="1:6" x14ac:dyDescent="0.25">
      <c r="A6333" t="s">
        <v>6129</v>
      </c>
      <c r="B6333" t="s">
        <v>3809</v>
      </c>
      <c r="C6333" t="s">
        <v>3810</v>
      </c>
      <c r="D6333" t="str">
        <f>HYPERLINK("http://service.sap.com/sap/support/notes/1761380","1761380")</f>
        <v>1761380</v>
      </c>
      <c r="E6333">
        <v>2</v>
      </c>
      <c r="F6333" t="s">
        <v>6344</v>
      </c>
    </row>
    <row r="6334" spans="1:6" x14ac:dyDescent="0.25">
      <c r="A6334" t="s">
        <v>6129</v>
      </c>
      <c r="B6334" t="s">
        <v>670</v>
      </c>
      <c r="C6334" t="s">
        <v>671</v>
      </c>
    </row>
    <row r="6335" spans="1:6" x14ac:dyDescent="0.25">
      <c r="A6335" t="s">
        <v>6129</v>
      </c>
      <c r="B6335" t="s">
        <v>672</v>
      </c>
      <c r="C6335" t="s">
        <v>673</v>
      </c>
    </row>
    <row r="6336" spans="1:6" x14ac:dyDescent="0.25">
      <c r="A6336" t="s">
        <v>6129</v>
      </c>
      <c r="B6336" t="s">
        <v>5707</v>
      </c>
      <c r="C6336" t="s">
        <v>5708</v>
      </c>
    </row>
    <row r="6337" spans="1:6" x14ac:dyDescent="0.25">
      <c r="A6337" t="s">
        <v>6129</v>
      </c>
      <c r="B6337" t="s">
        <v>5709</v>
      </c>
      <c r="C6337" t="s">
        <v>5710</v>
      </c>
      <c r="D6337" t="str">
        <f>HYPERLINK("http://service.sap.com/sap/support/notes/1763318","1763318")</f>
        <v>1763318</v>
      </c>
      <c r="E6337">
        <v>1</v>
      </c>
      <c r="F6337" t="s">
        <v>6345</v>
      </c>
    </row>
    <row r="6338" spans="1:6" x14ac:dyDescent="0.25">
      <c r="A6338" t="s">
        <v>6129</v>
      </c>
      <c r="B6338" t="s">
        <v>5713</v>
      </c>
      <c r="C6338" t="s">
        <v>5714</v>
      </c>
    </row>
    <row r="6339" spans="1:6" x14ac:dyDescent="0.25">
      <c r="A6339" t="s">
        <v>6129</v>
      </c>
      <c r="B6339" t="s">
        <v>5715</v>
      </c>
      <c r="C6339" t="s">
        <v>5710</v>
      </c>
      <c r="D6339" t="str">
        <f>HYPERLINK("http://service.sap.com/sap/support/notes/1760888","1760888")</f>
        <v>1760888</v>
      </c>
      <c r="E6339">
        <v>1</v>
      </c>
      <c r="F6339" t="s">
        <v>6346</v>
      </c>
    </row>
    <row r="6340" spans="1:6" x14ac:dyDescent="0.25">
      <c r="A6340" t="s">
        <v>6129</v>
      </c>
      <c r="B6340" t="s">
        <v>6347</v>
      </c>
      <c r="C6340" t="s">
        <v>6348</v>
      </c>
    </row>
    <row r="6341" spans="1:6" x14ac:dyDescent="0.25">
      <c r="A6341" t="s">
        <v>6129</v>
      </c>
      <c r="B6341" t="s">
        <v>6349</v>
      </c>
      <c r="C6341" t="s">
        <v>5710</v>
      </c>
      <c r="D6341" t="str">
        <f>HYPERLINK("http://service.sap.com/sap/support/notes/1755428","1755428")</f>
        <v>1755428</v>
      </c>
      <c r="E6341">
        <v>2</v>
      </c>
      <c r="F6341" t="s">
        <v>6350</v>
      </c>
    </row>
    <row r="6342" spans="1:6" x14ac:dyDescent="0.25">
      <c r="A6342" t="s">
        <v>6129</v>
      </c>
      <c r="B6342" t="s">
        <v>6349</v>
      </c>
      <c r="C6342" t="s">
        <v>5710</v>
      </c>
      <c r="D6342" t="str">
        <f>HYPERLINK("http://service.sap.com/sap/support/notes/1756037","1756037")</f>
        <v>1756037</v>
      </c>
      <c r="E6342">
        <v>1</v>
      </c>
      <c r="F6342" t="s">
        <v>6351</v>
      </c>
    </row>
    <row r="6343" spans="1:6" x14ac:dyDescent="0.25">
      <c r="A6343" t="s">
        <v>6352</v>
      </c>
      <c r="B6343" t="s">
        <v>481</v>
      </c>
      <c r="C6343" t="s">
        <v>482</v>
      </c>
    </row>
    <row r="6344" spans="1:6" x14ac:dyDescent="0.25">
      <c r="A6344" t="s">
        <v>6352</v>
      </c>
      <c r="B6344" t="s">
        <v>487</v>
      </c>
      <c r="C6344" t="s">
        <v>488</v>
      </c>
    </row>
    <row r="6345" spans="1:6" x14ac:dyDescent="0.25">
      <c r="A6345" t="s">
        <v>6352</v>
      </c>
      <c r="B6345" t="s">
        <v>489</v>
      </c>
      <c r="C6345" t="s">
        <v>641</v>
      </c>
      <c r="D6345" t="str">
        <f>HYPERLINK("http://service.sap.com/sap/support/notes/1763009","1763009")</f>
        <v>1763009</v>
      </c>
      <c r="E6345">
        <v>1</v>
      </c>
      <c r="F6345" t="s">
        <v>6353</v>
      </c>
    </row>
    <row r="6346" spans="1:6" x14ac:dyDescent="0.25">
      <c r="A6346" t="s">
        <v>6352</v>
      </c>
      <c r="B6346" t="s">
        <v>489</v>
      </c>
      <c r="C6346" t="s">
        <v>641</v>
      </c>
      <c r="D6346" t="str">
        <f>HYPERLINK("http://service.sap.com/sap/support/notes/1766628","1766628")</f>
        <v>1766628</v>
      </c>
      <c r="E6346">
        <v>3</v>
      </c>
      <c r="F6346" t="s">
        <v>6135</v>
      </c>
    </row>
    <row r="6347" spans="1:6" x14ac:dyDescent="0.25">
      <c r="A6347" t="s">
        <v>6352</v>
      </c>
      <c r="B6347" t="s">
        <v>490</v>
      </c>
      <c r="C6347" t="s">
        <v>491</v>
      </c>
    </row>
    <row r="6348" spans="1:6" x14ac:dyDescent="0.25">
      <c r="A6348" t="s">
        <v>6352</v>
      </c>
      <c r="B6348" t="s">
        <v>722</v>
      </c>
      <c r="C6348" t="s">
        <v>723</v>
      </c>
    </row>
    <row r="6349" spans="1:6" x14ac:dyDescent="0.25">
      <c r="A6349" t="s">
        <v>6352</v>
      </c>
      <c r="B6349" t="s">
        <v>724</v>
      </c>
      <c r="C6349" t="s">
        <v>648</v>
      </c>
      <c r="D6349" t="str">
        <f>HYPERLINK("http://service.sap.com/sap/support/notes/1655005","1655005")</f>
        <v>1655005</v>
      </c>
      <c r="E6349">
        <v>4</v>
      </c>
      <c r="F6349" t="s">
        <v>6136</v>
      </c>
    </row>
    <row r="6350" spans="1:6" x14ac:dyDescent="0.25">
      <c r="A6350" t="s">
        <v>6352</v>
      </c>
      <c r="B6350" t="s">
        <v>15</v>
      </c>
      <c r="C6350" t="s">
        <v>16</v>
      </c>
    </row>
    <row r="6351" spans="1:6" x14ac:dyDescent="0.25">
      <c r="A6351" t="s">
        <v>6352</v>
      </c>
      <c r="B6351" t="s">
        <v>17</v>
      </c>
      <c r="C6351" t="s">
        <v>18</v>
      </c>
    </row>
    <row r="6352" spans="1:6" x14ac:dyDescent="0.25">
      <c r="A6352" t="s">
        <v>6352</v>
      </c>
      <c r="B6352" t="s">
        <v>19</v>
      </c>
      <c r="C6352" t="s">
        <v>20</v>
      </c>
    </row>
    <row r="6353" spans="1:6" x14ac:dyDescent="0.25">
      <c r="A6353" t="s">
        <v>6352</v>
      </c>
      <c r="B6353" t="s">
        <v>21</v>
      </c>
      <c r="C6353" t="s">
        <v>22</v>
      </c>
      <c r="D6353" t="str">
        <f>HYPERLINK("http://service.sap.com/sap/support/notes/1770174","1770174")</f>
        <v>1770174</v>
      </c>
      <c r="E6353">
        <v>1</v>
      </c>
      <c r="F6353" t="s">
        <v>6354</v>
      </c>
    </row>
    <row r="6354" spans="1:6" x14ac:dyDescent="0.25">
      <c r="A6354" t="s">
        <v>6352</v>
      </c>
      <c r="B6354" t="s">
        <v>493</v>
      </c>
      <c r="C6354" t="s">
        <v>494</v>
      </c>
    </row>
    <row r="6355" spans="1:6" x14ac:dyDescent="0.25">
      <c r="A6355" t="s">
        <v>6352</v>
      </c>
      <c r="B6355" t="s">
        <v>495</v>
      </c>
      <c r="C6355" t="s">
        <v>655</v>
      </c>
      <c r="D6355" t="str">
        <f>HYPERLINK("http://service.sap.com/sap/support/notes/1699983","1699983")</f>
        <v>1699983</v>
      </c>
      <c r="E6355">
        <v>6</v>
      </c>
      <c r="F6355" t="s">
        <v>6355</v>
      </c>
    </row>
    <row r="6356" spans="1:6" x14ac:dyDescent="0.25">
      <c r="A6356" t="s">
        <v>6352</v>
      </c>
      <c r="B6356" t="s">
        <v>495</v>
      </c>
      <c r="C6356" t="s">
        <v>655</v>
      </c>
      <c r="D6356" t="str">
        <f>HYPERLINK("http://service.sap.com/sap/support/notes/1706835","1706835")</f>
        <v>1706835</v>
      </c>
      <c r="E6356">
        <v>1</v>
      </c>
      <c r="F6356" t="s">
        <v>1567</v>
      </c>
    </row>
    <row r="6357" spans="1:6" x14ac:dyDescent="0.25">
      <c r="A6357" t="s">
        <v>6352</v>
      </c>
      <c r="B6357" t="s">
        <v>495</v>
      </c>
      <c r="C6357" t="s">
        <v>655</v>
      </c>
      <c r="D6357" t="str">
        <f>HYPERLINK("http://service.sap.com/sap/support/notes/1768672","1768672")</f>
        <v>1768672</v>
      </c>
      <c r="E6357">
        <v>1</v>
      </c>
      <c r="F6357" t="s">
        <v>6356</v>
      </c>
    </row>
    <row r="6358" spans="1:6" x14ac:dyDescent="0.25">
      <c r="A6358" t="s">
        <v>6352</v>
      </c>
      <c r="B6358" t="s">
        <v>495</v>
      </c>
      <c r="C6358" t="s">
        <v>655</v>
      </c>
      <c r="D6358" t="str">
        <f>HYPERLINK("http://service.sap.com/sap/support/notes/1769602","1769602")</f>
        <v>1769602</v>
      </c>
      <c r="E6358">
        <v>1</v>
      </c>
      <c r="F6358" t="s">
        <v>6357</v>
      </c>
    </row>
    <row r="6359" spans="1:6" x14ac:dyDescent="0.25">
      <c r="A6359" t="s">
        <v>6352</v>
      </c>
      <c r="B6359" t="s">
        <v>495</v>
      </c>
      <c r="C6359" t="s">
        <v>655</v>
      </c>
      <c r="D6359" t="str">
        <f>HYPERLINK("http://service.sap.com/sap/support/notes/1771380","1771380")</f>
        <v>1771380</v>
      </c>
      <c r="E6359">
        <v>2</v>
      </c>
      <c r="F6359" t="s">
        <v>6358</v>
      </c>
    </row>
    <row r="6360" spans="1:6" x14ac:dyDescent="0.25">
      <c r="A6360" t="s">
        <v>6352</v>
      </c>
      <c r="B6360" t="s">
        <v>497</v>
      </c>
      <c r="C6360" t="s">
        <v>498</v>
      </c>
      <c r="D6360" t="str">
        <f>HYPERLINK("http://service.sap.com/sap/support/notes/1764335","1764335")</f>
        <v>1764335</v>
      </c>
      <c r="E6360">
        <v>2</v>
      </c>
      <c r="F6360" t="s">
        <v>6359</v>
      </c>
    </row>
    <row r="6361" spans="1:6" x14ac:dyDescent="0.25">
      <c r="A6361" t="s">
        <v>6352</v>
      </c>
      <c r="B6361" t="s">
        <v>497</v>
      </c>
      <c r="C6361" t="s">
        <v>498</v>
      </c>
      <c r="D6361" t="str">
        <f>HYPERLINK("http://service.sap.com/sap/support/notes/1764979","1764979")</f>
        <v>1764979</v>
      </c>
      <c r="E6361">
        <v>4</v>
      </c>
      <c r="F6361" t="s">
        <v>6360</v>
      </c>
    </row>
    <row r="6362" spans="1:6" x14ac:dyDescent="0.25">
      <c r="A6362" t="s">
        <v>6352</v>
      </c>
      <c r="B6362" t="s">
        <v>497</v>
      </c>
      <c r="C6362" t="s">
        <v>498</v>
      </c>
      <c r="D6362" t="str">
        <f>HYPERLINK("http://service.sap.com/sap/support/notes/1766030","1766030")</f>
        <v>1766030</v>
      </c>
      <c r="E6362">
        <v>1</v>
      </c>
      <c r="F6362" t="s">
        <v>6361</v>
      </c>
    </row>
    <row r="6363" spans="1:6" x14ac:dyDescent="0.25">
      <c r="A6363" t="s">
        <v>6352</v>
      </c>
      <c r="B6363" t="s">
        <v>497</v>
      </c>
      <c r="C6363" t="s">
        <v>498</v>
      </c>
      <c r="D6363" t="str">
        <f>HYPERLINK("http://service.sap.com/sap/support/notes/1766880","1766880")</f>
        <v>1766880</v>
      </c>
      <c r="E6363">
        <v>2</v>
      </c>
      <c r="F6363" t="s">
        <v>6362</v>
      </c>
    </row>
    <row r="6364" spans="1:6" x14ac:dyDescent="0.25">
      <c r="A6364" t="s">
        <v>6352</v>
      </c>
      <c r="B6364" t="s">
        <v>497</v>
      </c>
      <c r="C6364" t="s">
        <v>498</v>
      </c>
      <c r="D6364" t="str">
        <f>HYPERLINK("http://service.sap.com/sap/support/notes/1768682","1768682")</f>
        <v>1768682</v>
      </c>
      <c r="E6364">
        <v>1</v>
      </c>
      <c r="F6364" t="s">
        <v>6363</v>
      </c>
    </row>
    <row r="6365" spans="1:6" x14ac:dyDescent="0.25">
      <c r="A6365" t="s">
        <v>6352</v>
      </c>
      <c r="B6365" t="s">
        <v>497</v>
      </c>
      <c r="C6365" t="s">
        <v>498</v>
      </c>
      <c r="D6365" t="str">
        <f>HYPERLINK("http://service.sap.com/sap/support/notes/1769631","1769631")</f>
        <v>1769631</v>
      </c>
      <c r="E6365">
        <v>1</v>
      </c>
      <c r="F6365" t="s">
        <v>6364</v>
      </c>
    </row>
    <row r="6366" spans="1:6" x14ac:dyDescent="0.25">
      <c r="A6366" t="s">
        <v>6352</v>
      </c>
      <c r="B6366" t="s">
        <v>497</v>
      </c>
      <c r="C6366" t="s">
        <v>498</v>
      </c>
      <c r="D6366" t="str">
        <f>HYPERLINK("http://service.sap.com/sap/support/notes/1769897","1769897")</f>
        <v>1769897</v>
      </c>
      <c r="E6366">
        <v>1</v>
      </c>
      <c r="F6366" t="s">
        <v>6365</v>
      </c>
    </row>
    <row r="6367" spans="1:6" x14ac:dyDescent="0.25">
      <c r="A6367" t="s">
        <v>6352</v>
      </c>
      <c r="B6367" t="s">
        <v>497</v>
      </c>
      <c r="C6367" t="s">
        <v>498</v>
      </c>
      <c r="D6367" t="str">
        <f>HYPERLINK("http://service.sap.com/sap/support/notes/1770185","1770185")</f>
        <v>1770185</v>
      </c>
      <c r="E6367">
        <v>1</v>
      </c>
      <c r="F6367" t="s">
        <v>6366</v>
      </c>
    </row>
    <row r="6368" spans="1:6" x14ac:dyDescent="0.25">
      <c r="A6368" t="s">
        <v>6352</v>
      </c>
      <c r="B6368" t="s">
        <v>497</v>
      </c>
      <c r="C6368" t="s">
        <v>498</v>
      </c>
      <c r="D6368" t="str">
        <f>HYPERLINK("http://service.sap.com/sap/support/notes/1770220","1770220")</f>
        <v>1770220</v>
      </c>
      <c r="E6368">
        <v>1</v>
      </c>
      <c r="F6368" t="s">
        <v>6367</v>
      </c>
    </row>
    <row r="6369" spans="1:6" x14ac:dyDescent="0.25">
      <c r="A6369" t="s">
        <v>6352</v>
      </c>
      <c r="B6369" t="s">
        <v>497</v>
      </c>
      <c r="C6369" t="s">
        <v>498</v>
      </c>
      <c r="D6369" t="str">
        <f>HYPERLINK("http://service.sap.com/sap/support/notes/1771486","1771486")</f>
        <v>1771486</v>
      </c>
      <c r="E6369">
        <v>1</v>
      </c>
      <c r="F6369" t="s">
        <v>6368</v>
      </c>
    </row>
    <row r="6370" spans="1:6" x14ac:dyDescent="0.25">
      <c r="A6370" t="s">
        <v>6352</v>
      </c>
      <c r="B6370" t="s">
        <v>497</v>
      </c>
      <c r="C6370" t="s">
        <v>498</v>
      </c>
      <c r="D6370" t="str">
        <f>HYPERLINK("http://service.sap.com/sap/support/notes/1771597","1771597")</f>
        <v>1771597</v>
      </c>
      <c r="E6370">
        <v>2</v>
      </c>
      <c r="F6370" t="s">
        <v>6369</v>
      </c>
    </row>
    <row r="6371" spans="1:6" x14ac:dyDescent="0.25">
      <c r="A6371" t="s">
        <v>6352</v>
      </c>
      <c r="B6371" t="s">
        <v>497</v>
      </c>
      <c r="C6371" t="s">
        <v>498</v>
      </c>
      <c r="D6371" t="str">
        <f>HYPERLINK("http://service.sap.com/sap/support/notes/1771608","1771608")</f>
        <v>1771608</v>
      </c>
      <c r="E6371">
        <v>3</v>
      </c>
      <c r="F6371" t="s">
        <v>6370</v>
      </c>
    </row>
    <row r="6372" spans="1:6" x14ac:dyDescent="0.25">
      <c r="A6372" t="s">
        <v>6352</v>
      </c>
      <c r="B6372" t="s">
        <v>497</v>
      </c>
      <c r="C6372" t="s">
        <v>498</v>
      </c>
      <c r="D6372" t="str">
        <f>HYPERLINK("http://service.sap.com/sap/support/notes/1772089","1772089")</f>
        <v>1772089</v>
      </c>
      <c r="E6372">
        <v>2</v>
      </c>
      <c r="F6372" t="s">
        <v>6371</v>
      </c>
    </row>
    <row r="6373" spans="1:6" x14ac:dyDescent="0.25">
      <c r="A6373" t="s">
        <v>6352</v>
      </c>
      <c r="B6373" t="s">
        <v>497</v>
      </c>
      <c r="C6373" t="s">
        <v>498</v>
      </c>
      <c r="D6373" t="str">
        <f>HYPERLINK("http://service.sap.com/sap/support/notes/1772223","1772223")</f>
        <v>1772223</v>
      </c>
      <c r="E6373">
        <v>2</v>
      </c>
      <c r="F6373" t="s">
        <v>6372</v>
      </c>
    </row>
    <row r="6374" spans="1:6" x14ac:dyDescent="0.25">
      <c r="A6374" t="s">
        <v>6352</v>
      </c>
      <c r="B6374" t="s">
        <v>497</v>
      </c>
      <c r="C6374" t="s">
        <v>498</v>
      </c>
      <c r="D6374" t="str">
        <f>HYPERLINK("http://service.sap.com/sap/support/notes/1772483","1772483")</f>
        <v>1772483</v>
      </c>
      <c r="E6374">
        <v>1</v>
      </c>
      <c r="F6374" t="s">
        <v>6373</v>
      </c>
    </row>
    <row r="6375" spans="1:6" x14ac:dyDescent="0.25">
      <c r="A6375" t="s">
        <v>6352</v>
      </c>
      <c r="B6375" t="s">
        <v>497</v>
      </c>
      <c r="C6375" t="s">
        <v>498</v>
      </c>
      <c r="D6375" t="str">
        <f>HYPERLINK("http://service.sap.com/sap/support/notes/1774239","1774239")</f>
        <v>1774239</v>
      </c>
      <c r="E6375">
        <v>3</v>
      </c>
      <c r="F6375" t="s">
        <v>6374</v>
      </c>
    </row>
    <row r="6376" spans="1:6" x14ac:dyDescent="0.25">
      <c r="A6376" t="s">
        <v>6352</v>
      </c>
      <c r="B6376" t="s">
        <v>497</v>
      </c>
      <c r="C6376" t="s">
        <v>498</v>
      </c>
      <c r="D6376" t="str">
        <f>HYPERLINK("http://service.sap.com/sap/support/notes/1774927","1774927")</f>
        <v>1774927</v>
      </c>
      <c r="E6376">
        <v>1</v>
      </c>
      <c r="F6376" t="s">
        <v>6375</v>
      </c>
    </row>
    <row r="6377" spans="1:6" x14ac:dyDescent="0.25">
      <c r="A6377" t="s">
        <v>6352</v>
      </c>
      <c r="B6377" t="s">
        <v>497</v>
      </c>
      <c r="C6377" t="s">
        <v>498</v>
      </c>
      <c r="D6377" t="str">
        <f>HYPERLINK("http://service.sap.com/sap/support/notes/1775073","1775073")</f>
        <v>1775073</v>
      </c>
      <c r="E6377">
        <v>1</v>
      </c>
      <c r="F6377" t="s">
        <v>6376</v>
      </c>
    </row>
    <row r="6378" spans="1:6" x14ac:dyDescent="0.25">
      <c r="A6378" t="s">
        <v>6352</v>
      </c>
      <c r="B6378" t="s">
        <v>497</v>
      </c>
      <c r="C6378" t="s">
        <v>498</v>
      </c>
      <c r="D6378" t="str">
        <f>HYPERLINK("http://service.sap.com/sap/support/notes/1775139","1775139")</f>
        <v>1775139</v>
      </c>
      <c r="E6378">
        <v>1</v>
      </c>
      <c r="F6378" t="s">
        <v>6377</v>
      </c>
    </row>
    <row r="6379" spans="1:6" x14ac:dyDescent="0.25">
      <c r="A6379" t="s">
        <v>6352</v>
      </c>
      <c r="B6379" t="s">
        <v>656</v>
      </c>
      <c r="C6379" t="s">
        <v>657</v>
      </c>
      <c r="D6379" t="str">
        <f>HYPERLINK("http://service.sap.com/sap/support/notes/1752795","1752795")</f>
        <v>1752795</v>
      </c>
      <c r="E6379">
        <v>1</v>
      </c>
      <c r="F6379" t="s">
        <v>6378</v>
      </c>
    </row>
    <row r="6380" spans="1:6" x14ac:dyDescent="0.25">
      <c r="A6380" t="s">
        <v>6352</v>
      </c>
      <c r="B6380" t="s">
        <v>656</v>
      </c>
      <c r="C6380" t="s">
        <v>657</v>
      </c>
      <c r="D6380" t="str">
        <f>HYPERLINK("http://service.sap.com/sap/support/notes/1763323","1763323")</f>
        <v>1763323</v>
      </c>
      <c r="E6380">
        <v>2</v>
      </c>
      <c r="F6380" t="s">
        <v>6379</v>
      </c>
    </row>
    <row r="6381" spans="1:6" x14ac:dyDescent="0.25">
      <c r="A6381" t="s">
        <v>6352</v>
      </c>
      <c r="B6381" t="s">
        <v>656</v>
      </c>
      <c r="C6381" t="s">
        <v>657</v>
      </c>
      <c r="D6381" t="str">
        <f>HYPERLINK("http://service.sap.com/sap/support/notes/1766319","1766319")</f>
        <v>1766319</v>
      </c>
      <c r="E6381">
        <v>3</v>
      </c>
      <c r="F6381" t="s">
        <v>6380</v>
      </c>
    </row>
    <row r="6382" spans="1:6" x14ac:dyDescent="0.25">
      <c r="A6382" t="s">
        <v>6352</v>
      </c>
      <c r="B6382" t="s">
        <v>656</v>
      </c>
      <c r="C6382" t="s">
        <v>657</v>
      </c>
      <c r="D6382" t="str">
        <f>HYPERLINK("http://service.sap.com/sap/support/notes/1766529","1766529")</f>
        <v>1766529</v>
      </c>
      <c r="E6382">
        <v>1</v>
      </c>
      <c r="F6382" t="s">
        <v>6381</v>
      </c>
    </row>
    <row r="6383" spans="1:6" x14ac:dyDescent="0.25">
      <c r="A6383" t="s">
        <v>6352</v>
      </c>
      <c r="B6383" t="s">
        <v>656</v>
      </c>
      <c r="C6383" t="s">
        <v>657</v>
      </c>
      <c r="D6383" t="str">
        <f>HYPERLINK("http://service.sap.com/sap/support/notes/1767303","1767303")</f>
        <v>1767303</v>
      </c>
      <c r="E6383">
        <v>1</v>
      </c>
      <c r="F6383" t="s">
        <v>6382</v>
      </c>
    </row>
    <row r="6384" spans="1:6" x14ac:dyDescent="0.25">
      <c r="A6384" t="s">
        <v>6352</v>
      </c>
      <c r="B6384" t="s">
        <v>656</v>
      </c>
      <c r="C6384" t="s">
        <v>657</v>
      </c>
      <c r="D6384" t="str">
        <f>HYPERLINK("http://service.sap.com/sap/support/notes/1767881","1767881")</f>
        <v>1767881</v>
      </c>
      <c r="E6384">
        <v>1</v>
      </c>
      <c r="F6384" t="s">
        <v>6383</v>
      </c>
    </row>
    <row r="6385" spans="1:6" x14ac:dyDescent="0.25">
      <c r="A6385" t="s">
        <v>6352</v>
      </c>
      <c r="B6385" t="s">
        <v>656</v>
      </c>
      <c r="C6385" t="s">
        <v>657</v>
      </c>
      <c r="D6385" t="str">
        <f>HYPERLINK("http://service.sap.com/sap/support/notes/1768077","1768077")</f>
        <v>1768077</v>
      </c>
      <c r="E6385">
        <v>1</v>
      </c>
      <c r="F6385" t="s">
        <v>6384</v>
      </c>
    </row>
    <row r="6386" spans="1:6" x14ac:dyDescent="0.25">
      <c r="A6386" t="s">
        <v>6352</v>
      </c>
      <c r="B6386" t="s">
        <v>656</v>
      </c>
      <c r="C6386" t="s">
        <v>657</v>
      </c>
      <c r="D6386" t="str">
        <f>HYPERLINK("http://service.sap.com/sap/support/notes/1768723","1768723")</f>
        <v>1768723</v>
      </c>
      <c r="E6386">
        <v>2</v>
      </c>
      <c r="F6386" t="s">
        <v>6385</v>
      </c>
    </row>
    <row r="6387" spans="1:6" x14ac:dyDescent="0.25">
      <c r="A6387" t="s">
        <v>6352</v>
      </c>
      <c r="B6387" t="s">
        <v>656</v>
      </c>
      <c r="C6387" t="s">
        <v>657</v>
      </c>
      <c r="D6387" t="str">
        <f>HYPERLINK("http://service.sap.com/sap/support/notes/1769082","1769082")</f>
        <v>1769082</v>
      </c>
      <c r="E6387">
        <v>2</v>
      </c>
      <c r="F6387" t="s">
        <v>6386</v>
      </c>
    </row>
    <row r="6388" spans="1:6" x14ac:dyDescent="0.25">
      <c r="A6388" t="s">
        <v>6352</v>
      </c>
      <c r="B6388" t="s">
        <v>656</v>
      </c>
      <c r="C6388" t="s">
        <v>657</v>
      </c>
      <c r="D6388" t="str">
        <f>HYPERLINK("http://service.sap.com/sap/support/notes/1770308","1770308")</f>
        <v>1770308</v>
      </c>
      <c r="E6388">
        <v>1</v>
      </c>
      <c r="F6388" t="s">
        <v>6387</v>
      </c>
    </row>
    <row r="6389" spans="1:6" x14ac:dyDescent="0.25">
      <c r="A6389" t="s">
        <v>6352</v>
      </c>
      <c r="B6389" t="s">
        <v>656</v>
      </c>
      <c r="C6389" t="s">
        <v>657</v>
      </c>
      <c r="D6389" t="str">
        <f>HYPERLINK("http://service.sap.com/sap/support/notes/1770331","1770331")</f>
        <v>1770331</v>
      </c>
      <c r="E6389">
        <v>1</v>
      </c>
      <c r="F6389" t="s">
        <v>6388</v>
      </c>
    </row>
    <row r="6390" spans="1:6" x14ac:dyDescent="0.25">
      <c r="A6390" t="s">
        <v>6352</v>
      </c>
      <c r="B6390" t="s">
        <v>656</v>
      </c>
      <c r="C6390" t="s">
        <v>657</v>
      </c>
      <c r="D6390" t="str">
        <f>HYPERLINK("http://service.sap.com/sap/support/notes/1770965","1770965")</f>
        <v>1770965</v>
      </c>
      <c r="E6390">
        <v>1</v>
      </c>
      <c r="F6390" t="s">
        <v>6389</v>
      </c>
    </row>
    <row r="6391" spans="1:6" x14ac:dyDescent="0.25">
      <c r="A6391" t="s">
        <v>6352</v>
      </c>
      <c r="B6391" t="s">
        <v>656</v>
      </c>
      <c r="C6391" t="s">
        <v>657</v>
      </c>
      <c r="D6391" t="str">
        <f>HYPERLINK("http://service.sap.com/sap/support/notes/1772023","1772023")</f>
        <v>1772023</v>
      </c>
      <c r="E6391">
        <v>1</v>
      </c>
      <c r="F6391" t="s">
        <v>6390</v>
      </c>
    </row>
    <row r="6392" spans="1:6" x14ac:dyDescent="0.25">
      <c r="A6392" t="s">
        <v>6352</v>
      </c>
      <c r="B6392" t="s">
        <v>656</v>
      </c>
      <c r="C6392" t="s">
        <v>657</v>
      </c>
      <c r="D6392" t="str">
        <f>HYPERLINK("http://service.sap.com/sap/support/notes/1772042","1772042")</f>
        <v>1772042</v>
      </c>
      <c r="E6392">
        <v>1</v>
      </c>
      <c r="F6392" t="s">
        <v>6391</v>
      </c>
    </row>
    <row r="6393" spans="1:6" x14ac:dyDescent="0.25">
      <c r="A6393" t="s">
        <v>6352</v>
      </c>
      <c r="B6393" t="s">
        <v>656</v>
      </c>
      <c r="C6393" t="s">
        <v>657</v>
      </c>
      <c r="D6393" t="str">
        <f>HYPERLINK("http://service.sap.com/sap/support/notes/1772441","1772441")</f>
        <v>1772441</v>
      </c>
      <c r="E6393">
        <v>1</v>
      </c>
      <c r="F6393" t="s">
        <v>6392</v>
      </c>
    </row>
    <row r="6394" spans="1:6" x14ac:dyDescent="0.25">
      <c r="A6394" t="s">
        <v>6352</v>
      </c>
      <c r="B6394" t="s">
        <v>656</v>
      </c>
      <c r="C6394" t="s">
        <v>657</v>
      </c>
      <c r="D6394" t="str">
        <f>HYPERLINK("http://service.sap.com/sap/support/notes/1773426","1773426")</f>
        <v>1773426</v>
      </c>
      <c r="E6394">
        <v>1</v>
      </c>
      <c r="F6394" t="s">
        <v>6393</v>
      </c>
    </row>
    <row r="6395" spans="1:6" x14ac:dyDescent="0.25">
      <c r="A6395" t="s">
        <v>6352</v>
      </c>
      <c r="B6395" t="s">
        <v>656</v>
      </c>
      <c r="C6395" t="s">
        <v>657</v>
      </c>
      <c r="D6395" t="str">
        <f>HYPERLINK("http://service.sap.com/sap/support/notes/1773718","1773718")</f>
        <v>1773718</v>
      </c>
      <c r="E6395">
        <v>1</v>
      </c>
      <c r="F6395" t="s">
        <v>6394</v>
      </c>
    </row>
    <row r="6396" spans="1:6" x14ac:dyDescent="0.25">
      <c r="A6396" t="s">
        <v>6352</v>
      </c>
      <c r="B6396" t="s">
        <v>656</v>
      </c>
      <c r="C6396" t="s">
        <v>657</v>
      </c>
      <c r="D6396" t="str">
        <f>HYPERLINK("http://service.sap.com/sap/support/notes/1774461","1774461")</f>
        <v>1774461</v>
      </c>
      <c r="E6396">
        <v>2</v>
      </c>
      <c r="F6396" t="s">
        <v>6395</v>
      </c>
    </row>
    <row r="6397" spans="1:6" x14ac:dyDescent="0.25">
      <c r="A6397" t="s">
        <v>6352</v>
      </c>
      <c r="B6397" t="s">
        <v>656</v>
      </c>
      <c r="C6397" t="s">
        <v>657</v>
      </c>
      <c r="D6397" t="str">
        <f>HYPERLINK("http://service.sap.com/sap/support/notes/1774533","1774533")</f>
        <v>1774533</v>
      </c>
      <c r="E6397">
        <v>2</v>
      </c>
      <c r="F6397" t="s">
        <v>6396</v>
      </c>
    </row>
    <row r="6398" spans="1:6" x14ac:dyDescent="0.25">
      <c r="A6398" t="s">
        <v>6352</v>
      </c>
      <c r="B6398" t="s">
        <v>656</v>
      </c>
      <c r="C6398" t="s">
        <v>657</v>
      </c>
      <c r="D6398" t="str">
        <f>HYPERLINK("http://service.sap.com/sap/support/notes/1774788","1774788")</f>
        <v>1774788</v>
      </c>
      <c r="E6398">
        <v>1</v>
      </c>
      <c r="F6398" t="s">
        <v>6397</v>
      </c>
    </row>
    <row r="6399" spans="1:6" x14ac:dyDescent="0.25">
      <c r="A6399" t="s">
        <v>6352</v>
      </c>
      <c r="B6399" t="s">
        <v>656</v>
      </c>
      <c r="C6399" t="s">
        <v>657</v>
      </c>
      <c r="D6399" t="str">
        <f>HYPERLINK("http://service.sap.com/sap/support/notes/1774797","1774797")</f>
        <v>1774797</v>
      </c>
      <c r="E6399">
        <v>2</v>
      </c>
      <c r="F6399" t="s">
        <v>6398</v>
      </c>
    </row>
    <row r="6400" spans="1:6" x14ac:dyDescent="0.25">
      <c r="A6400" t="s">
        <v>6352</v>
      </c>
      <c r="B6400" t="s">
        <v>656</v>
      </c>
      <c r="C6400" t="s">
        <v>657</v>
      </c>
      <c r="D6400" t="str">
        <f>HYPERLINK("http://service.sap.com/sap/support/notes/1774979","1774979")</f>
        <v>1774979</v>
      </c>
      <c r="E6400">
        <v>1</v>
      </c>
      <c r="F6400" t="s">
        <v>6399</v>
      </c>
    </row>
    <row r="6401" spans="1:6" x14ac:dyDescent="0.25">
      <c r="A6401" t="s">
        <v>6352</v>
      </c>
      <c r="B6401" t="s">
        <v>656</v>
      </c>
      <c r="C6401" t="s">
        <v>657</v>
      </c>
      <c r="D6401" t="str">
        <f>HYPERLINK("http://service.sap.com/sap/support/notes/1775303","1775303")</f>
        <v>1775303</v>
      </c>
      <c r="E6401">
        <v>1</v>
      </c>
      <c r="F6401" t="s">
        <v>6400</v>
      </c>
    </row>
    <row r="6402" spans="1:6" x14ac:dyDescent="0.25">
      <c r="A6402" t="s">
        <v>6352</v>
      </c>
      <c r="B6402" t="s">
        <v>656</v>
      </c>
      <c r="C6402" t="s">
        <v>657</v>
      </c>
      <c r="D6402" t="str">
        <f>HYPERLINK("http://service.sap.com/sap/support/notes/1775304","1775304")</f>
        <v>1775304</v>
      </c>
      <c r="E6402">
        <v>2</v>
      </c>
      <c r="F6402" t="s">
        <v>6401</v>
      </c>
    </row>
    <row r="6403" spans="1:6" x14ac:dyDescent="0.25">
      <c r="A6403" t="s">
        <v>6352</v>
      </c>
      <c r="B6403" t="s">
        <v>656</v>
      </c>
      <c r="C6403" t="s">
        <v>657</v>
      </c>
      <c r="D6403" t="str">
        <f>HYPERLINK("http://service.sap.com/sap/support/notes/1775880","1775880")</f>
        <v>1775880</v>
      </c>
      <c r="E6403">
        <v>2</v>
      </c>
      <c r="F6403" t="s">
        <v>6402</v>
      </c>
    </row>
    <row r="6404" spans="1:6" x14ac:dyDescent="0.25">
      <c r="A6404" t="s">
        <v>6352</v>
      </c>
      <c r="B6404" t="s">
        <v>656</v>
      </c>
      <c r="C6404" t="s">
        <v>657</v>
      </c>
      <c r="D6404" t="str">
        <f>HYPERLINK("http://service.sap.com/sap/support/notes/1775924","1775924")</f>
        <v>1775924</v>
      </c>
      <c r="E6404">
        <v>1</v>
      </c>
      <c r="F6404" t="s">
        <v>6403</v>
      </c>
    </row>
    <row r="6405" spans="1:6" x14ac:dyDescent="0.25">
      <c r="A6405" t="s">
        <v>6352</v>
      </c>
      <c r="B6405" t="s">
        <v>6404</v>
      </c>
      <c r="C6405" t="s">
        <v>6405</v>
      </c>
      <c r="D6405" t="str">
        <f>HYPERLINK("http://service.sap.com/sap/support/notes/1771219","1771219")</f>
        <v>1771219</v>
      </c>
      <c r="E6405">
        <v>2</v>
      </c>
      <c r="F6405" t="s">
        <v>6406</v>
      </c>
    </row>
    <row r="6406" spans="1:6" x14ac:dyDescent="0.25">
      <c r="A6406" t="s">
        <v>6352</v>
      </c>
      <c r="B6406" t="s">
        <v>694</v>
      </c>
      <c r="C6406" t="s">
        <v>695</v>
      </c>
      <c r="D6406" t="str">
        <f>HYPERLINK("http://service.sap.com/sap/support/notes/1766413","1766413")</f>
        <v>1766413</v>
      </c>
      <c r="E6406">
        <v>4</v>
      </c>
      <c r="F6406" t="s">
        <v>6407</v>
      </c>
    </row>
    <row r="6407" spans="1:6" x14ac:dyDescent="0.25">
      <c r="A6407" t="s">
        <v>6352</v>
      </c>
      <c r="B6407" t="s">
        <v>694</v>
      </c>
      <c r="C6407" t="s">
        <v>695</v>
      </c>
      <c r="D6407" t="str">
        <f>HYPERLINK("http://service.sap.com/sap/support/notes/1775840","1775840")</f>
        <v>1775840</v>
      </c>
      <c r="E6407">
        <v>1</v>
      </c>
      <c r="F6407" t="s">
        <v>6408</v>
      </c>
    </row>
    <row r="6408" spans="1:6" x14ac:dyDescent="0.25">
      <c r="A6408" t="s">
        <v>6352</v>
      </c>
      <c r="B6408" t="s">
        <v>694</v>
      </c>
      <c r="C6408" t="s">
        <v>695</v>
      </c>
      <c r="D6408" t="str">
        <f>HYPERLINK("http://service.sap.com/sap/support/notes/1776784","1776784")</f>
        <v>1776784</v>
      </c>
      <c r="E6408">
        <v>1</v>
      </c>
      <c r="F6408" t="s">
        <v>6409</v>
      </c>
    </row>
    <row r="6409" spans="1:6" x14ac:dyDescent="0.25">
      <c r="A6409" t="s">
        <v>6352</v>
      </c>
      <c r="B6409" t="s">
        <v>5498</v>
      </c>
      <c r="C6409" t="s">
        <v>5499</v>
      </c>
      <c r="D6409" t="str">
        <f>HYPERLINK("http://service.sap.com/sap/support/notes/1771298","1771298")</f>
        <v>1771298</v>
      </c>
      <c r="E6409">
        <v>1</v>
      </c>
      <c r="F6409" t="s">
        <v>6410</v>
      </c>
    </row>
    <row r="6410" spans="1:6" x14ac:dyDescent="0.25">
      <c r="A6410" t="s">
        <v>6352</v>
      </c>
      <c r="B6410" t="s">
        <v>6411</v>
      </c>
      <c r="C6410" t="s">
        <v>6412</v>
      </c>
      <c r="D6410" t="str">
        <f>HYPERLINK("http://service.sap.com/sap/support/notes/1775348","1775348")</f>
        <v>1775348</v>
      </c>
      <c r="E6410">
        <v>1</v>
      </c>
      <c r="F6410" t="s">
        <v>6413</v>
      </c>
    </row>
    <row r="6411" spans="1:6" x14ac:dyDescent="0.25">
      <c r="A6411" t="s">
        <v>6352</v>
      </c>
      <c r="B6411" t="s">
        <v>5798</v>
      </c>
      <c r="C6411" t="s">
        <v>5799</v>
      </c>
      <c r="D6411" t="str">
        <f>HYPERLINK("http://service.sap.com/sap/support/notes/1770424","1770424")</f>
        <v>1770424</v>
      </c>
      <c r="E6411">
        <v>2</v>
      </c>
      <c r="F6411" t="s">
        <v>6414</v>
      </c>
    </row>
    <row r="6412" spans="1:6" x14ac:dyDescent="0.25">
      <c r="A6412" t="s">
        <v>6352</v>
      </c>
      <c r="B6412" t="s">
        <v>24</v>
      </c>
      <c r="C6412" t="s">
        <v>10</v>
      </c>
    </row>
    <row r="6413" spans="1:6" x14ac:dyDescent="0.25">
      <c r="A6413" t="s">
        <v>6352</v>
      </c>
      <c r="B6413" t="s">
        <v>5505</v>
      </c>
      <c r="C6413" t="s">
        <v>5506</v>
      </c>
      <c r="D6413" t="str">
        <f>HYPERLINK("http://service.sap.com/sap/support/notes/1642745","1642745")</f>
        <v>1642745</v>
      </c>
      <c r="E6413">
        <v>3</v>
      </c>
      <c r="F6413" t="s">
        <v>6415</v>
      </c>
    </row>
    <row r="6414" spans="1:6" x14ac:dyDescent="0.25">
      <c r="A6414" t="s">
        <v>6352</v>
      </c>
      <c r="B6414" t="s">
        <v>5505</v>
      </c>
      <c r="C6414" t="s">
        <v>5506</v>
      </c>
      <c r="D6414" t="str">
        <f>HYPERLINK("http://service.sap.com/sap/support/notes/1744360","1744360")</f>
        <v>1744360</v>
      </c>
      <c r="E6414">
        <v>1</v>
      </c>
      <c r="F6414" t="s">
        <v>5970</v>
      </c>
    </row>
    <row r="6415" spans="1:6" x14ac:dyDescent="0.25">
      <c r="A6415" t="s">
        <v>6352</v>
      </c>
      <c r="B6415" t="s">
        <v>5505</v>
      </c>
      <c r="C6415" t="s">
        <v>5506</v>
      </c>
      <c r="D6415" t="str">
        <f>HYPERLINK("http://service.sap.com/sap/support/notes/1770246","1770246")</f>
        <v>1770246</v>
      </c>
      <c r="E6415">
        <v>4</v>
      </c>
      <c r="F6415" t="s">
        <v>6416</v>
      </c>
    </row>
    <row r="6416" spans="1:6" x14ac:dyDescent="0.25">
      <c r="A6416" t="s">
        <v>6352</v>
      </c>
      <c r="B6416" t="s">
        <v>5505</v>
      </c>
      <c r="C6416" t="s">
        <v>5506</v>
      </c>
      <c r="D6416" t="str">
        <f>HYPERLINK("http://service.sap.com/sap/support/notes/1771590","1771590")</f>
        <v>1771590</v>
      </c>
      <c r="E6416">
        <v>1</v>
      </c>
      <c r="F6416" t="s">
        <v>6417</v>
      </c>
    </row>
    <row r="6417" spans="1:6" x14ac:dyDescent="0.25">
      <c r="A6417" t="s">
        <v>6352</v>
      </c>
      <c r="B6417" t="s">
        <v>5505</v>
      </c>
      <c r="C6417" t="s">
        <v>5506</v>
      </c>
      <c r="D6417" t="str">
        <f>HYPERLINK("http://service.sap.com/sap/support/notes/1771615","1771615")</f>
        <v>1771615</v>
      </c>
      <c r="E6417">
        <v>2</v>
      </c>
      <c r="F6417" t="s">
        <v>6418</v>
      </c>
    </row>
    <row r="6418" spans="1:6" x14ac:dyDescent="0.25">
      <c r="A6418" t="s">
        <v>6352</v>
      </c>
      <c r="B6418" t="s">
        <v>5505</v>
      </c>
      <c r="C6418" t="s">
        <v>5506</v>
      </c>
      <c r="D6418" t="str">
        <f>HYPERLINK("http://service.sap.com/sap/support/notes/1771621","1771621")</f>
        <v>1771621</v>
      </c>
      <c r="E6418">
        <v>1</v>
      </c>
      <c r="F6418" t="s">
        <v>6419</v>
      </c>
    </row>
    <row r="6419" spans="1:6" x14ac:dyDescent="0.25">
      <c r="A6419" t="s">
        <v>6352</v>
      </c>
      <c r="B6419" t="s">
        <v>5505</v>
      </c>
      <c r="C6419" t="s">
        <v>5506</v>
      </c>
      <c r="D6419" t="str">
        <f>HYPERLINK("http://service.sap.com/sap/support/notes/1772777","1772777")</f>
        <v>1772777</v>
      </c>
      <c r="E6419">
        <v>1</v>
      </c>
      <c r="F6419" t="s">
        <v>6420</v>
      </c>
    </row>
    <row r="6420" spans="1:6" x14ac:dyDescent="0.25">
      <c r="A6420" t="s">
        <v>6352</v>
      </c>
      <c r="B6420" t="s">
        <v>5505</v>
      </c>
      <c r="C6420" t="s">
        <v>5506</v>
      </c>
      <c r="D6420" t="str">
        <f>HYPERLINK("http://service.sap.com/sap/support/notes/1778219","1778219")</f>
        <v>1778219</v>
      </c>
      <c r="E6420">
        <v>2</v>
      </c>
      <c r="F6420" t="s">
        <v>6421</v>
      </c>
    </row>
    <row r="6421" spans="1:6" x14ac:dyDescent="0.25">
      <c r="A6421" t="s">
        <v>6352</v>
      </c>
      <c r="B6421" t="s">
        <v>503</v>
      </c>
      <c r="C6421" t="s">
        <v>504</v>
      </c>
    </row>
    <row r="6422" spans="1:6" x14ac:dyDescent="0.25">
      <c r="A6422" t="s">
        <v>6352</v>
      </c>
      <c r="B6422" t="s">
        <v>507</v>
      </c>
      <c r="C6422" t="s">
        <v>484</v>
      </c>
      <c r="D6422" t="str">
        <f>HYPERLINK("http://service.sap.com/sap/support/notes/1776729","1776729")</f>
        <v>1776729</v>
      </c>
      <c r="E6422">
        <v>1</v>
      </c>
      <c r="F6422" t="s">
        <v>6422</v>
      </c>
    </row>
    <row r="6423" spans="1:6" x14ac:dyDescent="0.25">
      <c r="A6423" t="s">
        <v>6352</v>
      </c>
      <c r="B6423" t="s">
        <v>5514</v>
      </c>
      <c r="C6423" t="s">
        <v>5515</v>
      </c>
      <c r="D6423" t="str">
        <f>HYPERLINK("http://service.sap.com/sap/support/notes/1767276","1767276")</f>
        <v>1767276</v>
      </c>
      <c r="E6423">
        <v>2</v>
      </c>
      <c r="F6423" t="s">
        <v>6423</v>
      </c>
    </row>
    <row r="6424" spans="1:6" x14ac:dyDescent="0.25">
      <c r="A6424" t="s">
        <v>6352</v>
      </c>
      <c r="B6424" t="s">
        <v>5524</v>
      </c>
      <c r="C6424" t="s">
        <v>5525</v>
      </c>
      <c r="D6424" t="str">
        <f>HYPERLINK("http://service.sap.com/sap/support/notes/1700980","1700980")</f>
        <v>1700980</v>
      </c>
      <c r="E6424">
        <v>2</v>
      </c>
      <c r="F6424" t="s">
        <v>6424</v>
      </c>
    </row>
    <row r="6425" spans="1:6" x14ac:dyDescent="0.25">
      <c r="A6425" t="s">
        <v>6352</v>
      </c>
      <c r="B6425" t="s">
        <v>5524</v>
      </c>
      <c r="C6425" t="s">
        <v>5525</v>
      </c>
      <c r="D6425" t="str">
        <f>HYPERLINK("http://service.sap.com/sap/support/notes/1772439","1772439")</f>
        <v>1772439</v>
      </c>
      <c r="E6425">
        <v>1</v>
      </c>
      <c r="F6425" t="s">
        <v>6425</v>
      </c>
    </row>
    <row r="6426" spans="1:6" x14ac:dyDescent="0.25">
      <c r="A6426" t="s">
        <v>6352</v>
      </c>
      <c r="B6426" t="s">
        <v>5524</v>
      </c>
      <c r="C6426" t="s">
        <v>5525</v>
      </c>
      <c r="D6426" t="str">
        <f>HYPERLINK("http://service.sap.com/sap/support/notes/1777241","1777241")</f>
        <v>1777241</v>
      </c>
      <c r="E6426">
        <v>1</v>
      </c>
      <c r="F6426" t="s">
        <v>6426</v>
      </c>
    </row>
    <row r="6427" spans="1:6" x14ac:dyDescent="0.25">
      <c r="A6427" t="s">
        <v>6352</v>
      </c>
      <c r="B6427" t="s">
        <v>2808</v>
      </c>
      <c r="C6427" t="s">
        <v>2809</v>
      </c>
      <c r="D6427" t="str">
        <f>HYPERLINK("http://service.sap.com/sap/support/notes/1771376","1771376")</f>
        <v>1771376</v>
      </c>
      <c r="E6427">
        <v>1</v>
      </c>
      <c r="F6427" t="s">
        <v>6427</v>
      </c>
    </row>
    <row r="6428" spans="1:6" x14ac:dyDescent="0.25">
      <c r="A6428" t="s">
        <v>6352</v>
      </c>
      <c r="B6428" t="s">
        <v>5539</v>
      </c>
      <c r="C6428" t="s">
        <v>5540</v>
      </c>
    </row>
    <row r="6429" spans="1:6" x14ac:dyDescent="0.25">
      <c r="A6429" t="s">
        <v>6352</v>
      </c>
      <c r="B6429" t="s">
        <v>5541</v>
      </c>
      <c r="C6429" t="s">
        <v>5542</v>
      </c>
      <c r="D6429" t="str">
        <f>HYPERLINK("http://service.sap.com/sap/support/notes/1775570","1775570")</f>
        <v>1775570</v>
      </c>
      <c r="E6429">
        <v>2</v>
      </c>
      <c r="F6429" t="s">
        <v>6428</v>
      </c>
    </row>
    <row r="6430" spans="1:6" x14ac:dyDescent="0.25">
      <c r="A6430" t="s">
        <v>6352</v>
      </c>
      <c r="B6430" t="s">
        <v>5546</v>
      </c>
      <c r="C6430" t="s">
        <v>5547</v>
      </c>
      <c r="D6430" t="str">
        <f>HYPERLINK("http://service.sap.com/sap/support/notes/1770778","1770778")</f>
        <v>1770778</v>
      </c>
      <c r="E6430">
        <v>1</v>
      </c>
      <c r="F6430" t="s">
        <v>6429</v>
      </c>
    </row>
    <row r="6431" spans="1:6" x14ac:dyDescent="0.25">
      <c r="A6431" t="s">
        <v>6352</v>
      </c>
      <c r="B6431" t="s">
        <v>510</v>
      </c>
      <c r="C6431" t="s">
        <v>5562</v>
      </c>
      <c r="D6431" t="str">
        <f>HYPERLINK("http://service.sap.com/sap/support/notes/1767224","1767224")</f>
        <v>1767224</v>
      </c>
      <c r="E6431">
        <v>1</v>
      </c>
      <c r="F6431" t="s">
        <v>6430</v>
      </c>
    </row>
    <row r="6432" spans="1:6" x14ac:dyDescent="0.25">
      <c r="A6432" t="s">
        <v>6352</v>
      </c>
      <c r="B6432" t="s">
        <v>25</v>
      </c>
      <c r="C6432" t="s">
        <v>26</v>
      </c>
    </row>
    <row r="6433" spans="1:6" x14ac:dyDescent="0.25">
      <c r="A6433" t="s">
        <v>6352</v>
      </c>
      <c r="B6433" t="s">
        <v>642</v>
      </c>
      <c r="C6433" t="s">
        <v>145</v>
      </c>
      <c r="D6433" t="str">
        <f>HYPERLINK("http://service.sap.com/sap/support/notes/1773824","1773824")</f>
        <v>1773824</v>
      </c>
      <c r="E6433">
        <v>1</v>
      </c>
      <c r="F6433" t="s">
        <v>6431</v>
      </c>
    </row>
    <row r="6434" spans="1:6" x14ac:dyDescent="0.25">
      <c r="A6434" t="s">
        <v>6352</v>
      </c>
      <c r="B6434" t="s">
        <v>642</v>
      </c>
      <c r="C6434" t="s">
        <v>145</v>
      </c>
      <c r="D6434" t="str">
        <f>HYPERLINK("http://service.sap.com/sap/support/notes/1778071","1778071")</f>
        <v>1778071</v>
      </c>
      <c r="E6434">
        <v>1</v>
      </c>
      <c r="F6434" t="s">
        <v>6432</v>
      </c>
    </row>
    <row r="6435" spans="1:6" x14ac:dyDescent="0.25">
      <c r="A6435" t="s">
        <v>6352</v>
      </c>
      <c r="B6435" t="s">
        <v>33</v>
      </c>
      <c r="C6435" t="s">
        <v>34</v>
      </c>
      <c r="D6435" t="str">
        <f>HYPERLINK("http://service.sap.com/sap/support/notes/1758557","1758557")</f>
        <v>1758557</v>
      </c>
      <c r="E6435">
        <v>5</v>
      </c>
      <c r="F6435" t="s">
        <v>35</v>
      </c>
    </row>
    <row r="6436" spans="1:6" x14ac:dyDescent="0.25">
      <c r="A6436" t="s">
        <v>6352</v>
      </c>
      <c r="B6436" t="s">
        <v>40</v>
      </c>
      <c r="C6436" t="s">
        <v>41</v>
      </c>
    </row>
    <row r="6437" spans="1:6" x14ac:dyDescent="0.25">
      <c r="A6437" t="s">
        <v>6352</v>
      </c>
      <c r="B6437" t="s">
        <v>43</v>
      </c>
      <c r="C6437" t="s">
        <v>44</v>
      </c>
      <c r="D6437" t="str">
        <f>HYPERLINK("http://service.sap.com/sap/support/notes/1769346","1769346")</f>
        <v>1769346</v>
      </c>
      <c r="E6437">
        <v>4</v>
      </c>
      <c r="F6437" t="s">
        <v>6433</v>
      </c>
    </row>
    <row r="6438" spans="1:6" x14ac:dyDescent="0.25">
      <c r="A6438" t="s">
        <v>6352</v>
      </c>
      <c r="B6438" t="s">
        <v>47</v>
      </c>
      <c r="C6438" t="s">
        <v>48</v>
      </c>
      <c r="D6438" t="str">
        <f>HYPERLINK("http://service.sap.com/sap/support/notes/1753144","1753144")</f>
        <v>1753144</v>
      </c>
      <c r="E6438">
        <v>1</v>
      </c>
      <c r="F6438" t="s">
        <v>49</v>
      </c>
    </row>
    <row r="6439" spans="1:6" x14ac:dyDescent="0.25">
      <c r="A6439" t="s">
        <v>6352</v>
      </c>
      <c r="B6439" t="s">
        <v>524</v>
      </c>
      <c r="C6439" t="s">
        <v>345</v>
      </c>
      <c r="D6439" t="str">
        <f>HYPERLINK("http://service.sap.com/sap/support/notes/1768729","1768729")</f>
        <v>1768729</v>
      </c>
      <c r="E6439">
        <v>1</v>
      </c>
      <c r="F6439" t="s">
        <v>6434</v>
      </c>
    </row>
    <row r="6440" spans="1:6" x14ac:dyDescent="0.25">
      <c r="A6440" t="s">
        <v>6352</v>
      </c>
      <c r="B6440" t="s">
        <v>63</v>
      </c>
      <c r="C6440" t="s">
        <v>64</v>
      </c>
      <c r="D6440" t="str">
        <f>HYPERLINK("http://service.sap.com/sap/support/notes/960754","960754")</f>
        <v>960754</v>
      </c>
      <c r="E6440">
        <v>9</v>
      </c>
      <c r="F6440" t="s">
        <v>65</v>
      </c>
    </row>
    <row r="6441" spans="1:6" x14ac:dyDescent="0.25">
      <c r="A6441" t="s">
        <v>6352</v>
      </c>
      <c r="B6441" t="s">
        <v>63</v>
      </c>
      <c r="C6441" t="s">
        <v>64</v>
      </c>
      <c r="D6441" t="str">
        <f>HYPERLINK("http://service.sap.com/sap/support/notes/1744322","1744322")</f>
        <v>1744322</v>
      </c>
      <c r="E6441">
        <v>1</v>
      </c>
      <c r="F6441" t="s">
        <v>66</v>
      </c>
    </row>
    <row r="6442" spans="1:6" x14ac:dyDescent="0.25">
      <c r="A6442" t="s">
        <v>6352</v>
      </c>
      <c r="B6442" t="s">
        <v>1603</v>
      </c>
      <c r="C6442" t="s">
        <v>431</v>
      </c>
    </row>
    <row r="6443" spans="1:6" x14ac:dyDescent="0.25">
      <c r="A6443" t="s">
        <v>6352</v>
      </c>
      <c r="B6443" t="s">
        <v>6435</v>
      </c>
      <c r="C6443" t="s">
        <v>6436</v>
      </c>
      <c r="D6443" t="str">
        <f>HYPERLINK("http://service.sap.com/sap/support/notes/1721629","1721629")</f>
        <v>1721629</v>
      </c>
      <c r="E6443">
        <v>2</v>
      </c>
      <c r="F6443" t="s">
        <v>6437</v>
      </c>
    </row>
    <row r="6444" spans="1:6" x14ac:dyDescent="0.25">
      <c r="A6444" t="s">
        <v>6352</v>
      </c>
      <c r="B6444" t="s">
        <v>531</v>
      </c>
      <c r="C6444" t="s">
        <v>532</v>
      </c>
      <c r="D6444" t="str">
        <f>HYPERLINK("http://service.sap.com/sap/support/notes/1767541","1767541")</f>
        <v>1767541</v>
      </c>
      <c r="E6444">
        <v>1</v>
      </c>
      <c r="F6444" t="s">
        <v>6438</v>
      </c>
    </row>
    <row r="6445" spans="1:6" x14ac:dyDescent="0.25">
      <c r="A6445" t="s">
        <v>6352</v>
      </c>
      <c r="B6445" t="s">
        <v>533</v>
      </c>
      <c r="C6445" t="s">
        <v>515</v>
      </c>
    </row>
    <row r="6446" spans="1:6" x14ac:dyDescent="0.25">
      <c r="A6446" t="s">
        <v>6352</v>
      </c>
      <c r="B6446" t="s">
        <v>534</v>
      </c>
      <c r="C6446" t="s">
        <v>5848</v>
      </c>
      <c r="D6446" t="str">
        <f>HYPERLINK("http://service.sap.com/sap/support/notes/1758789","1758789")</f>
        <v>1758789</v>
      </c>
      <c r="E6446">
        <v>6</v>
      </c>
      <c r="F6446" t="s">
        <v>6439</v>
      </c>
    </row>
    <row r="6447" spans="1:6" x14ac:dyDescent="0.25">
      <c r="A6447" t="s">
        <v>6352</v>
      </c>
      <c r="B6447" t="s">
        <v>6018</v>
      </c>
      <c r="C6447" t="s">
        <v>6019</v>
      </c>
      <c r="D6447" t="str">
        <f>HYPERLINK("http://service.sap.com/sap/support/notes/1762610","1762610")</f>
        <v>1762610</v>
      </c>
      <c r="E6447">
        <v>5</v>
      </c>
      <c r="F6447" t="s">
        <v>6440</v>
      </c>
    </row>
    <row r="6448" spans="1:6" x14ac:dyDescent="0.25">
      <c r="A6448" t="s">
        <v>6352</v>
      </c>
      <c r="B6448" t="s">
        <v>6018</v>
      </c>
      <c r="C6448" t="s">
        <v>6019</v>
      </c>
      <c r="D6448" t="str">
        <f>HYPERLINK("http://service.sap.com/sap/support/notes/1763112","1763112")</f>
        <v>1763112</v>
      </c>
      <c r="E6448">
        <v>3</v>
      </c>
      <c r="F6448" t="s">
        <v>6245</v>
      </c>
    </row>
    <row r="6449" spans="1:6" x14ac:dyDescent="0.25">
      <c r="A6449" t="s">
        <v>6352</v>
      </c>
      <c r="B6449" t="s">
        <v>6018</v>
      </c>
      <c r="C6449" t="s">
        <v>6019</v>
      </c>
      <c r="D6449" t="str">
        <f>HYPERLINK("http://service.sap.com/sap/support/notes/1764418","1764418")</f>
        <v>1764418</v>
      </c>
      <c r="E6449">
        <v>1</v>
      </c>
      <c r="F6449" t="s">
        <v>6441</v>
      </c>
    </row>
    <row r="6450" spans="1:6" x14ac:dyDescent="0.25">
      <c r="A6450" t="s">
        <v>6352</v>
      </c>
      <c r="B6450" t="s">
        <v>6018</v>
      </c>
      <c r="C6450" t="s">
        <v>6019</v>
      </c>
      <c r="D6450" t="str">
        <f>HYPERLINK("http://service.sap.com/sap/support/notes/1770134","1770134")</f>
        <v>1770134</v>
      </c>
      <c r="E6450">
        <v>1</v>
      </c>
      <c r="F6450" t="s">
        <v>6442</v>
      </c>
    </row>
    <row r="6451" spans="1:6" x14ac:dyDescent="0.25">
      <c r="A6451" t="s">
        <v>6352</v>
      </c>
      <c r="B6451" t="s">
        <v>6018</v>
      </c>
      <c r="C6451" t="s">
        <v>6019</v>
      </c>
      <c r="D6451" t="str">
        <f>HYPERLINK("http://service.sap.com/sap/support/notes/1770182","1770182")</f>
        <v>1770182</v>
      </c>
      <c r="E6451">
        <v>1</v>
      </c>
      <c r="F6451" t="s">
        <v>6443</v>
      </c>
    </row>
    <row r="6452" spans="1:6" x14ac:dyDescent="0.25">
      <c r="A6452" t="s">
        <v>6352</v>
      </c>
      <c r="B6452" t="s">
        <v>6018</v>
      </c>
      <c r="C6452" t="s">
        <v>6019</v>
      </c>
      <c r="D6452" t="str">
        <f>HYPERLINK("http://service.sap.com/sap/support/notes/1770217","1770217")</f>
        <v>1770217</v>
      </c>
      <c r="E6452">
        <v>1</v>
      </c>
      <c r="F6452" t="s">
        <v>6444</v>
      </c>
    </row>
    <row r="6453" spans="1:6" x14ac:dyDescent="0.25">
      <c r="A6453" t="s">
        <v>6352</v>
      </c>
      <c r="B6453" t="s">
        <v>6018</v>
      </c>
      <c r="C6453" t="s">
        <v>6019</v>
      </c>
      <c r="D6453" t="str">
        <f>HYPERLINK("http://service.sap.com/sap/support/notes/1771556","1771556")</f>
        <v>1771556</v>
      </c>
      <c r="E6453">
        <v>1</v>
      </c>
      <c r="F6453" t="s">
        <v>6445</v>
      </c>
    </row>
    <row r="6454" spans="1:6" x14ac:dyDescent="0.25">
      <c r="A6454" t="s">
        <v>6352</v>
      </c>
      <c r="B6454" t="s">
        <v>6018</v>
      </c>
      <c r="C6454" t="s">
        <v>6019</v>
      </c>
      <c r="D6454" t="str">
        <f>HYPERLINK("http://service.sap.com/sap/support/notes/1771557","1771557")</f>
        <v>1771557</v>
      </c>
      <c r="E6454">
        <v>1</v>
      </c>
      <c r="F6454" t="s">
        <v>6446</v>
      </c>
    </row>
    <row r="6455" spans="1:6" x14ac:dyDescent="0.25">
      <c r="A6455" t="s">
        <v>6352</v>
      </c>
      <c r="B6455" t="s">
        <v>6018</v>
      </c>
      <c r="C6455" t="s">
        <v>6019</v>
      </c>
      <c r="D6455" t="str">
        <f>HYPERLINK("http://service.sap.com/sap/support/notes/1773891","1773891")</f>
        <v>1773891</v>
      </c>
      <c r="E6455">
        <v>1</v>
      </c>
      <c r="F6455" t="s">
        <v>6447</v>
      </c>
    </row>
    <row r="6456" spans="1:6" x14ac:dyDescent="0.25">
      <c r="A6456" t="s">
        <v>6352</v>
      </c>
      <c r="B6456" t="s">
        <v>6018</v>
      </c>
      <c r="C6456" t="s">
        <v>6019</v>
      </c>
      <c r="D6456" t="str">
        <f>HYPERLINK("http://service.sap.com/sap/support/notes/1774697","1774697")</f>
        <v>1774697</v>
      </c>
      <c r="E6456">
        <v>1</v>
      </c>
      <c r="F6456" t="s">
        <v>6448</v>
      </c>
    </row>
    <row r="6457" spans="1:6" x14ac:dyDescent="0.25">
      <c r="A6457" t="s">
        <v>6352</v>
      </c>
      <c r="B6457" t="s">
        <v>6018</v>
      </c>
      <c r="C6457" t="s">
        <v>6019</v>
      </c>
      <c r="D6457" t="str">
        <f>HYPERLINK("http://service.sap.com/sap/support/notes/1774863","1774863")</f>
        <v>1774863</v>
      </c>
      <c r="E6457">
        <v>1</v>
      </c>
      <c r="F6457" t="s">
        <v>6449</v>
      </c>
    </row>
    <row r="6458" spans="1:6" x14ac:dyDescent="0.25">
      <c r="A6458" t="s">
        <v>6352</v>
      </c>
      <c r="B6458" t="s">
        <v>6018</v>
      </c>
      <c r="C6458" t="s">
        <v>6019</v>
      </c>
      <c r="D6458" t="str">
        <f>HYPERLINK("http://service.sap.com/sap/support/notes/1775252","1775252")</f>
        <v>1775252</v>
      </c>
      <c r="E6458">
        <v>3</v>
      </c>
      <c r="F6458" t="s">
        <v>6450</v>
      </c>
    </row>
    <row r="6459" spans="1:6" x14ac:dyDescent="0.25">
      <c r="A6459" t="s">
        <v>6352</v>
      </c>
      <c r="B6459" t="s">
        <v>6018</v>
      </c>
      <c r="C6459" t="s">
        <v>6019</v>
      </c>
      <c r="D6459" t="str">
        <f>HYPERLINK("http://service.sap.com/sap/support/notes/1776346","1776346")</f>
        <v>1776346</v>
      </c>
      <c r="E6459">
        <v>1</v>
      </c>
      <c r="F6459" t="s">
        <v>6451</v>
      </c>
    </row>
    <row r="6460" spans="1:6" x14ac:dyDescent="0.25">
      <c r="A6460" t="s">
        <v>6352</v>
      </c>
      <c r="B6460" t="s">
        <v>6018</v>
      </c>
      <c r="C6460" t="s">
        <v>6019</v>
      </c>
      <c r="D6460" t="str">
        <f>HYPERLINK("http://service.sap.com/sap/support/notes/1777709","1777709")</f>
        <v>1777709</v>
      </c>
      <c r="E6460">
        <v>1</v>
      </c>
      <c r="F6460" t="s">
        <v>6452</v>
      </c>
    </row>
    <row r="6461" spans="1:6" x14ac:dyDescent="0.25">
      <c r="A6461" t="s">
        <v>6352</v>
      </c>
      <c r="B6461" t="s">
        <v>6018</v>
      </c>
      <c r="C6461" t="s">
        <v>6019</v>
      </c>
      <c r="D6461" t="str">
        <f>HYPERLINK("http://service.sap.com/sap/support/notes/1778049","1778049")</f>
        <v>1778049</v>
      </c>
      <c r="E6461">
        <v>2</v>
      </c>
      <c r="F6461" t="s">
        <v>6453</v>
      </c>
    </row>
    <row r="6462" spans="1:6" x14ac:dyDescent="0.25">
      <c r="A6462" t="s">
        <v>6352</v>
      </c>
      <c r="B6462" t="s">
        <v>536</v>
      </c>
      <c r="C6462" t="s">
        <v>537</v>
      </c>
    </row>
    <row r="6463" spans="1:6" x14ac:dyDescent="0.25">
      <c r="A6463" t="s">
        <v>6352</v>
      </c>
      <c r="B6463" t="s">
        <v>5594</v>
      </c>
      <c r="C6463" t="s">
        <v>5595</v>
      </c>
      <c r="D6463" t="str">
        <f>HYPERLINK("http://service.sap.com/sap/support/notes/1758678","1758678")</f>
        <v>1758678</v>
      </c>
      <c r="E6463">
        <v>4</v>
      </c>
      <c r="F6463" t="s">
        <v>6454</v>
      </c>
    </row>
    <row r="6464" spans="1:6" x14ac:dyDescent="0.25">
      <c r="A6464" t="s">
        <v>6352</v>
      </c>
      <c r="B6464" t="s">
        <v>5594</v>
      </c>
      <c r="C6464" t="s">
        <v>5595</v>
      </c>
      <c r="D6464" t="str">
        <f>HYPERLINK("http://service.sap.com/sap/support/notes/1761756","1761756")</f>
        <v>1761756</v>
      </c>
      <c r="E6464">
        <v>4</v>
      </c>
      <c r="F6464" t="s">
        <v>6455</v>
      </c>
    </row>
    <row r="6465" spans="1:6" x14ac:dyDescent="0.25">
      <c r="A6465" t="s">
        <v>6352</v>
      </c>
      <c r="B6465" t="s">
        <v>5594</v>
      </c>
      <c r="C6465" t="s">
        <v>5595</v>
      </c>
      <c r="D6465" t="str">
        <f>HYPERLINK("http://service.sap.com/sap/support/notes/1768006","1768006")</f>
        <v>1768006</v>
      </c>
      <c r="E6465">
        <v>2</v>
      </c>
      <c r="F6465" t="s">
        <v>6456</v>
      </c>
    </row>
    <row r="6466" spans="1:6" x14ac:dyDescent="0.25">
      <c r="A6466" t="s">
        <v>6352</v>
      </c>
      <c r="B6466" t="s">
        <v>5594</v>
      </c>
      <c r="C6466" t="s">
        <v>5595</v>
      </c>
      <c r="D6466" t="str">
        <f>HYPERLINK("http://service.sap.com/sap/support/notes/1769661","1769661")</f>
        <v>1769661</v>
      </c>
      <c r="E6466">
        <v>3</v>
      </c>
      <c r="F6466" t="s">
        <v>6457</v>
      </c>
    </row>
    <row r="6467" spans="1:6" x14ac:dyDescent="0.25">
      <c r="A6467" t="s">
        <v>6352</v>
      </c>
      <c r="B6467" t="s">
        <v>5594</v>
      </c>
      <c r="C6467" t="s">
        <v>5595</v>
      </c>
      <c r="D6467" t="str">
        <f>HYPERLINK("http://service.sap.com/sap/support/notes/1773549","1773549")</f>
        <v>1773549</v>
      </c>
      <c r="E6467">
        <v>2</v>
      </c>
      <c r="F6467" t="s">
        <v>6458</v>
      </c>
    </row>
    <row r="6468" spans="1:6" x14ac:dyDescent="0.25">
      <c r="A6468" t="s">
        <v>6352</v>
      </c>
      <c r="B6468" t="s">
        <v>5594</v>
      </c>
      <c r="C6468" t="s">
        <v>5595</v>
      </c>
      <c r="D6468" t="str">
        <f>HYPERLINK("http://service.sap.com/sap/support/notes/1773707","1773707")</f>
        <v>1773707</v>
      </c>
      <c r="E6468">
        <v>1</v>
      </c>
      <c r="F6468" t="s">
        <v>6459</v>
      </c>
    </row>
    <row r="6469" spans="1:6" x14ac:dyDescent="0.25">
      <c r="A6469" t="s">
        <v>6352</v>
      </c>
      <c r="B6469" t="s">
        <v>5594</v>
      </c>
      <c r="C6469" t="s">
        <v>5595</v>
      </c>
      <c r="D6469" t="str">
        <f>HYPERLINK("http://service.sap.com/sap/support/notes/1774036","1774036")</f>
        <v>1774036</v>
      </c>
      <c r="E6469">
        <v>3</v>
      </c>
      <c r="F6469" t="s">
        <v>6460</v>
      </c>
    </row>
    <row r="6470" spans="1:6" x14ac:dyDescent="0.25">
      <c r="A6470" t="s">
        <v>6352</v>
      </c>
      <c r="B6470" t="s">
        <v>5594</v>
      </c>
      <c r="C6470" t="s">
        <v>5595</v>
      </c>
      <c r="D6470" t="str">
        <f>HYPERLINK("http://service.sap.com/sap/support/notes/1774736","1774736")</f>
        <v>1774736</v>
      </c>
      <c r="E6470">
        <v>3</v>
      </c>
      <c r="F6470" t="s">
        <v>6461</v>
      </c>
    </row>
    <row r="6471" spans="1:6" x14ac:dyDescent="0.25">
      <c r="A6471" t="s">
        <v>6352</v>
      </c>
      <c r="B6471" t="s">
        <v>5594</v>
      </c>
      <c r="C6471" t="s">
        <v>5595</v>
      </c>
      <c r="D6471" t="str">
        <f>HYPERLINK("http://service.sap.com/sap/support/notes/1775576","1775576")</f>
        <v>1775576</v>
      </c>
      <c r="E6471">
        <v>3</v>
      </c>
      <c r="F6471" t="s">
        <v>6462</v>
      </c>
    </row>
    <row r="6472" spans="1:6" x14ac:dyDescent="0.25">
      <c r="A6472" t="s">
        <v>6352</v>
      </c>
      <c r="B6472" t="s">
        <v>5594</v>
      </c>
      <c r="C6472" t="s">
        <v>5595</v>
      </c>
      <c r="D6472" t="str">
        <f>HYPERLINK("http://service.sap.com/sap/support/notes/1775885","1775885")</f>
        <v>1775885</v>
      </c>
      <c r="E6472">
        <v>1</v>
      </c>
      <c r="F6472" t="s">
        <v>6463</v>
      </c>
    </row>
    <row r="6473" spans="1:6" x14ac:dyDescent="0.25">
      <c r="A6473" t="s">
        <v>6352</v>
      </c>
      <c r="B6473" t="s">
        <v>5594</v>
      </c>
      <c r="C6473" t="s">
        <v>5595</v>
      </c>
      <c r="D6473" t="str">
        <f>HYPERLINK("http://service.sap.com/sap/support/notes/1776329","1776329")</f>
        <v>1776329</v>
      </c>
      <c r="E6473">
        <v>1</v>
      </c>
      <c r="F6473" t="s">
        <v>6464</v>
      </c>
    </row>
    <row r="6474" spans="1:6" x14ac:dyDescent="0.25">
      <c r="A6474" t="s">
        <v>6352</v>
      </c>
      <c r="B6474" t="s">
        <v>540</v>
      </c>
      <c r="C6474" t="s">
        <v>541</v>
      </c>
    </row>
    <row r="6475" spans="1:6" x14ac:dyDescent="0.25">
      <c r="A6475" t="s">
        <v>6352</v>
      </c>
      <c r="B6475" t="s">
        <v>542</v>
      </c>
      <c r="C6475" t="s">
        <v>5604</v>
      </c>
      <c r="D6475" t="str">
        <f>HYPERLINK("http://service.sap.com/sap/support/notes/1763713","1763713")</f>
        <v>1763713</v>
      </c>
      <c r="E6475">
        <v>5</v>
      </c>
      <c r="F6475" t="s">
        <v>6465</v>
      </c>
    </row>
    <row r="6476" spans="1:6" x14ac:dyDescent="0.25">
      <c r="A6476" t="s">
        <v>6352</v>
      </c>
      <c r="B6476" t="s">
        <v>542</v>
      </c>
      <c r="C6476" t="s">
        <v>5604</v>
      </c>
      <c r="D6476" t="str">
        <f>HYPERLINK("http://service.sap.com/sap/support/notes/1772303","1772303")</f>
        <v>1772303</v>
      </c>
      <c r="E6476">
        <v>2</v>
      </c>
      <c r="F6476" t="s">
        <v>6466</v>
      </c>
    </row>
    <row r="6477" spans="1:6" x14ac:dyDescent="0.25">
      <c r="A6477" t="s">
        <v>6352</v>
      </c>
      <c r="B6477" t="s">
        <v>544</v>
      </c>
      <c r="C6477" t="s">
        <v>5610</v>
      </c>
      <c r="D6477" t="str">
        <f>HYPERLINK("http://service.sap.com/sap/support/notes/1507356","1507356")</f>
        <v>1507356</v>
      </c>
      <c r="E6477">
        <v>6</v>
      </c>
      <c r="F6477" t="s">
        <v>6467</v>
      </c>
    </row>
    <row r="6478" spans="1:6" x14ac:dyDescent="0.25">
      <c r="A6478" t="s">
        <v>6352</v>
      </c>
      <c r="B6478" t="s">
        <v>544</v>
      </c>
      <c r="C6478" t="s">
        <v>5610</v>
      </c>
      <c r="D6478" t="str">
        <f>HYPERLINK("http://service.sap.com/sap/support/notes/1661007","1661007")</f>
        <v>1661007</v>
      </c>
      <c r="E6478">
        <v>8</v>
      </c>
      <c r="F6478" t="s">
        <v>6468</v>
      </c>
    </row>
    <row r="6479" spans="1:6" x14ac:dyDescent="0.25">
      <c r="A6479" t="s">
        <v>6352</v>
      </c>
      <c r="B6479" t="s">
        <v>544</v>
      </c>
      <c r="C6479" t="s">
        <v>5610</v>
      </c>
      <c r="D6479" t="str">
        <f>HYPERLINK("http://service.sap.com/sap/support/notes/1684065","1684065")</f>
        <v>1684065</v>
      </c>
      <c r="E6479">
        <v>12</v>
      </c>
      <c r="F6479" t="s">
        <v>5611</v>
      </c>
    </row>
    <row r="6480" spans="1:6" x14ac:dyDescent="0.25">
      <c r="A6480" t="s">
        <v>6352</v>
      </c>
      <c r="B6480" t="s">
        <v>544</v>
      </c>
      <c r="C6480" t="s">
        <v>5610</v>
      </c>
      <c r="D6480" t="str">
        <f>HYPERLINK("http://service.sap.com/sap/support/notes/1752284","1752284")</f>
        <v>1752284</v>
      </c>
      <c r="E6480">
        <v>3</v>
      </c>
      <c r="F6480" t="s">
        <v>6469</v>
      </c>
    </row>
    <row r="6481" spans="1:6" x14ac:dyDescent="0.25">
      <c r="A6481" t="s">
        <v>6352</v>
      </c>
      <c r="B6481" t="s">
        <v>544</v>
      </c>
      <c r="C6481" t="s">
        <v>5610</v>
      </c>
      <c r="D6481" t="str">
        <f>HYPERLINK("http://service.sap.com/sap/support/notes/1767789","1767789")</f>
        <v>1767789</v>
      </c>
      <c r="E6481">
        <v>5</v>
      </c>
      <c r="F6481" t="s">
        <v>6470</v>
      </c>
    </row>
    <row r="6482" spans="1:6" x14ac:dyDescent="0.25">
      <c r="A6482" t="s">
        <v>6352</v>
      </c>
      <c r="B6482" t="s">
        <v>5615</v>
      </c>
      <c r="C6482" t="s">
        <v>5616</v>
      </c>
      <c r="D6482" t="str">
        <f>HYPERLINK("http://service.sap.com/sap/support/notes/1604592","1604592")</f>
        <v>1604592</v>
      </c>
      <c r="E6482">
        <v>3</v>
      </c>
      <c r="F6482" t="s">
        <v>6471</v>
      </c>
    </row>
    <row r="6483" spans="1:6" x14ac:dyDescent="0.25">
      <c r="A6483" t="s">
        <v>6352</v>
      </c>
      <c r="B6483" t="s">
        <v>5615</v>
      </c>
      <c r="C6483" t="s">
        <v>5616</v>
      </c>
      <c r="D6483" t="str">
        <f>HYPERLINK("http://service.sap.com/sap/support/notes/1748287","1748287")</f>
        <v>1748287</v>
      </c>
      <c r="E6483">
        <v>4</v>
      </c>
      <c r="F6483" t="s">
        <v>6472</v>
      </c>
    </row>
    <row r="6484" spans="1:6" x14ac:dyDescent="0.25">
      <c r="A6484" t="s">
        <v>6352</v>
      </c>
      <c r="B6484" t="s">
        <v>5615</v>
      </c>
      <c r="C6484" t="s">
        <v>5616</v>
      </c>
      <c r="D6484" t="str">
        <f>HYPERLINK("http://service.sap.com/sap/support/notes/1767974","1767974")</f>
        <v>1767974</v>
      </c>
      <c r="E6484">
        <v>2</v>
      </c>
      <c r="F6484" t="s">
        <v>6473</v>
      </c>
    </row>
    <row r="6485" spans="1:6" x14ac:dyDescent="0.25">
      <c r="A6485" t="s">
        <v>6352</v>
      </c>
      <c r="B6485" t="s">
        <v>5615</v>
      </c>
      <c r="C6485" t="s">
        <v>5616</v>
      </c>
      <c r="D6485" t="str">
        <f>HYPERLINK("http://service.sap.com/sap/support/notes/1767998","1767998")</f>
        <v>1767998</v>
      </c>
      <c r="E6485">
        <v>2</v>
      </c>
      <c r="F6485" t="s">
        <v>6474</v>
      </c>
    </row>
    <row r="6486" spans="1:6" x14ac:dyDescent="0.25">
      <c r="A6486" t="s">
        <v>6352</v>
      </c>
      <c r="B6486" t="s">
        <v>5615</v>
      </c>
      <c r="C6486" t="s">
        <v>5616</v>
      </c>
      <c r="D6486" t="str">
        <f>HYPERLINK("http://service.sap.com/sap/support/notes/1768170","1768170")</f>
        <v>1768170</v>
      </c>
      <c r="E6486">
        <v>1</v>
      </c>
      <c r="F6486" t="s">
        <v>6475</v>
      </c>
    </row>
    <row r="6487" spans="1:6" x14ac:dyDescent="0.25">
      <c r="A6487" t="s">
        <v>6352</v>
      </c>
      <c r="B6487" t="s">
        <v>5615</v>
      </c>
      <c r="C6487" t="s">
        <v>5616</v>
      </c>
      <c r="D6487" t="str">
        <f>HYPERLINK("http://service.sap.com/sap/support/notes/1769601","1769601")</f>
        <v>1769601</v>
      </c>
      <c r="E6487">
        <v>1</v>
      </c>
      <c r="F6487" t="s">
        <v>6476</v>
      </c>
    </row>
    <row r="6488" spans="1:6" x14ac:dyDescent="0.25">
      <c r="A6488" t="s">
        <v>6352</v>
      </c>
      <c r="B6488" t="s">
        <v>5615</v>
      </c>
      <c r="C6488" t="s">
        <v>5616</v>
      </c>
      <c r="D6488" t="str">
        <f>HYPERLINK("http://service.sap.com/sap/support/notes/1769854","1769854")</f>
        <v>1769854</v>
      </c>
      <c r="E6488">
        <v>2</v>
      </c>
      <c r="F6488" t="s">
        <v>6477</v>
      </c>
    </row>
    <row r="6489" spans="1:6" x14ac:dyDescent="0.25">
      <c r="A6489" t="s">
        <v>6352</v>
      </c>
      <c r="B6489" t="s">
        <v>5615</v>
      </c>
      <c r="C6489" t="s">
        <v>5616</v>
      </c>
      <c r="D6489" t="str">
        <f>HYPERLINK("http://service.sap.com/sap/support/notes/1771191","1771191")</f>
        <v>1771191</v>
      </c>
      <c r="E6489">
        <v>3</v>
      </c>
      <c r="F6489" t="s">
        <v>6478</v>
      </c>
    </row>
    <row r="6490" spans="1:6" x14ac:dyDescent="0.25">
      <c r="A6490" t="s">
        <v>6352</v>
      </c>
      <c r="B6490" t="s">
        <v>5615</v>
      </c>
      <c r="C6490" t="s">
        <v>5616</v>
      </c>
      <c r="D6490" t="str">
        <f>HYPERLINK("http://service.sap.com/sap/support/notes/1772686","1772686")</f>
        <v>1772686</v>
      </c>
      <c r="E6490">
        <v>1</v>
      </c>
      <c r="F6490" t="s">
        <v>6479</v>
      </c>
    </row>
    <row r="6491" spans="1:6" x14ac:dyDescent="0.25">
      <c r="A6491" t="s">
        <v>6352</v>
      </c>
      <c r="B6491" t="s">
        <v>5615</v>
      </c>
      <c r="C6491" t="s">
        <v>5616</v>
      </c>
      <c r="D6491" t="str">
        <f>HYPERLINK("http://service.sap.com/sap/support/notes/1773085","1773085")</f>
        <v>1773085</v>
      </c>
      <c r="E6491">
        <v>2</v>
      </c>
      <c r="F6491" t="s">
        <v>6480</v>
      </c>
    </row>
    <row r="6492" spans="1:6" x14ac:dyDescent="0.25">
      <c r="A6492" t="s">
        <v>6352</v>
      </c>
      <c r="B6492" t="s">
        <v>5615</v>
      </c>
      <c r="C6492" t="s">
        <v>5616</v>
      </c>
      <c r="D6492" t="str">
        <f>HYPERLINK("http://service.sap.com/sap/support/notes/1773663","1773663")</f>
        <v>1773663</v>
      </c>
      <c r="E6492">
        <v>1</v>
      </c>
      <c r="F6492" t="s">
        <v>6481</v>
      </c>
    </row>
    <row r="6493" spans="1:6" x14ac:dyDescent="0.25">
      <c r="A6493" t="s">
        <v>6352</v>
      </c>
      <c r="B6493" t="s">
        <v>5615</v>
      </c>
      <c r="C6493" t="s">
        <v>5616</v>
      </c>
      <c r="D6493" t="str">
        <f>HYPERLINK("http://service.sap.com/sap/support/notes/1774042","1774042")</f>
        <v>1774042</v>
      </c>
      <c r="E6493">
        <v>1</v>
      </c>
      <c r="F6493" t="s">
        <v>6482</v>
      </c>
    </row>
    <row r="6494" spans="1:6" x14ac:dyDescent="0.25">
      <c r="A6494" t="s">
        <v>6352</v>
      </c>
      <c r="B6494" t="s">
        <v>5615</v>
      </c>
      <c r="C6494" t="s">
        <v>5616</v>
      </c>
      <c r="D6494" t="str">
        <f>HYPERLINK("http://service.sap.com/sap/support/notes/1774108","1774108")</f>
        <v>1774108</v>
      </c>
      <c r="E6494">
        <v>1</v>
      </c>
      <c r="F6494" t="s">
        <v>6483</v>
      </c>
    </row>
    <row r="6495" spans="1:6" x14ac:dyDescent="0.25">
      <c r="A6495" t="s">
        <v>6352</v>
      </c>
      <c r="B6495" t="s">
        <v>5615</v>
      </c>
      <c r="C6495" t="s">
        <v>5616</v>
      </c>
      <c r="D6495" t="str">
        <f>HYPERLINK("http://service.sap.com/sap/support/notes/1776297","1776297")</f>
        <v>1776297</v>
      </c>
      <c r="E6495">
        <v>1</v>
      </c>
      <c r="F6495" t="s">
        <v>6484</v>
      </c>
    </row>
    <row r="6496" spans="1:6" x14ac:dyDescent="0.25">
      <c r="A6496" t="s">
        <v>6352</v>
      </c>
      <c r="B6496" t="s">
        <v>85</v>
      </c>
      <c r="C6496" t="s">
        <v>86</v>
      </c>
    </row>
    <row r="6497" spans="1:6" x14ac:dyDescent="0.25">
      <c r="A6497" t="s">
        <v>6352</v>
      </c>
      <c r="B6497" t="s">
        <v>696</v>
      </c>
      <c r="C6497" t="s">
        <v>697</v>
      </c>
    </row>
    <row r="6498" spans="1:6" x14ac:dyDescent="0.25">
      <c r="A6498" t="s">
        <v>6352</v>
      </c>
      <c r="B6498" t="s">
        <v>3380</v>
      </c>
      <c r="C6498" t="s">
        <v>3381</v>
      </c>
      <c r="D6498" t="str">
        <f>HYPERLINK("http://service.sap.com/sap/support/notes/1767170","1767170")</f>
        <v>1767170</v>
      </c>
      <c r="E6498">
        <v>2</v>
      </c>
      <c r="F6498" t="s">
        <v>6485</v>
      </c>
    </row>
    <row r="6499" spans="1:6" x14ac:dyDescent="0.25">
      <c r="A6499" t="s">
        <v>6352</v>
      </c>
      <c r="B6499" t="s">
        <v>3380</v>
      </c>
      <c r="C6499" t="s">
        <v>3381</v>
      </c>
      <c r="D6499" t="str">
        <f>HYPERLINK("http://service.sap.com/sap/support/notes/1767188","1767188")</f>
        <v>1767188</v>
      </c>
      <c r="E6499">
        <v>1</v>
      </c>
      <c r="F6499" t="s">
        <v>6486</v>
      </c>
    </row>
    <row r="6500" spans="1:6" x14ac:dyDescent="0.25">
      <c r="A6500" t="s">
        <v>6352</v>
      </c>
      <c r="B6500" t="s">
        <v>3380</v>
      </c>
      <c r="C6500" t="s">
        <v>3381</v>
      </c>
      <c r="D6500" t="str">
        <f>HYPERLINK("http://service.sap.com/sap/support/notes/1768531","1768531")</f>
        <v>1768531</v>
      </c>
      <c r="E6500">
        <v>3</v>
      </c>
      <c r="F6500" t="s">
        <v>6487</v>
      </c>
    </row>
    <row r="6501" spans="1:6" x14ac:dyDescent="0.25">
      <c r="A6501" t="s">
        <v>6352</v>
      </c>
      <c r="B6501" t="s">
        <v>698</v>
      </c>
      <c r="C6501" t="s">
        <v>699</v>
      </c>
      <c r="D6501" t="str">
        <f>HYPERLINK("http://service.sap.com/sap/support/notes/1751528","1751528")</f>
        <v>1751528</v>
      </c>
      <c r="E6501">
        <v>1</v>
      </c>
      <c r="F6501" t="s">
        <v>6488</v>
      </c>
    </row>
    <row r="6502" spans="1:6" x14ac:dyDescent="0.25">
      <c r="A6502" t="s">
        <v>6352</v>
      </c>
      <c r="B6502" t="s">
        <v>6079</v>
      </c>
      <c r="C6502" t="s">
        <v>6080</v>
      </c>
      <c r="D6502" t="str">
        <f>HYPERLINK("http://service.sap.com/sap/support/notes/1727006","1727006")</f>
        <v>1727006</v>
      </c>
      <c r="E6502">
        <v>1</v>
      </c>
      <c r="F6502" t="s">
        <v>6489</v>
      </c>
    </row>
    <row r="6503" spans="1:6" x14ac:dyDescent="0.25">
      <c r="A6503" t="s">
        <v>6352</v>
      </c>
      <c r="B6503" t="s">
        <v>90</v>
      </c>
      <c r="C6503" t="s">
        <v>13</v>
      </c>
    </row>
    <row r="6504" spans="1:6" x14ac:dyDescent="0.25">
      <c r="A6504" t="s">
        <v>6352</v>
      </c>
      <c r="B6504" t="s">
        <v>557</v>
      </c>
      <c r="C6504" t="s">
        <v>646</v>
      </c>
    </row>
    <row r="6505" spans="1:6" x14ac:dyDescent="0.25">
      <c r="A6505" t="s">
        <v>6352</v>
      </c>
      <c r="B6505" t="s">
        <v>563</v>
      </c>
      <c r="C6505" t="s">
        <v>564</v>
      </c>
    </row>
    <row r="6506" spans="1:6" x14ac:dyDescent="0.25">
      <c r="A6506" t="s">
        <v>6352</v>
      </c>
      <c r="B6506" t="s">
        <v>647</v>
      </c>
      <c r="C6506" t="s">
        <v>648</v>
      </c>
      <c r="D6506" t="str">
        <f>HYPERLINK("http://service.sap.com/sap/support/notes/1675831","1675831")</f>
        <v>1675831</v>
      </c>
      <c r="E6506">
        <v>1</v>
      </c>
      <c r="F6506" t="s">
        <v>6490</v>
      </c>
    </row>
    <row r="6507" spans="1:6" x14ac:dyDescent="0.25">
      <c r="A6507" t="s">
        <v>6352</v>
      </c>
      <c r="B6507" t="s">
        <v>647</v>
      </c>
      <c r="C6507" t="s">
        <v>648</v>
      </c>
      <c r="D6507" t="str">
        <f>HYPERLINK("http://service.sap.com/sap/support/notes/1771815","1771815")</f>
        <v>1771815</v>
      </c>
      <c r="E6507">
        <v>3</v>
      </c>
      <c r="F6507" t="s">
        <v>6491</v>
      </c>
    </row>
    <row r="6508" spans="1:6" x14ac:dyDescent="0.25">
      <c r="A6508" t="s">
        <v>6352</v>
      </c>
      <c r="B6508" t="s">
        <v>95</v>
      </c>
      <c r="C6508" t="s">
        <v>96</v>
      </c>
    </row>
    <row r="6509" spans="1:6" x14ac:dyDescent="0.25">
      <c r="A6509" t="s">
        <v>6352</v>
      </c>
      <c r="B6509" t="s">
        <v>114</v>
      </c>
      <c r="C6509" t="s">
        <v>115</v>
      </c>
      <c r="D6509" t="str">
        <f>HYPERLINK("http://service.sap.com/sap/support/notes/1771829","1771829")</f>
        <v>1771829</v>
      </c>
      <c r="E6509">
        <v>1</v>
      </c>
      <c r="F6509" t="s">
        <v>120</v>
      </c>
    </row>
    <row r="6510" spans="1:6" x14ac:dyDescent="0.25">
      <c r="A6510" t="s">
        <v>6352</v>
      </c>
      <c r="B6510" t="s">
        <v>114</v>
      </c>
      <c r="C6510" t="s">
        <v>115</v>
      </c>
      <c r="D6510" t="str">
        <f>HYPERLINK("http://service.sap.com/sap/support/notes/1773266","1773266")</f>
        <v>1773266</v>
      </c>
      <c r="E6510">
        <v>1</v>
      </c>
      <c r="F6510" t="s">
        <v>123</v>
      </c>
    </row>
    <row r="6511" spans="1:6" x14ac:dyDescent="0.25">
      <c r="A6511" t="s">
        <v>6352</v>
      </c>
      <c r="B6511" t="s">
        <v>114</v>
      </c>
      <c r="C6511" t="s">
        <v>115</v>
      </c>
      <c r="D6511" t="str">
        <f>HYPERLINK("http://service.sap.com/sap/support/notes/1776118","1776118")</f>
        <v>1776118</v>
      </c>
      <c r="E6511">
        <v>3</v>
      </c>
      <c r="F6511" t="s">
        <v>6492</v>
      </c>
    </row>
    <row r="6512" spans="1:6" x14ac:dyDescent="0.25">
      <c r="A6512" t="s">
        <v>6352</v>
      </c>
      <c r="B6512" t="s">
        <v>685</v>
      </c>
      <c r="C6512" t="s">
        <v>686</v>
      </c>
      <c r="D6512" t="str">
        <f>HYPERLINK("http://service.sap.com/sap/support/notes/1566645","1566645")</f>
        <v>1566645</v>
      </c>
      <c r="E6512">
        <v>2</v>
      </c>
      <c r="F6512" t="s">
        <v>6493</v>
      </c>
    </row>
    <row r="6513" spans="1:6" x14ac:dyDescent="0.25">
      <c r="A6513" t="s">
        <v>6352</v>
      </c>
      <c r="B6513" t="s">
        <v>685</v>
      </c>
      <c r="C6513" t="s">
        <v>686</v>
      </c>
      <c r="D6513" t="str">
        <f>HYPERLINK("http://service.sap.com/sap/support/notes/1575387","1575387")</f>
        <v>1575387</v>
      </c>
      <c r="E6513">
        <v>4</v>
      </c>
      <c r="F6513" t="s">
        <v>6494</v>
      </c>
    </row>
    <row r="6514" spans="1:6" x14ac:dyDescent="0.25">
      <c r="A6514" t="s">
        <v>6352</v>
      </c>
      <c r="B6514" t="s">
        <v>685</v>
      </c>
      <c r="C6514" t="s">
        <v>686</v>
      </c>
      <c r="D6514" t="str">
        <f>HYPERLINK("http://service.sap.com/sap/support/notes/1764165","1764165")</f>
        <v>1764165</v>
      </c>
      <c r="E6514">
        <v>1</v>
      </c>
      <c r="F6514" t="s">
        <v>6495</v>
      </c>
    </row>
    <row r="6515" spans="1:6" x14ac:dyDescent="0.25">
      <c r="A6515" t="s">
        <v>6352</v>
      </c>
      <c r="B6515" t="s">
        <v>685</v>
      </c>
      <c r="C6515" t="s">
        <v>686</v>
      </c>
      <c r="D6515" t="str">
        <f>HYPERLINK("http://service.sap.com/sap/support/notes/1768692","1768692")</f>
        <v>1768692</v>
      </c>
      <c r="E6515">
        <v>1</v>
      </c>
      <c r="F6515" t="s">
        <v>6496</v>
      </c>
    </row>
    <row r="6516" spans="1:6" x14ac:dyDescent="0.25">
      <c r="A6516" t="s">
        <v>6352</v>
      </c>
      <c r="B6516" t="s">
        <v>685</v>
      </c>
      <c r="C6516" t="s">
        <v>686</v>
      </c>
      <c r="D6516" t="str">
        <f>HYPERLINK("http://service.sap.com/sap/support/notes/1774424","1774424")</f>
        <v>1774424</v>
      </c>
      <c r="E6516">
        <v>1</v>
      </c>
      <c r="F6516" t="s">
        <v>6497</v>
      </c>
    </row>
    <row r="6517" spans="1:6" x14ac:dyDescent="0.25">
      <c r="A6517" t="s">
        <v>6352</v>
      </c>
      <c r="B6517" t="s">
        <v>685</v>
      </c>
      <c r="C6517" t="s">
        <v>686</v>
      </c>
      <c r="D6517" t="str">
        <f>HYPERLINK("http://service.sap.com/sap/support/notes/1775068","1775068")</f>
        <v>1775068</v>
      </c>
      <c r="E6517">
        <v>1</v>
      </c>
      <c r="F6517" t="s">
        <v>6498</v>
      </c>
    </row>
    <row r="6518" spans="1:6" x14ac:dyDescent="0.25">
      <c r="A6518" t="s">
        <v>6352</v>
      </c>
      <c r="B6518" t="s">
        <v>685</v>
      </c>
      <c r="C6518" t="s">
        <v>686</v>
      </c>
      <c r="D6518" t="str">
        <f>HYPERLINK("http://service.sap.com/sap/support/notes/1777659","1777659")</f>
        <v>1777659</v>
      </c>
      <c r="E6518">
        <v>1</v>
      </c>
      <c r="F6518" t="s">
        <v>6499</v>
      </c>
    </row>
    <row r="6519" spans="1:6" x14ac:dyDescent="0.25">
      <c r="A6519" t="s">
        <v>6352</v>
      </c>
      <c r="B6519" t="s">
        <v>150</v>
      </c>
      <c r="C6519" t="s">
        <v>151</v>
      </c>
    </row>
    <row r="6520" spans="1:6" x14ac:dyDescent="0.25">
      <c r="A6520" t="s">
        <v>6352</v>
      </c>
      <c r="B6520" t="s">
        <v>155</v>
      </c>
      <c r="C6520" t="s">
        <v>156</v>
      </c>
      <c r="D6520" t="str">
        <f>HYPERLINK("http://service.sap.com/sap/support/notes/1770669","1770669")</f>
        <v>1770669</v>
      </c>
      <c r="E6520">
        <v>1</v>
      </c>
      <c r="F6520" t="s">
        <v>6500</v>
      </c>
    </row>
    <row r="6521" spans="1:6" x14ac:dyDescent="0.25">
      <c r="A6521" t="s">
        <v>6352</v>
      </c>
      <c r="B6521" t="s">
        <v>159</v>
      </c>
      <c r="C6521" t="s">
        <v>160</v>
      </c>
      <c r="D6521" t="str">
        <f>HYPERLINK("http://service.sap.com/sap/support/notes/1755101","1755101")</f>
        <v>1755101</v>
      </c>
      <c r="E6521">
        <v>1</v>
      </c>
      <c r="F6521" t="s">
        <v>6501</v>
      </c>
    </row>
    <row r="6522" spans="1:6" x14ac:dyDescent="0.25">
      <c r="A6522" t="s">
        <v>6352</v>
      </c>
      <c r="B6522" t="s">
        <v>159</v>
      </c>
      <c r="C6522" t="s">
        <v>160</v>
      </c>
      <c r="D6522" t="str">
        <f>HYPERLINK("http://service.sap.com/sap/support/notes/1758596","1758596")</f>
        <v>1758596</v>
      </c>
      <c r="E6522">
        <v>1</v>
      </c>
      <c r="F6522" t="s">
        <v>6502</v>
      </c>
    </row>
    <row r="6523" spans="1:6" x14ac:dyDescent="0.25">
      <c r="A6523" t="s">
        <v>6352</v>
      </c>
      <c r="B6523" t="s">
        <v>229</v>
      </c>
      <c r="C6523" t="s">
        <v>230</v>
      </c>
      <c r="D6523" t="str">
        <f>HYPERLINK("http://service.sap.com/sap/support/notes/1621932","1621932")</f>
        <v>1621932</v>
      </c>
      <c r="E6523">
        <v>3</v>
      </c>
      <c r="F6523" t="s">
        <v>6503</v>
      </c>
    </row>
    <row r="6524" spans="1:6" x14ac:dyDescent="0.25">
      <c r="A6524" t="s">
        <v>6352</v>
      </c>
      <c r="B6524" t="s">
        <v>229</v>
      </c>
      <c r="C6524" t="s">
        <v>230</v>
      </c>
      <c r="D6524" t="str">
        <f>HYPERLINK("http://service.sap.com/sap/support/notes/1765713","1765713")</f>
        <v>1765713</v>
      </c>
      <c r="E6524">
        <v>1</v>
      </c>
      <c r="F6524" t="s">
        <v>1178</v>
      </c>
    </row>
    <row r="6525" spans="1:6" x14ac:dyDescent="0.25">
      <c r="A6525" t="s">
        <v>6352</v>
      </c>
      <c r="B6525" t="s">
        <v>319</v>
      </c>
      <c r="C6525" t="s">
        <v>320</v>
      </c>
      <c r="D6525" t="str">
        <f>HYPERLINK("http://service.sap.com/sap/support/notes/1768359","1768359")</f>
        <v>1768359</v>
      </c>
      <c r="E6525">
        <v>1</v>
      </c>
      <c r="F6525" t="s">
        <v>6504</v>
      </c>
    </row>
    <row r="6526" spans="1:6" x14ac:dyDescent="0.25">
      <c r="A6526" t="s">
        <v>6352</v>
      </c>
      <c r="B6526" t="s">
        <v>344</v>
      </c>
      <c r="C6526" t="s">
        <v>345</v>
      </c>
    </row>
    <row r="6527" spans="1:6" x14ac:dyDescent="0.25">
      <c r="A6527" t="s">
        <v>6352</v>
      </c>
      <c r="B6527" t="s">
        <v>1902</v>
      </c>
      <c r="C6527" t="s">
        <v>1903</v>
      </c>
      <c r="D6527" t="str">
        <f>HYPERLINK("http://service.sap.com/sap/support/notes/1751995","1751995")</f>
        <v>1751995</v>
      </c>
      <c r="E6527">
        <v>2</v>
      </c>
      <c r="F6527" t="s">
        <v>6505</v>
      </c>
    </row>
    <row r="6528" spans="1:6" x14ac:dyDescent="0.25">
      <c r="A6528" t="s">
        <v>6352</v>
      </c>
      <c r="B6528" t="s">
        <v>418</v>
      </c>
      <c r="C6528" t="s">
        <v>61</v>
      </c>
    </row>
    <row r="6529" spans="1:6" x14ac:dyDescent="0.25">
      <c r="A6529" t="s">
        <v>6352</v>
      </c>
      <c r="B6529" t="s">
        <v>420</v>
      </c>
      <c r="C6529" t="s">
        <v>421</v>
      </c>
      <c r="D6529" t="str">
        <f>HYPERLINK("http://service.sap.com/sap/support/notes/1737325","1737325")</f>
        <v>1737325</v>
      </c>
      <c r="E6529">
        <v>1</v>
      </c>
      <c r="F6529" t="s">
        <v>422</v>
      </c>
    </row>
    <row r="6530" spans="1:6" x14ac:dyDescent="0.25">
      <c r="A6530" t="s">
        <v>6352</v>
      </c>
      <c r="B6530" t="s">
        <v>423</v>
      </c>
      <c r="C6530" t="s">
        <v>424</v>
      </c>
      <c r="D6530" t="str">
        <f>HYPERLINK("http://service.sap.com/sap/support/notes/1753279","1753279")</f>
        <v>1753279</v>
      </c>
      <c r="E6530">
        <v>2</v>
      </c>
      <c r="F6530" t="s">
        <v>425</v>
      </c>
    </row>
    <row r="6531" spans="1:6" x14ac:dyDescent="0.25">
      <c r="A6531" t="s">
        <v>6352</v>
      </c>
      <c r="B6531" t="s">
        <v>423</v>
      </c>
      <c r="C6531" t="s">
        <v>424</v>
      </c>
      <c r="D6531" t="str">
        <f>HYPERLINK("http://service.sap.com/sap/support/notes/1771954","1771954")</f>
        <v>1771954</v>
      </c>
      <c r="E6531">
        <v>1</v>
      </c>
      <c r="F6531" t="s">
        <v>6506</v>
      </c>
    </row>
    <row r="6532" spans="1:6" x14ac:dyDescent="0.25">
      <c r="A6532" t="s">
        <v>6352</v>
      </c>
      <c r="B6532" t="s">
        <v>423</v>
      </c>
      <c r="C6532" t="s">
        <v>424</v>
      </c>
      <c r="D6532" t="str">
        <f>HYPERLINK("http://service.sap.com/sap/support/notes/1772690","1772690")</f>
        <v>1772690</v>
      </c>
      <c r="E6532">
        <v>3</v>
      </c>
      <c r="F6532" t="s">
        <v>6507</v>
      </c>
    </row>
    <row r="6533" spans="1:6" x14ac:dyDescent="0.25">
      <c r="A6533" t="s">
        <v>6352</v>
      </c>
      <c r="B6533" t="s">
        <v>423</v>
      </c>
      <c r="C6533" t="s">
        <v>424</v>
      </c>
      <c r="D6533" t="str">
        <f>HYPERLINK("http://service.sap.com/sap/support/notes/1774844","1774844")</f>
        <v>1774844</v>
      </c>
      <c r="E6533">
        <v>1</v>
      </c>
      <c r="F6533" t="s">
        <v>428</v>
      </c>
    </row>
    <row r="6534" spans="1:6" x14ac:dyDescent="0.25">
      <c r="A6534" t="s">
        <v>6352</v>
      </c>
      <c r="B6534" t="s">
        <v>610</v>
      </c>
      <c r="C6534" t="s">
        <v>635</v>
      </c>
    </row>
    <row r="6535" spans="1:6" x14ac:dyDescent="0.25">
      <c r="A6535" t="s">
        <v>6352</v>
      </c>
      <c r="B6535" t="s">
        <v>618</v>
      </c>
      <c r="C6535" t="s">
        <v>619</v>
      </c>
    </row>
    <row r="6536" spans="1:6" x14ac:dyDescent="0.25">
      <c r="A6536" t="s">
        <v>6352</v>
      </c>
      <c r="B6536" t="s">
        <v>5701</v>
      </c>
      <c r="C6536" t="s">
        <v>5702</v>
      </c>
      <c r="D6536" t="str">
        <f>HYPERLINK("http://service.sap.com/sap/support/notes/1768894","1768894")</f>
        <v>1768894</v>
      </c>
      <c r="E6536">
        <v>1</v>
      </c>
      <c r="F6536" t="s">
        <v>6508</v>
      </c>
    </row>
    <row r="6537" spans="1:6" x14ac:dyDescent="0.25">
      <c r="A6537" t="s">
        <v>6352</v>
      </c>
      <c r="B6537" t="s">
        <v>670</v>
      </c>
      <c r="C6537" t="s">
        <v>671</v>
      </c>
    </row>
    <row r="6538" spans="1:6" x14ac:dyDescent="0.25">
      <c r="A6538" t="s">
        <v>6352</v>
      </c>
      <c r="B6538" t="s">
        <v>672</v>
      </c>
      <c r="C6538" t="s">
        <v>673</v>
      </c>
    </row>
    <row r="6539" spans="1:6" x14ac:dyDescent="0.25">
      <c r="A6539" t="s">
        <v>6352</v>
      </c>
      <c r="B6539" t="s">
        <v>5713</v>
      </c>
      <c r="C6539" t="s">
        <v>5714</v>
      </c>
    </row>
    <row r="6540" spans="1:6" x14ac:dyDescent="0.25">
      <c r="A6540" t="s">
        <v>6352</v>
      </c>
      <c r="B6540" t="s">
        <v>5715</v>
      </c>
      <c r="C6540" t="s">
        <v>5710</v>
      </c>
      <c r="D6540" t="str">
        <f>HYPERLINK("http://service.sap.com/sap/support/notes/1776813","1776813")</f>
        <v>1776813</v>
      </c>
      <c r="E6540">
        <v>1</v>
      </c>
      <c r="F6540" t="s">
        <v>6509</v>
      </c>
    </row>
    <row r="6541" spans="1:6" x14ac:dyDescent="0.25">
      <c r="A6541" t="s">
        <v>6352</v>
      </c>
      <c r="B6541" t="s">
        <v>5718</v>
      </c>
      <c r="C6541" t="s">
        <v>5719</v>
      </c>
    </row>
    <row r="6542" spans="1:6" x14ac:dyDescent="0.25">
      <c r="A6542" t="s">
        <v>6352</v>
      </c>
      <c r="B6542" t="s">
        <v>5720</v>
      </c>
      <c r="C6542" t="s">
        <v>5710</v>
      </c>
      <c r="D6542" t="str">
        <f>HYPERLINK("http://service.sap.com/sap/support/notes/1771966","1771966")</f>
        <v>1771966</v>
      </c>
      <c r="E6542">
        <v>1</v>
      </c>
      <c r="F6542" t="s">
        <v>6510</v>
      </c>
    </row>
    <row r="6543" spans="1:6" x14ac:dyDescent="0.25">
      <c r="A6543" t="s">
        <v>6511</v>
      </c>
      <c r="B6543" t="s">
        <v>472</v>
      </c>
      <c r="C6543" t="s">
        <v>473</v>
      </c>
    </row>
    <row r="6544" spans="1:6" x14ac:dyDescent="0.25">
      <c r="A6544" t="s">
        <v>6511</v>
      </c>
      <c r="B6544" t="s">
        <v>474</v>
      </c>
      <c r="C6544" t="s">
        <v>475</v>
      </c>
    </row>
    <row r="6545" spans="1:6" x14ac:dyDescent="0.25">
      <c r="A6545" t="s">
        <v>6511</v>
      </c>
      <c r="B6545" t="s">
        <v>476</v>
      </c>
      <c r="C6545" t="s">
        <v>707</v>
      </c>
      <c r="D6545" t="str">
        <f>HYPERLINK("http://service.sap.com/sap/support/notes/1788276","1788276")</f>
        <v>1788276</v>
      </c>
      <c r="E6545">
        <v>1</v>
      </c>
      <c r="F6545" t="s">
        <v>6512</v>
      </c>
    </row>
    <row r="6546" spans="1:6" x14ac:dyDescent="0.25">
      <c r="A6546" t="s">
        <v>6511</v>
      </c>
      <c r="B6546" t="s">
        <v>481</v>
      </c>
      <c r="C6546" t="s">
        <v>482</v>
      </c>
    </row>
    <row r="6547" spans="1:6" x14ac:dyDescent="0.25">
      <c r="A6547" t="s">
        <v>6511</v>
      </c>
      <c r="B6547" t="s">
        <v>639</v>
      </c>
      <c r="C6547" t="s">
        <v>640</v>
      </c>
    </row>
    <row r="6548" spans="1:6" x14ac:dyDescent="0.25">
      <c r="A6548" t="s">
        <v>6511</v>
      </c>
      <c r="B6548" t="s">
        <v>5404</v>
      </c>
      <c r="C6548" t="s">
        <v>5405</v>
      </c>
      <c r="D6548" t="str">
        <f>HYPERLINK("http://service.sap.com/sap/support/notes/1744909","1744909")</f>
        <v>1744909</v>
      </c>
      <c r="E6548">
        <v>2</v>
      </c>
      <c r="F6548" t="s">
        <v>6513</v>
      </c>
    </row>
    <row r="6549" spans="1:6" x14ac:dyDescent="0.25">
      <c r="A6549" t="s">
        <v>6511</v>
      </c>
      <c r="B6549" t="s">
        <v>5404</v>
      </c>
      <c r="C6549" t="s">
        <v>5405</v>
      </c>
      <c r="D6549" t="str">
        <f>HYPERLINK("http://service.sap.com/sap/support/notes/1784344","1784344")</f>
        <v>1784344</v>
      </c>
      <c r="E6549">
        <v>2</v>
      </c>
      <c r="F6549" t="s">
        <v>6514</v>
      </c>
    </row>
    <row r="6550" spans="1:6" x14ac:dyDescent="0.25">
      <c r="A6550" t="s">
        <v>6511</v>
      </c>
      <c r="B6550" t="s">
        <v>487</v>
      </c>
      <c r="C6550" t="s">
        <v>488</v>
      </c>
    </row>
    <row r="6551" spans="1:6" x14ac:dyDescent="0.25">
      <c r="A6551" t="s">
        <v>6511</v>
      </c>
      <c r="B6551" t="s">
        <v>489</v>
      </c>
      <c r="C6551" t="s">
        <v>641</v>
      </c>
      <c r="D6551" t="str">
        <f>HYPERLINK("http://service.sap.com/sap/support/notes/1774300","1774300")</f>
        <v>1774300</v>
      </c>
      <c r="E6551">
        <v>2</v>
      </c>
      <c r="F6551" t="s">
        <v>6515</v>
      </c>
    </row>
    <row r="6552" spans="1:6" x14ac:dyDescent="0.25">
      <c r="A6552" t="s">
        <v>6511</v>
      </c>
      <c r="B6552" t="s">
        <v>489</v>
      </c>
      <c r="C6552" t="s">
        <v>641</v>
      </c>
      <c r="D6552" t="str">
        <f>HYPERLINK("http://service.sap.com/sap/support/notes/1783945","1783945")</f>
        <v>1783945</v>
      </c>
      <c r="E6552">
        <v>2</v>
      </c>
      <c r="F6552" t="s">
        <v>6516</v>
      </c>
    </row>
    <row r="6553" spans="1:6" x14ac:dyDescent="0.25">
      <c r="A6553" t="s">
        <v>6511</v>
      </c>
      <c r="B6553" t="s">
        <v>490</v>
      </c>
      <c r="C6553" t="s">
        <v>491</v>
      </c>
    </row>
    <row r="6554" spans="1:6" x14ac:dyDescent="0.25">
      <c r="A6554" t="s">
        <v>6511</v>
      </c>
      <c r="B6554" t="s">
        <v>722</v>
      </c>
      <c r="C6554" t="s">
        <v>723</v>
      </c>
    </row>
    <row r="6555" spans="1:6" x14ac:dyDescent="0.25">
      <c r="A6555" t="s">
        <v>6511</v>
      </c>
      <c r="B6555" t="s">
        <v>724</v>
      </c>
      <c r="C6555" t="s">
        <v>648</v>
      </c>
      <c r="D6555" t="str">
        <f>HYPERLINK("http://service.sap.com/sap/support/notes/1768965","1768965")</f>
        <v>1768965</v>
      </c>
      <c r="E6555">
        <v>1</v>
      </c>
      <c r="F6555" t="s">
        <v>6517</v>
      </c>
    </row>
    <row r="6556" spans="1:6" x14ac:dyDescent="0.25">
      <c r="A6556" t="s">
        <v>6511</v>
      </c>
      <c r="B6556" t="s">
        <v>724</v>
      </c>
      <c r="C6556" t="s">
        <v>648</v>
      </c>
      <c r="D6556" t="str">
        <f>HYPERLINK("http://service.sap.com/sap/support/notes/1776095","1776095")</f>
        <v>1776095</v>
      </c>
      <c r="E6556">
        <v>1</v>
      </c>
      <c r="F6556" t="s">
        <v>6518</v>
      </c>
    </row>
    <row r="6557" spans="1:6" x14ac:dyDescent="0.25">
      <c r="A6557" t="s">
        <v>6511</v>
      </c>
      <c r="B6557" t="s">
        <v>6519</v>
      </c>
      <c r="C6557" t="s">
        <v>6520</v>
      </c>
    </row>
    <row r="6558" spans="1:6" x14ac:dyDescent="0.25">
      <c r="A6558" t="s">
        <v>6511</v>
      </c>
      <c r="B6558" t="s">
        <v>6521</v>
      </c>
      <c r="C6558" t="s">
        <v>6522</v>
      </c>
    </row>
    <row r="6559" spans="1:6" x14ac:dyDescent="0.25">
      <c r="A6559" t="s">
        <v>6511</v>
      </c>
      <c r="B6559" t="s">
        <v>6523</v>
      </c>
      <c r="C6559" t="s">
        <v>26</v>
      </c>
    </row>
    <row r="6560" spans="1:6" x14ac:dyDescent="0.25">
      <c r="A6560" t="s">
        <v>6511</v>
      </c>
      <c r="B6560" t="s">
        <v>6524</v>
      </c>
      <c r="C6560" t="s">
        <v>6525</v>
      </c>
      <c r="D6560" t="str">
        <f>HYPERLINK("http://service.sap.com/sap/support/notes/1776776","1776776")</f>
        <v>1776776</v>
      </c>
      <c r="E6560">
        <v>1</v>
      </c>
      <c r="F6560" t="s">
        <v>6526</v>
      </c>
    </row>
    <row r="6561" spans="1:6" x14ac:dyDescent="0.25">
      <c r="A6561" t="s">
        <v>6511</v>
      </c>
      <c r="B6561" t="s">
        <v>493</v>
      </c>
      <c r="C6561" t="s">
        <v>494</v>
      </c>
    </row>
    <row r="6562" spans="1:6" x14ac:dyDescent="0.25">
      <c r="A6562" t="s">
        <v>6511</v>
      </c>
      <c r="B6562" t="s">
        <v>495</v>
      </c>
      <c r="C6562" t="s">
        <v>655</v>
      </c>
      <c r="D6562" t="str">
        <f>HYPERLINK("http://service.sap.com/sap/support/notes/1778701","1778701")</f>
        <v>1778701</v>
      </c>
      <c r="E6562">
        <v>3</v>
      </c>
      <c r="F6562" t="s">
        <v>1568</v>
      </c>
    </row>
    <row r="6563" spans="1:6" x14ac:dyDescent="0.25">
      <c r="A6563" t="s">
        <v>6511</v>
      </c>
      <c r="B6563" t="s">
        <v>495</v>
      </c>
      <c r="C6563" t="s">
        <v>655</v>
      </c>
      <c r="D6563" t="str">
        <f>HYPERLINK("http://service.sap.com/sap/support/notes/1780803","1780803")</f>
        <v>1780803</v>
      </c>
      <c r="E6563">
        <v>3</v>
      </c>
      <c r="F6563" t="s">
        <v>6527</v>
      </c>
    </row>
    <row r="6564" spans="1:6" x14ac:dyDescent="0.25">
      <c r="A6564" t="s">
        <v>6511</v>
      </c>
      <c r="B6564" t="s">
        <v>497</v>
      </c>
      <c r="C6564" t="s">
        <v>498</v>
      </c>
      <c r="D6564" t="str">
        <f>HYPERLINK("http://service.sap.com/sap/support/notes/1742468","1742468")</f>
        <v>1742468</v>
      </c>
      <c r="E6564">
        <v>1</v>
      </c>
      <c r="F6564" t="s">
        <v>5952</v>
      </c>
    </row>
    <row r="6565" spans="1:6" x14ac:dyDescent="0.25">
      <c r="A6565" t="s">
        <v>6511</v>
      </c>
      <c r="B6565" t="s">
        <v>497</v>
      </c>
      <c r="C6565" t="s">
        <v>498</v>
      </c>
      <c r="D6565" t="str">
        <f>HYPERLINK("http://service.sap.com/sap/support/notes/1773055","1773055")</f>
        <v>1773055</v>
      </c>
      <c r="E6565">
        <v>3</v>
      </c>
      <c r="F6565" t="s">
        <v>6528</v>
      </c>
    </row>
    <row r="6566" spans="1:6" x14ac:dyDescent="0.25">
      <c r="A6566" t="s">
        <v>6511</v>
      </c>
      <c r="B6566" t="s">
        <v>497</v>
      </c>
      <c r="C6566" t="s">
        <v>498</v>
      </c>
      <c r="D6566" t="str">
        <f>HYPERLINK("http://service.sap.com/sap/support/notes/1777958","1777958")</f>
        <v>1777958</v>
      </c>
      <c r="E6566">
        <v>1</v>
      </c>
      <c r="F6566" t="s">
        <v>6529</v>
      </c>
    </row>
    <row r="6567" spans="1:6" x14ac:dyDescent="0.25">
      <c r="A6567" t="s">
        <v>6511</v>
      </c>
      <c r="B6567" t="s">
        <v>497</v>
      </c>
      <c r="C6567" t="s">
        <v>498</v>
      </c>
      <c r="D6567" t="str">
        <f>HYPERLINK("http://service.sap.com/sap/support/notes/1778470","1778470")</f>
        <v>1778470</v>
      </c>
      <c r="E6567">
        <v>1</v>
      </c>
      <c r="F6567" t="s">
        <v>6530</v>
      </c>
    </row>
    <row r="6568" spans="1:6" x14ac:dyDescent="0.25">
      <c r="A6568" t="s">
        <v>6511</v>
      </c>
      <c r="B6568" t="s">
        <v>497</v>
      </c>
      <c r="C6568" t="s">
        <v>498</v>
      </c>
      <c r="D6568" t="str">
        <f>HYPERLINK("http://service.sap.com/sap/support/notes/1778551","1778551")</f>
        <v>1778551</v>
      </c>
      <c r="E6568">
        <v>1</v>
      </c>
      <c r="F6568" t="s">
        <v>6531</v>
      </c>
    </row>
    <row r="6569" spans="1:6" x14ac:dyDescent="0.25">
      <c r="A6569" t="s">
        <v>6511</v>
      </c>
      <c r="B6569" t="s">
        <v>497</v>
      </c>
      <c r="C6569" t="s">
        <v>498</v>
      </c>
      <c r="D6569" t="str">
        <f>HYPERLINK("http://service.sap.com/sap/support/notes/1778566","1778566")</f>
        <v>1778566</v>
      </c>
      <c r="E6569">
        <v>1</v>
      </c>
      <c r="F6569" t="s">
        <v>6532</v>
      </c>
    </row>
    <row r="6570" spans="1:6" x14ac:dyDescent="0.25">
      <c r="A6570" t="s">
        <v>6511</v>
      </c>
      <c r="B6570" t="s">
        <v>497</v>
      </c>
      <c r="C6570" t="s">
        <v>498</v>
      </c>
      <c r="D6570" t="str">
        <f>HYPERLINK("http://service.sap.com/sap/support/notes/1779186","1779186")</f>
        <v>1779186</v>
      </c>
      <c r="E6570">
        <v>1</v>
      </c>
      <c r="F6570" t="s">
        <v>6533</v>
      </c>
    </row>
    <row r="6571" spans="1:6" x14ac:dyDescent="0.25">
      <c r="A6571" t="s">
        <v>6511</v>
      </c>
      <c r="B6571" t="s">
        <v>497</v>
      </c>
      <c r="C6571" t="s">
        <v>498</v>
      </c>
      <c r="D6571" t="str">
        <f>HYPERLINK("http://service.sap.com/sap/support/notes/1779632","1779632")</f>
        <v>1779632</v>
      </c>
      <c r="E6571">
        <v>2</v>
      </c>
      <c r="F6571" t="s">
        <v>6534</v>
      </c>
    </row>
    <row r="6572" spans="1:6" x14ac:dyDescent="0.25">
      <c r="A6572" t="s">
        <v>6511</v>
      </c>
      <c r="B6572" t="s">
        <v>497</v>
      </c>
      <c r="C6572" t="s">
        <v>498</v>
      </c>
      <c r="D6572" t="str">
        <f>HYPERLINK("http://service.sap.com/sap/support/notes/1781417","1781417")</f>
        <v>1781417</v>
      </c>
      <c r="E6572">
        <v>2</v>
      </c>
      <c r="F6572" t="s">
        <v>6535</v>
      </c>
    </row>
    <row r="6573" spans="1:6" x14ac:dyDescent="0.25">
      <c r="A6573" t="s">
        <v>6511</v>
      </c>
      <c r="B6573" t="s">
        <v>497</v>
      </c>
      <c r="C6573" t="s">
        <v>498</v>
      </c>
      <c r="D6573" t="str">
        <f>HYPERLINK("http://service.sap.com/sap/support/notes/1781463","1781463")</f>
        <v>1781463</v>
      </c>
      <c r="E6573">
        <v>2</v>
      </c>
      <c r="F6573" t="s">
        <v>6536</v>
      </c>
    </row>
    <row r="6574" spans="1:6" x14ac:dyDescent="0.25">
      <c r="A6574" t="s">
        <v>6511</v>
      </c>
      <c r="B6574" t="s">
        <v>497</v>
      </c>
      <c r="C6574" t="s">
        <v>498</v>
      </c>
      <c r="D6574" t="str">
        <f>HYPERLINK("http://service.sap.com/sap/support/notes/1781512","1781512")</f>
        <v>1781512</v>
      </c>
      <c r="E6574">
        <v>1</v>
      </c>
      <c r="F6574" t="s">
        <v>6537</v>
      </c>
    </row>
    <row r="6575" spans="1:6" x14ac:dyDescent="0.25">
      <c r="A6575" t="s">
        <v>6511</v>
      </c>
      <c r="B6575" t="s">
        <v>497</v>
      </c>
      <c r="C6575" t="s">
        <v>498</v>
      </c>
      <c r="D6575" t="str">
        <f>HYPERLINK("http://service.sap.com/sap/support/notes/1782586","1782586")</f>
        <v>1782586</v>
      </c>
      <c r="E6575">
        <v>1</v>
      </c>
      <c r="F6575" t="s">
        <v>6538</v>
      </c>
    </row>
    <row r="6576" spans="1:6" x14ac:dyDescent="0.25">
      <c r="A6576" t="s">
        <v>6511</v>
      </c>
      <c r="B6576" t="s">
        <v>497</v>
      </c>
      <c r="C6576" t="s">
        <v>498</v>
      </c>
      <c r="D6576" t="str">
        <f>HYPERLINK("http://service.sap.com/sap/support/notes/1782706","1782706")</f>
        <v>1782706</v>
      </c>
      <c r="E6576">
        <v>1</v>
      </c>
      <c r="F6576" t="s">
        <v>6539</v>
      </c>
    </row>
    <row r="6577" spans="1:6" x14ac:dyDescent="0.25">
      <c r="A6577" t="s">
        <v>6511</v>
      </c>
      <c r="B6577" t="s">
        <v>497</v>
      </c>
      <c r="C6577" t="s">
        <v>498</v>
      </c>
      <c r="D6577" t="str">
        <f>HYPERLINK("http://service.sap.com/sap/support/notes/1783307","1783307")</f>
        <v>1783307</v>
      </c>
      <c r="E6577">
        <v>1</v>
      </c>
      <c r="F6577" t="s">
        <v>6540</v>
      </c>
    </row>
    <row r="6578" spans="1:6" x14ac:dyDescent="0.25">
      <c r="A6578" t="s">
        <v>6511</v>
      </c>
      <c r="B6578" t="s">
        <v>497</v>
      </c>
      <c r="C6578" t="s">
        <v>498</v>
      </c>
      <c r="D6578" t="str">
        <f>HYPERLINK("http://service.sap.com/sap/support/notes/1783344","1783344")</f>
        <v>1783344</v>
      </c>
      <c r="E6578">
        <v>2</v>
      </c>
      <c r="F6578" t="s">
        <v>6541</v>
      </c>
    </row>
    <row r="6579" spans="1:6" x14ac:dyDescent="0.25">
      <c r="A6579" t="s">
        <v>6511</v>
      </c>
      <c r="B6579" t="s">
        <v>497</v>
      </c>
      <c r="C6579" t="s">
        <v>498</v>
      </c>
      <c r="D6579" t="str">
        <f>HYPERLINK("http://service.sap.com/sap/support/notes/1783364","1783364")</f>
        <v>1783364</v>
      </c>
      <c r="E6579">
        <v>1</v>
      </c>
      <c r="F6579" t="s">
        <v>6542</v>
      </c>
    </row>
    <row r="6580" spans="1:6" x14ac:dyDescent="0.25">
      <c r="A6580" t="s">
        <v>6511</v>
      </c>
      <c r="B6580" t="s">
        <v>497</v>
      </c>
      <c r="C6580" t="s">
        <v>498</v>
      </c>
      <c r="D6580" t="str">
        <f>HYPERLINK("http://service.sap.com/sap/support/notes/1783911","1783911")</f>
        <v>1783911</v>
      </c>
      <c r="E6580">
        <v>3</v>
      </c>
      <c r="F6580" t="s">
        <v>6543</v>
      </c>
    </row>
    <row r="6581" spans="1:6" x14ac:dyDescent="0.25">
      <c r="A6581" t="s">
        <v>6511</v>
      </c>
      <c r="B6581" t="s">
        <v>497</v>
      </c>
      <c r="C6581" t="s">
        <v>498</v>
      </c>
      <c r="D6581" t="str">
        <f>HYPERLINK("http://service.sap.com/sap/support/notes/1783988","1783988")</f>
        <v>1783988</v>
      </c>
      <c r="E6581">
        <v>1</v>
      </c>
      <c r="F6581" t="s">
        <v>6544</v>
      </c>
    </row>
    <row r="6582" spans="1:6" x14ac:dyDescent="0.25">
      <c r="A6582" t="s">
        <v>6511</v>
      </c>
      <c r="B6582" t="s">
        <v>497</v>
      </c>
      <c r="C6582" t="s">
        <v>498</v>
      </c>
      <c r="D6582" t="str">
        <f>HYPERLINK("http://service.sap.com/sap/support/notes/1785833","1785833")</f>
        <v>1785833</v>
      </c>
      <c r="E6582">
        <v>2</v>
      </c>
      <c r="F6582" t="s">
        <v>6545</v>
      </c>
    </row>
    <row r="6583" spans="1:6" x14ac:dyDescent="0.25">
      <c r="A6583" t="s">
        <v>6511</v>
      </c>
      <c r="B6583" t="s">
        <v>497</v>
      </c>
      <c r="C6583" t="s">
        <v>498</v>
      </c>
      <c r="D6583" t="str">
        <f>HYPERLINK("http://service.sap.com/sap/support/notes/1786521","1786521")</f>
        <v>1786521</v>
      </c>
      <c r="E6583">
        <v>1</v>
      </c>
      <c r="F6583" t="s">
        <v>6546</v>
      </c>
    </row>
    <row r="6584" spans="1:6" x14ac:dyDescent="0.25">
      <c r="A6584" t="s">
        <v>6511</v>
      </c>
      <c r="B6584" t="s">
        <v>497</v>
      </c>
      <c r="C6584" t="s">
        <v>498</v>
      </c>
      <c r="D6584" t="str">
        <f>HYPERLINK("http://service.sap.com/sap/support/notes/1786754","1786754")</f>
        <v>1786754</v>
      </c>
      <c r="E6584">
        <v>1</v>
      </c>
      <c r="F6584" t="s">
        <v>6547</v>
      </c>
    </row>
    <row r="6585" spans="1:6" x14ac:dyDescent="0.25">
      <c r="A6585" t="s">
        <v>6511</v>
      </c>
      <c r="B6585" t="s">
        <v>497</v>
      </c>
      <c r="C6585" t="s">
        <v>498</v>
      </c>
      <c r="D6585" t="str">
        <f>HYPERLINK("http://service.sap.com/sap/support/notes/1787361","1787361")</f>
        <v>1787361</v>
      </c>
      <c r="E6585">
        <v>2</v>
      </c>
      <c r="F6585" t="s">
        <v>6548</v>
      </c>
    </row>
    <row r="6586" spans="1:6" x14ac:dyDescent="0.25">
      <c r="A6586" t="s">
        <v>6511</v>
      </c>
      <c r="B6586" t="s">
        <v>497</v>
      </c>
      <c r="C6586" t="s">
        <v>498</v>
      </c>
      <c r="D6586" t="str">
        <f>HYPERLINK("http://service.sap.com/sap/support/notes/1787941","1787941")</f>
        <v>1787941</v>
      </c>
      <c r="E6586">
        <v>1</v>
      </c>
      <c r="F6586" t="s">
        <v>6549</v>
      </c>
    </row>
    <row r="6587" spans="1:6" x14ac:dyDescent="0.25">
      <c r="A6587" t="s">
        <v>6511</v>
      </c>
      <c r="B6587" t="s">
        <v>497</v>
      </c>
      <c r="C6587" t="s">
        <v>498</v>
      </c>
      <c r="D6587" t="str">
        <f>HYPERLINK("http://service.sap.com/sap/support/notes/1788419","1788419")</f>
        <v>1788419</v>
      </c>
      <c r="E6587">
        <v>1</v>
      </c>
      <c r="F6587" t="s">
        <v>6550</v>
      </c>
    </row>
    <row r="6588" spans="1:6" x14ac:dyDescent="0.25">
      <c r="A6588" t="s">
        <v>6511</v>
      </c>
      <c r="B6588" t="s">
        <v>497</v>
      </c>
      <c r="C6588" t="s">
        <v>498</v>
      </c>
      <c r="D6588" t="str">
        <f>HYPERLINK("http://service.sap.com/sap/support/notes/1790793","1790793")</f>
        <v>1790793</v>
      </c>
      <c r="E6588">
        <v>1</v>
      </c>
      <c r="F6588" t="s">
        <v>6551</v>
      </c>
    </row>
    <row r="6589" spans="1:6" x14ac:dyDescent="0.25">
      <c r="A6589" t="s">
        <v>6511</v>
      </c>
      <c r="B6589" t="s">
        <v>656</v>
      </c>
      <c r="C6589" t="s">
        <v>657</v>
      </c>
      <c r="D6589" t="str">
        <f>HYPERLINK("http://service.sap.com/sap/support/notes/1768137","1768137")</f>
        <v>1768137</v>
      </c>
      <c r="E6589">
        <v>1</v>
      </c>
      <c r="F6589" t="s">
        <v>6552</v>
      </c>
    </row>
    <row r="6590" spans="1:6" x14ac:dyDescent="0.25">
      <c r="A6590" t="s">
        <v>6511</v>
      </c>
      <c r="B6590" t="s">
        <v>656</v>
      </c>
      <c r="C6590" t="s">
        <v>657</v>
      </c>
      <c r="D6590" t="str">
        <f>HYPERLINK("http://service.sap.com/sap/support/notes/1775304","1775304")</f>
        <v>1775304</v>
      </c>
      <c r="E6590">
        <v>2</v>
      </c>
      <c r="F6590" t="s">
        <v>6401</v>
      </c>
    </row>
    <row r="6591" spans="1:6" x14ac:dyDescent="0.25">
      <c r="A6591" t="s">
        <v>6511</v>
      </c>
      <c r="B6591" t="s">
        <v>656</v>
      </c>
      <c r="C6591" t="s">
        <v>657</v>
      </c>
      <c r="D6591" t="str">
        <f>HYPERLINK("http://service.sap.com/sap/support/notes/1775656","1775656")</f>
        <v>1775656</v>
      </c>
      <c r="E6591">
        <v>1</v>
      </c>
      <c r="F6591" t="s">
        <v>6553</v>
      </c>
    </row>
    <row r="6592" spans="1:6" x14ac:dyDescent="0.25">
      <c r="A6592" t="s">
        <v>6511</v>
      </c>
      <c r="B6592" t="s">
        <v>656</v>
      </c>
      <c r="C6592" t="s">
        <v>657</v>
      </c>
      <c r="D6592" t="str">
        <f>HYPERLINK("http://service.sap.com/sap/support/notes/1776252","1776252")</f>
        <v>1776252</v>
      </c>
      <c r="E6592">
        <v>2</v>
      </c>
      <c r="F6592" t="s">
        <v>6554</v>
      </c>
    </row>
    <row r="6593" spans="1:6" x14ac:dyDescent="0.25">
      <c r="A6593" t="s">
        <v>6511</v>
      </c>
      <c r="B6593" t="s">
        <v>656</v>
      </c>
      <c r="C6593" t="s">
        <v>657</v>
      </c>
      <c r="D6593" t="str">
        <f>HYPERLINK("http://service.sap.com/sap/support/notes/1776675","1776675")</f>
        <v>1776675</v>
      </c>
      <c r="E6593">
        <v>2</v>
      </c>
      <c r="F6593" t="s">
        <v>6555</v>
      </c>
    </row>
    <row r="6594" spans="1:6" x14ac:dyDescent="0.25">
      <c r="A6594" t="s">
        <v>6511</v>
      </c>
      <c r="B6594" t="s">
        <v>656</v>
      </c>
      <c r="C6594" t="s">
        <v>657</v>
      </c>
      <c r="D6594" t="str">
        <f>HYPERLINK("http://service.sap.com/sap/support/notes/1776954","1776954")</f>
        <v>1776954</v>
      </c>
      <c r="E6594">
        <v>1</v>
      </c>
      <c r="F6594" t="s">
        <v>6556</v>
      </c>
    </row>
    <row r="6595" spans="1:6" x14ac:dyDescent="0.25">
      <c r="A6595" t="s">
        <v>6511</v>
      </c>
      <c r="B6595" t="s">
        <v>656</v>
      </c>
      <c r="C6595" t="s">
        <v>657</v>
      </c>
      <c r="D6595" t="str">
        <f>HYPERLINK("http://service.sap.com/sap/support/notes/1777459","1777459")</f>
        <v>1777459</v>
      </c>
      <c r="E6595">
        <v>2</v>
      </c>
      <c r="F6595" t="s">
        <v>6557</v>
      </c>
    </row>
    <row r="6596" spans="1:6" x14ac:dyDescent="0.25">
      <c r="A6596" t="s">
        <v>6511</v>
      </c>
      <c r="B6596" t="s">
        <v>656</v>
      </c>
      <c r="C6596" t="s">
        <v>657</v>
      </c>
      <c r="D6596" t="str">
        <f>HYPERLINK("http://service.sap.com/sap/support/notes/1778683","1778683")</f>
        <v>1778683</v>
      </c>
      <c r="E6596">
        <v>3</v>
      </c>
      <c r="F6596" t="s">
        <v>6558</v>
      </c>
    </row>
    <row r="6597" spans="1:6" x14ac:dyDescent="0.25">
      <c r="A6597" t="s">
        <v>6511</v>
      </c>
      <c r="B6597" t="s">
        <v>656</v>
      </c>
      <c r="C6597" t="s">
        <v>657</v>
      </c>
      <c r="D6597" t="str">
        <f>HYPERLINK("http://service.sap.com/sap/support/notes/1779666","1779666")</f>
        <v>1779666</v>
      </c>
      <c r="E6597">
        <v>2</v>
      </c>
      <c r="F6597" t="s">
        <v>6559</v>
      </c>
    </row>
    <row r="6598" spans="1:6" x14ac:dyDescent="0.25">
      <c r="A6598" t="s">
        <v>6511</v>
      </c>
      <c r="B6598" t="s">
        <v>656</v>
      </c>
      <c r="C6598" t="s">
        <v>657</v>
      </c>
      <c r="D6598" t="str">
        <f>HYPERLINK("http://service.sap.com/sap/support/notes/1780260","1780260")</f>
        <v>1780260</v>
      </c>
      <c r="E6598">
        <v>2</v>
      </c>
      <c r="F6598" t="s">
        <v>6560</v>
      </c>
    </row>
    <row r="6599" spans="1:6" x14ac:dyDescent="0.25">
      <c r="A6599" t="s">
        <v>6511</v>
      </c>
      <c r="B6599" t="s">
        <v>656</v>
      </c>
      <c r="C6599" t="s">
        <v>657</v>
      </c>
      <c r="D6599" t="str">
        <f>HYPERLINK("http://service.sap.com/sap/support/notes/1781227","1781227")</f>
        <v>1781227</v>
      </c>
      <c r="E6599">
        <v>2</v>
      </c>
      <c r="F6599" t="s">
        <v>6561</v>
      </c>
    </row>
    <row r="6600" spans="1:6" x14ac:dyDescent="0.25">
      <c r="A6600" t="s">
        <v>6511</v>
      </c>
      <c r="B6600" t="s">
        <v>656</v>
      </c>
      <c r="C6600" t="s">
        <v>657</v>
      </c>
      <c r="D6600" t="str">
        <f>HYPERLINK("http://service.sap.com/sap/support/notes/1782120","1782120")</f>
        <v>1782120</v>
      </c>
      <c r="E6600">
        <v>2</v>
      </c>
      <c r="F6600" t="s">
        <v>6562</v>
      </c>
    </row>
    <row r="6601" spans="1:6" x14ac:dyDescent="0.25">
      <c r="A6601" t="s">
        <v>6511</v>
      </c>
      <c r="B6601" t="s">
        <v>656</v>
      </c>
      <c r="C6601" t="s">
        <v>657</v>
      </c>
      <c r="D6601" t="str">
        <f>HYPERLINK("http://service.sap.com/sap/support/notes/1783258","1783258")</f>
        <v>1783258</v>
      </c>
      <c r="E6601">
        <v>2</v>
      </c>
      <c r="F6601" t="s">
        <v>6563</v>
      </c>
    </row>
    <row r="6602" spans="1:6" x14ac:dyDescent="0.25">
      <c r="A6602" t="s">
        <v>6511</v>
      </c>
      <c r="B6602" t="s">
        <v>656</v>
      </c>
      <c r="C6602" t="s">
        <v>657</v>
      </c>
      <c r="D6602" t="str">
        <f>HYPERLINK("http://service.sap.com/sap/support/notes/1783328","1783328")</f>
        <v>1783328</v>
      </c>
      <c r="E6602">
        <v>1</v>
      </c>
      <c r="F6602" t="s">
        <v>6564</v>
      </c>
    </row>
    <row r="6603" spans="1:6" x14ac:dyDescent="0.25">
      <c r="A6603" t="s">
        <v>6511</v>
      </c>
      <c r="B6603" t="s">
        <v>656</v>
      </c>
      <c r="C6603" t="s">
        <v>657</v>
      </c>
      <c r="D6603" t="str">
        <f>HYPERLINK("http://service.sap.com/sap/support/notes/1783495","1783495")</f>
        <v>1783495</v>
      </c>
      <c r="E6603">
        <v>1</v>
      </c>
      <c r="F6603" t="s">
        <v>6565</v>
      </c>
    </row>
    <row r="6604" spans="1:6" x14ac:dyDescent="0.25">
      <c r="A6604" t="s">
        <v>6511</v>
      </c>
      <c r="B6604" t="s">
        <v>656</v>
      </c>
      <c r="C6604" t="s">
        <v>657</v>
      </c>
      <c r="D6604" t="str">
        <f>HYPERLINK("http://service.sap.com/sap/support/notes/1784568","1784568")</f>
        <v>1784568</v>
      </c>
      <c r="E6604">
        <v>1</v>
      </c>
      <c r="F6604" t="s">
        <v>6566</v>
      </c>
    </row>
    <row r="6605" spans="1:6" x14ac:dyDescent="0.25">
      <c r="A6605" t="s">
        <v>6511</v>
      </c>
      <c r="B6605" t="s">
        <v>656</v>
      </c>
      <c r="C6605" t="s">
        <v>657</v>
      </c>
      <c r="D6605" t="str">
        <f>HYPERLINK("http://service.sap.com/sap/support/notes/1786540","1786540")</f>
        <v>1786540</v>
      </c>
      <c r="E6605">
        <v>1</v>
      </c>
      <c r="F6605" t="s">
        <v>6567</v>
      </c>
    </row>
    <row r="6606" spans="1:6" x14ac:dyDescent="0.25">
      <c r="A6606" t="s">
        <v>6511</v>
      </c>
      <c r="B6606" t="s">
        <v>656</v>
      </c>
      <c r="C6606" t="s">
        <v>657</v>
      </c>
      <c r="D6606" t="str">
        <f>HYPERLINK("http://service.sap.com/sap/support/notes/1786839","1786839")</f>
        <v>1786839</v>
      </c>
      <c r="E6606">
        <v>1</v>
      </c>
      <c r="F6606" t="s">
        <v>6568</v>
      </c>
    </row>
    <row r="6607" spans="1:6" x14ac:dyDescent="0.25">
      <c r="A6607" t="s">
        <v>6511</v>
      </c>
      <c r="B6607" t="s">
        <v>656</v>
      </c>
      <c r="C6607" t="s">
        <v>657</v>
      </c>
      <c r="D6607" t="str">
        <f>HYPERLINK("http://service.sap.com/sap/support/notes/1789488","1789488")</f>
        <v>1789488</v>
      </c>
      <c r="E6607">
        <v>1</v>
      </c>
      <c r="F6607" t="s">
        <v>6569</v>
      </c>
    </row>
    <row r="6608" spans="1:6" x14ac:dyDescent="0.25">
      <c r="A6608" t="s">
        <v>6511</v>
      </c>
      <c r="B6608" t="s">
        <v>656</v>
      </c>
      <c r="C6608" t="s">
        <v>657</v>
      </c>
      <c r="D6608" t="str">
        <f>HYPERLINK("http://service.sap.com/sap/support/notes/1790288","1790288")</f>
        <v>1790288</v>
      </c>
      <c r="E6608">
        <v>1</v>
      </c>
      <c r="F6608" t="s">
        <v>6570</v>
      </c>
    </row>
    <row r="6609" spans="1:6" x14ac:dyDescent="0.25">
      <c r="A6609" t="s">
        <v>6511</v>
      </c>
      <c r="B6609" t="s">
        <v>656</v>
      </c>
      <c r="C6609" t="s">
        <v>657</v>
      </c>
      <c r="D6609" t="str">
        <f>HYPERLINK("http://service.sap.com/sap/support/notes/1790738","1790738")</f>
        <v>1790738</v>
      </c>
      <c r="E6609">
        <v>1</v>
      </c>
      <c r="F6609" t="s">
        <v>6571</v>
      </c>
    </row>
    <row r="6610" spans="1:6" x14ac:dyDescent="0.25">
      <c r="A6610" t="s">
        <v>6511</v>
      </c>
      <c r="B6610" t="s">
        <v>694</v>
      </c>
      <c r="C6610" t="s">
        <v>695</v>
      </c>
      <c r="D6610" t="str">
        <f>HYPERLINK("http://service.sap.com/sap/support/notes/1780621","1780621")</f>
        <v>1780621</v>
      </c>
      <c r="E6610">
        <v>2</v>
      </c>
      <c r="F6610" t="s">
        <v>6572</v>
      </c>
    </row>
    <row r="6611" spans="1:6" x14ac:dyDescent="0.25">
      <c r="A6611" t="s">
        <v>6511</v>
      </c>
      <c r="B6611" t="s">
        <v>694</v>
      </c>
      <c r="C6611" t="s">
        <v>695</v>
      </c>
      <c r="D6611" t="str">
        <f>HYPERLINK("http://service.sap.com/sap/support/notes/1785273","1785273")</f>
        <v>1785273</v>
      </c>
      <c r="E6611">
        <v>1</v>
      </c>
      <c r="F6611" t="s">
        <v>6573</v>
      </c>
    </row>
    <row r="6612" spans="1:6" x14ac:dyDescent="0.25">
      <c r="A6612" t="s">
        <v>6511</v>
      </c>
      <c r="B6612" t="s">
        <v>694</v>
      </c>
      <c r="C6612" t="s">
        <v>695</v>
      </c>
      <c r="D6612" t="str">
        <f>HYPERLINK("http://service.sap.com/sap/support/notes/1786854","1786854")</f>
        <v>1786854</v>
      </c>
      <c r="E6612">
        <v>4</v>
      </c>
      <c r="F6612" t="s">
        <v>6574</v>
      </c>
    </row>
    <row r="6613" spans="1:6" x14ac:dyDescent="0.25">
      <c r="A6613" t="s">
        <v>6511</v>
      </c>
      <c r="B6613" t="s">
        <v>5798</v>
      </c>
      <c r="C6613" t="s">
        <v>5799</v>
      </c>
      <c r="D6613" t="str">
        <f>HYPERLINK("http://service.sap.com/sap/support/notes/1783315","1783315")</f>
        <v>1783315</v>
      </c>
      <c r="E6613">
        <v>1</v>
      </c>
      <c r="F6613" t="s">
        <v>6575</v>
      </c>
    </row>
    <row r="6614" spans="1:6" x14ac:dyDescent="0.25">
      <c r="A6614" t="s">
        <v>6511</v>
      </c>
      <c r="B6614" t="s">
        <v>5798</v>
      </c>
      <c r="C6614" t="s">
        <v>5799</v>
      </c>
      <c r="D6614" t="str">
        <f>HYPERLINK("http://service.sap.com/sap/support/notes/1784617","1784617")</f>
        <v>1784617</v>
      </c>
      <c r="E6614">
        <v>1</v>
      </c>
      <c r="F6614" t="s">
        <v>6576</v>
      </c>
    </row>
    <row r="6615" spans="1:6" x14ac:dyDescent="0.25">
      <c r="A6615" t="s">
        <v>6511</v>
      </c>
      <c r="B6615" t="s">
        <v>24</v>
      </c>
      <c r="C6615" t="s">
        <v>10</v>
      </c>
    </row>
    <row r="6616" spans="1:6" x14ac:dyDescent="0.25">
      <c r="A6616" t="s">
        <v>6511</v>
      </c>
      <c r="B6616" t="s">
        <v>5505</v>
      </c>
      <c r="C6616" t="s">
        <v>5506</v>
      </c>
      <c r="D6616" t="str">
        <f>HYPERLINK("http://service.sap.com/sap/support/notes/1599754","1599754")</f>
        <v>1599754</v>
      </c>
      <c r="E6616">
        <v>4</v>
      </c>
      <c r="F6616" t="s">
        <v>6577</v>
      </c>
    </row>
    <row r="6617" spans="1:6" x14ac:dyDescent="0.25">
      <c r="A6617" t="s">
        <v>6511</v>
      </c>
      <c r="B6617" t="s">
        <v>5505</v>
      </c>
      <c r="C6617" t="s">
        <v>5506</v>
      </c>
      <c r="D6617" t="str">
        <f>HYPERLINK("http://service.sap.com/sap/support/notes/1714974","1714974")</f>
        <v>1714974</v>
      </c>
      <c r="E6617">
        <v>2</v>
      </c>
      <c r="F6617" t="s">
        <v>6578</v>
      </c>
    </row>
    <row r="6618" spans="1:6" x14ac:dyDescent="0.25">
      <c r="A6618" t="s">
        <v>6511</v>
      </c>
      <c r="B6618" t="s">
        <v>5505</v>
      </c>
      <c r="C6618" t="s">
        <v>5506</v>
      </c>
      <c r="D6618" t="str">
        <f>HYPERLINK("http://service.sap.com/sap/support/notes/1770246","1770246")</f>
        <v>1770246</v>
      </c>
      <c r="E6618">
        <v>4</v>
      </c>
      <c r="F6618" t="s">
        <v>6416</v>
      </c>
    </row>
    <row r="6619" spans="1:6" x14ac:dyDescent="0.25">
      <c r="A6619" t="s">
        <v>6511</v>
      </c>
      <c r="B6619" t="s">
        <v>5505</v>
      </c>
      <c r="C6619" t="s">
        <v>5506</v>
      </c>
      <c r="D6619" t="str">
        <f>HYPERLINK("http://service.sap.com/sap/support/notes/1772604","1772604")</f>
        <v>1772604</v>
      </c>
      <c r="E6619">
        <v>1</v>
      </c>
      <c r="F6619" t="s">
        <v>6579</v>
      </c>
    </row>
    <row r="6620" spans="1:6" x14ac:dyDescent="0.25">
      <c r="A6620" t="s">
        <v>6511</v>
      </c>
      <c r="B6620" t="s">
        <v>5505</v>
      </c>
      <c r="C6620" t="s">
        <v>5506</v>
      </c>
      <c r="D6620" t="str">
        <f>HYPERLINK("http://service.sap.com/sap/support/notes/1779623","1779623")</f>
        <v>1779623</v>
      </c>
      <c r="E6620">
        <v>2</v>
      </c>
      <c r="F6620" t="s">
        <v>6580</v>
      </c>
    </row>
    <row r="6621" spans="1:6" x14ac:dyDescent="0.25">
      <c r="A6621" t="s">
        <v>6511</v>
      </c>
      <c r="B6621" t="s">
        <v>5505</v>
      </c>
      <c r="C6621" t="s">
        <v>5506</v>
      </c>
      <c r="D6621" t="str">
        <f>HYPERLINK("http://service.sap.com/sap/support/notes/1780922","1780922")</f>
        <v>1780922</v>
      </c>
      <c r="E6621">
        <v>2</v>
      </c>
      <c r="F6621" t="s">
        <v>6581</v>
      </c>
    </row>
    <row r="6622" spans="1:6" x14ac:dyDescent="0.25">
      <c r="A6622" t="s">
        <v>6511</v>
      </c>
      <c r="B6622" t="s">
        <v>5505</v>
      </c>
      <c r="C6622" t="s">
        <v>5506</v>
      </c>
      <c r="D6622" t="str">
        <f>HYPERLINK("http://service.sap.com/sap/support/notes/1784998","1784998")</f>
        <v>1784998</v>
      </c>
      <c r="E6622">
        <v>1</v>
      </c>
      <c r="F6622" t="s">
        <v>6582</v>
      </c>
    </row>
    <row r="6623" spans="1:6" x14ac:dyDescent="0.25">
      <c r="A6623" t="s">
        <v>6511</v>
      </c>
      <c r="B6623" t="s">
        <v>503</v>
      </c>
      <c r="C6623" t="s">
        <v>504</v>
      </c>
      <c r="D6623" t="str">
        <f>HYPERLINK("http://service.sap.com/sap/support/notes/1790990","1790990")</f>
        <v>1790990</v>
      </c>
      <c r="E6623">
        <v>2</v>
      </c>
      <c r="F6623" t="s">
        <v>6583</v>
      </c>
    </row>
    <row r="6624" spans="1:6" x14ac:dyDescent="0.25">
      <c r="A6624" t="s">
        <v>6511</v>
      </c>
      <c r="B6624" t="s">
        <v>3243</v>
      </c>
      <c r="C6624" t="s">
        <v>6584</v>
      </c>
      <c r="D6624" t="str">
        <f>HYPERLINK("http://service.sap.com/sap/support/notes/1681086","1681086")</f>
        <v>1681086</v>
      </c>
      <c r="E6624">
        <v>2</v>
      </c>
      <c r="F6624" t="s">
        <v>6585</v>
      </c>
    </row>
    <row r="6625" spans="1:6" x14ac:dyDescent="0.25">
      <c r="A6625" t="s">
        <v>6511</v>
      </c>
      <c r="B6625" t="s">
        <v>5514</v>
      </c>
      <c r="C6625" t="s">
        <v>5515</v>
      </c>
      <c r="D6625" t="str">
        <f>HYPERLINK("http://service.sap.com/sap/support/notes/1735247","1735247")</f>
        <v>1735247</v>
      </c>
      <c r="E6625">
        <v>2</v>
      </c>
      <c r="F6625" t="s">
        <v>6586</v>
      </c>
    </row>
    <row r="6626" spans="1:6" x14ac:dyDescent="0.25">
      <c r="A6626" t="s">
        <v>6511</v>
      </c>
      <c r="B6626" t="s">
        <v>5514</v>
      </c>
      <c r="C6626" t="s">
        <v>5515</v>
      </c>
      <c r="D6626" t="str">
        <f>HYPERLINK("http://service.sap.com/sap/support/notes/1741866","1741866")</f>
        <v>1741866</v>
      </c>
      <c r="E6626">
        <v>3</v>
      </c>
      <c r="F6626" t="s">
        <v>6587</v>
      </c>
    </row>
    <row r="6627" spans="1:6" x14ac:dyDescent="0.25">
      <c r="A6627" t="s">
        <v>6511</v>
      </c>
      <c r="B6627" t="s">
        <v>5514</v>
      </c>
      <c r="C6627" t="s">
        <v>5515</v>
      </c>
      <c r="D6627" t="str">
        <f>HYPERLINK("http://service.sap.com/sap/support/notes/1773106","1773106")</f>
        <v>1773106</v>
      </c>
      <c r="E6627">
        <v>2</v>
      </c>
      <c r="F6627" t="s">
        <v>6588</v>
      </c>
    </row>
    <row r="6628" spans="1:6" x14ac:dyDescent="0.25">
      <c r="A6628" t="s">
        <v>6511</v>
      </c>
      <c r="B6628" t="s">
        <v>5514</v>
      </c>
      <c r="C6628" t="s">
        <v>5515</v>
      </c>
      <c r="D6628" t="str">
        <f>HYPERLINK("http://service.sap.com/sap/support/notes/1779520","1779520")</f>
        <v>1779520</v>
      </c>
      <c r="E6628">
        <v>4</v>
      </c>
      <c r="F6628" t="s">
        <v>6589</v>
      </c>
    </row>
    <row r="6629" spans="1:6" x14ac:dyDescent="0.25">
      <c r="A6629" t="s">
        <v>6511</v>
      </c>
      <c r="B6629" t="s">
        <v>5524</v>
      </c>
      <c r="C6629" t="s">
        <v>5525</v>
      </c>
      <c r="D6629" t="str">
        <f>HYPERLINK("http://service.sap.com/sap/support/notes/1721062","1721062")</f>
        <v>1721062</v>
      </c>
      <c r="E6629">
        <v>4</v>
      </c>
      <c r="F6629" t="s">
        <v>6590</v>
      </c>
    </row>
    <row r="6630" spans="1:6" x14ac:dyDescent="0.25">
      <c r="A6630" t="s">
        <v>6511</v>
      </c>
      <c r="B6630" t="s">
        <v>5524</v>
      </c>
      <c r="C6630" t="s">
        <v>5525</v>
      </c>
      <c r="D6630" t="str">
        <f>HYPERLINK("http://service.sap.com/sap/support/notes/1758145","1758145")</f>
        <v>1758145</v>
      </c>
      <c r="E6630">
        <v>2</v>
      </c>
      <c r="F6630" t="s">
        <v>6591</v>
      </c>
    </row>
    <row r="6631" spans="1:6" x14ac:dyDescent="0.25">
      <c r="A6631" t="s">
        <v>6511</v>
      </c>
      <c r="B6631" t="s">
        <v>5524</v>
      </c>
      <c r="C6631" t="s">
        <v>5525</v>
      </c>
      <c r="D6631" t="str">
        <f>HYPERLINK("http://service.sap.com/sap/support/notes/1776771","1776771")</f>
        <v>1776771</v>
      </c>
      <c r="E6631">
        <v>2</v>
      </c>
      <c r="F6631" t="s">
        <v>6592</v>
      </c>
    </row>
    <row r="6632" spans="1:6" x14ac:dyDescent="0.25">
      <c r="A6632" t="s">
        <v>6511</v>
      </c>
      <c r="B6632" t="s">
        <v>5524</v>
      </c>
      <c r="C6632" t="s">
        <v>5525</v>
      </c>
      <c r="D6632" t="str">
        <f>HYPERLINK("http://service.sap.com/sap/support/notes/1783394","1783394")</f>
        <v>1783394</v>
      </c>
      <c r="E6632">
        <v>2</v>
      </c>
      <c r="F6632" t="s">
        <v>6593</v>
      </c>
    </row>
    <row r="6633" spans="1:6" x14ac:dyDescent="0.25">
      <c r="A6633" t="s">
        <v>6511</v>
      </c>
      <c r="B6633" t="s">
        <v>6594</v>
      </c>
      <c r="C6633" t="s">
        <v>6595</v>
      </c>
      <c r="D6633" t="str">
        <f>HYPERLINK("http://service.sap.com/sap/support/notes/1787190","1787190")</f>
        <v>1787190</v>
      </c>
      <c r="E6633">
        <v>3</v>
      </c>
      <c r="F6633" t="s">
        <v>6596</v>
      </c>
    </row>
    <row r="6634" spans="1:6" x14ac:dyDescent="0.25">
      <c r="A6634" t="s">
        <v>6511</v>
      </c>
      <c r="B6634" t="s">
        <v>5536</v>
      </c>
      <c r="C6634" t="s">
        <v>5537</v>
      </c>
      <c r="D6634" t="str">
        <f>HYPERLINK("http://service.sap.com/sap/support/notes/1674089","1674089")</f>
        <v>1674089</v>
      </c>
      <c r="E6634">
        <v>4</v>
      </c>
      <c r="F6634" t="s">
        <v>6597</v>
      </c>
    </row>
    <row r="6635" spans="1:6" x14ac:dyDescent="0.25">
      <c r="A6635" t="s">
        <v>6511</v>
      </c>
      <c r="B6635" t="s">
        <v>5536</v>
      </c>
      <c r="C6635" t="s">
        <v>5537</v>
      </c>
      <c r="D6635" t="str">
        <f>HYPERLINK("http://service.sap.com/sap/support/notes/1775881","1775881")</f>
        <v>1775881</v>
      </c>
      <c r="E6635">
        <v>1</v>
      </c>
      <c r="F6635" t="s">
        <v>6598</v>
      </c>
    </row>
    <row r="6636" spans="1:6" x14ac:dyDescent="0.25">
      <c r="A6636" t="s">
        <v>6511</v>
      </c>
      <c r="B6636" t="s">
        <v>5536</v>
      </c>
      <c r="C6636" t="s">
        <v>5537</v>
      </c>
      <c r="D6636" t="str">
        <f>HYPERLINK("http://service.sap.com/sap/support/notes/1781046","1781046")</f>
        <v>1781046</v>
      </c>
      <c r="E6636">
        <v>1</v>
      </c>
      <c r="F6636" t="s">
        <v>6599</v>
      </c>
    </row>
    <row r="6637" spans="1:6" x14ac:dyDescent="0.25">
      <c r="A6637" t="s">
        <v>6511</v>
      </c>
      <c r="B6637" t="s">
        <v>5536</v>
      </c>
      <c r="C6637" t="s">
        <v>5537</v>
      </c>
      <c r="D6637" t="str">
        <f>HYPERLINK("http://service.sap.com/sap/support/notes/1791059","1791059")</f>
        <v>1791059</v>
      </c>
      <c r="E6637">
        <v>1</v>
      </c>
      <c r="F6637" t="s">
        <v>6600</v>
      </c>
    </row>
    <row r="6638" spans="1:6" x14ac:dyDescent="0.25">
      <c r="A6638" t="s">
        <v>6511</v>
      </c>
      <c r="B6638" t="s">
        <v>5539</v>
      </c>
      <c r="C6638" t="s">
        <v>5540</v>
      </c>
    </row>
    <row r="6639" spans="1:6" x14ac:dyDescent="0.25">
      <c r="A6639" t="s">
        <v>6511</v>
      </c>
      <c r="B6639" t="s">
        <v>5541</v>
      </c>
      <c r="C6639" t="s">
        <v>5542</v>
      </c>
      <c r="D6639" t="str">
        <f>HYPERLINK("http://service.sap.com/sap/support/notes/1765740","1765740")</f>
        <v>1765740</v>
      </c>
      <c r="E6639">
        <v>3</v>
      </c>
      <c r="F6639" t="s">
        <v>6601</v>
      </c>
    </row>
    <row r="6640" spans="1:6" x14ac:dyDescent="0.25">
      <c r="A6640" t="s">
        <v>6511</v>
      </c>
      <c r="B6640" t="s">
        <v>5546</v>
      </c>
      <c r="C6640" t="s">
        <v>5547</v>
      </c>
      <c r="D6640" t="str">
        <f>HYPERLINK("http://service.sap.com/sap/support/notes/1774671","1774671")</f>
        <v>1774671</v>
      </c>
      <c r="E6640">
        <v>1</v>
      </c>
      <c r="F6640" t="s">
        <v>6602</v>
      </c>
    </row>
    <row r="6641" spans="1:6" x14ac:dyDescent="0.25">
      <c r="A6641" t="s">
        <v>6511</v>
      </c>
      <c r="B6641" t="s">
        <v>5558</v>
      </c>
      <c r="C6641" t="s">
        <v>5559</v>
      </c>
      <c r="D6641" t="str">
        <f>HYPERLINK("http://service.sap.com/sap/support/notes/1741940","1741940")</f>
        <v>1741940</v>
      </c>
      <c r="E6641">
        <v>4</v>
      </c>
      <c r="F6641" t="s">
        <v>6603</v>
      </c>
    </row>
    <row r="6642" spans="1:6" x14ac:dyDescent="0.25">
      <c r="A6642" t="s">
        <v>6511</v>
      </c>
      <c r="B6642" t="s">
        <v>5558</v>
      </c>
      <c r="C6642" t="s">
        <v>5559</v>
      </c>
      <c r="D6642" t="str">
        <f>HYPERLINK("http://service.sap.com/sap/support/notes/1750604","1750604")</f>
        <v>1750604</v>
      </c>
      <c r="E6642">
        <v>2</v>
      </c>
      <c r="F6642" t="s">
        <v>6604</v>
      </c>
    </row>
    <row r="6643" spans="1:6" x14ac:dyDescent="0.25">
      <c r="A6643" t="s">
        <v>6511</v>
      </c>
      <c r="B6643" t="s">
        <v>510</v>
      </c>
      <c r="C6643" t="s">
        <v>5562</v>
      </c>
      <c r="D6643" t="str">
        <f>HYPERLINK("http://service.sap.com/sap/support/notes/1721509","1721509")</f>
        <v>1721509</v>
      </c>
      <c r="E6643">
        <v>1</v>
      </c>
      <c r="F6643" t="s">
        <v>6605</v>
      </c>
    </row>
    <row r="6644" spans="1:6" x14ac:dyDescent="0.25">
      <c r="A6644" t="s">
        <v>6511</v>
      </c>
      <c r="B6644" t="s">
        <v>25</v>
      </c>
      <c r="C6644" t="s">
        <v>26</v>
      </c>
    </row>
    <row r="6645" spans="1:6" x14ac:dyDescent="0.25">
      <c r="A6645" t="s">
        <v>6511</v>
      </c>
      <c r="B6645" t="s">
        <v>27</v>
      </c>
      <c r="C6645" t="s">
        <v>28</v>
      </c>
      <c r="D6645" t="str">
        <f>HYPERLINK("http://service.sap.com/sap/support/notes/1780769","1780769")</f>
        <v>1780769</v>
      </c>
      <c r="E6645">
        <v>3</v>
      </c>
      <c r="F6645" t="s">
        <v>6606</v>
      </c>
    </row>
    <row r="6646" spans="1:6" x14ac:dyDescent="0.25">
      <c r="A6646" t="s">
        <v>6511</v>
      </c>
      <c r="B6646" t="s">
        <v>642</v>
      </c>
      <c r="C6646" t="s">
        <v>145</v>
      </c>
      <c r="D6646" t="str">
        <f>HYPERLINK("http://service.sap.com/sap/support/notes/1773824","1773824")</f>
        <v>1773824</v>
      </c>
      <c r="E6646">
        <v>1</v>
      </c>
      <c r="F6646" t="s">
        <v>6431</v>
      </c>
    </row>
    <row r="6647" spans="1:6" x14ac:dyDescent="0.25">
      <c r="A6647" t="s">
        <v>6511</v>
      </c>
      <c r="B6647" t="s">
        <v>33</v>
      </c>
      <c r="C6647" t="s">
        <v>34</v>
      </c>
      <c r="D6647" t="str">
        <f>HYPERLINK("http://service.sap.com/sap/support/notes/1787011","1787011")</f>
        <v>1787011</v>
      </c>
      <c r="E6647">
        <v>2</v>
      </c>
      <c r="F6647" t="s">
        <v>6607</v>
      </c>
    </row>
    <row r="6648" spans="1:6" x14ac:dyDescent="0.25">
      <c r="A6648" t="s">
        <v>6511</v>
      </c>
      <c r="B6648" t="s">
        <v>33</v>
      </c>
      <c r="C6648" t="s">
        <v>34</v>
      </c>
      <c r="D6648" t="str">
        <f>HYPERLINK("http://service.sap.com/sap/support/notes/1789995","1789995")</f>
        <v>1789995</v>
      </c>
      <c r="E6648">
        <v>2</v>
      </c>
      <c r="F6648" t="s">
        <v>6608</v>
      </c>
    </row>
    <row r="6649" spans="1:6" x14ac:dyDescent="0.25">
      <c r="A6649" t="s">
        <v>6511</v>
      </c>
      <c r="B6649" t="s">
        <v>40</v>
      </c>
      <c r="C6649" t="s">
        <v>41</v>
      </c>
      <c r="D6649" t="str">
        <f>HYPERLINK("http://service.sap.com/sap/support/notes/1709245","1709245")</f>
        <v>1709245</v>
      </c>
      <c r="E6649">
        <v>2</v>
      </c>
      <c r="F6649" t="s">
        <v>790</v>
      </c>
    </row>
    <row r="6650" spans="1:6" x14ac:dyDescent="0.25">
      <c r="A6650" t="s">
        <v>6511</v>
      </c>
      <c r="B6650" t="s">
        <v>681</v>
      </c>
      <c r="C6650" t="s">
        <v>320</v>
      </c>
      <c r="D6650" t="str">
        <f>HYPERLINK("http://service.sap.com/sap/support/notes/1791168","1791168")</f>
        <v>1791168</v>
      </c>
      <c r="E6650">
        <v>1</v>
      </c>
      <c r="F6650" t="s">
        <v>6609</v>
      </c>
    </row>
    <row r="6651" spans="1:6" x14ac:dyDescent="0.25">
      <c r="A6651" t="s">
        <v>6511</v>
      </c>
      <c r="B6651" t="s">
        <v>47</v>
      </c>
      <c r="C6651" t="s">
        <v>48</v>
      </c>
      <c r="D6651" t="str">
        <f>HYPERLINK("http://service.sap.com/sap/support/notes/1753144","1753144")</f>
        <v>1753144</v>
      </c>
      <c r="E6651">
        <v>1</v>
      </c>
      <c r="F6651" t="s">
        <v>49</v>
      </c>
    </row>
    <row r="6652" spans="1:6" x14ac:dyDescent="0.25">
      <c r="A6652" t="s">
        <v>6511</v>
      </c>
      <c r="B6652" t="s">
        <v>47</v>
      </c>
      <c r="C6652" t="s">
        <v>48</v>
      </c>
      <c r="D6652" t="str">
        <f>HYPERLINK("http://service.sap.com/sap/support/notes/1778871","1778871")</f>
        <v>1778871</v>
      </c>
      <c r="E6652">
        <v>2</v>
      </c>
      <c r="F6652" t="s">
        <v>6610</v>
      </c>
    </row>
    <row r="6653" spans="1:6" x14ac:dyDescent="0.25">
      <c r="A6653" t="s">
        <v>6511</v>
      </c>
      <c r="B6653" t="s">
        <v>47</v>
      </c>
      <c r="C6653" t="s">
        <v>48</v>
      </c>
      <c r="D6653" t="str">
        <f>HYPERLINK("http://service.sap.com/sap/support/notes/1779930","1779930")</f>
        <v>1779930</v>
      </c>
      <c r="E6653">
        <v>1</v>
      </c>
      <c r="F6653" t="s">
        <v>806</v>
      </c>
    </row>
    <row r="6654" spans="1:6" x14ac:dyDescent="0.25">
      <c r="A6654" t="s">
        <v>6511</v>
      </c>
      <c r="B6654" t="s">
        <v>51</v>
      </c>
      <c r="C6654" t="s">
        <v>52</v>
      </c>
      <c r="D6654" t="str">
        <f>HYPERLINK("http://service.sap.com/sap/support/notes/1770117","1770117")</f>
        <v>1770117</v>
      </c>
      <c r="E6654">
        <v>2</v>
      </c>
      <c r="F6654" t="s">
        <v>6611</v>
      </c>
    </row>
    <row r="6655" spans="1:6" x14ac:dyDescent="0.25">
      <c r="A6655" t="s">
        <v>6511</v>
      </c>
      <c r="B6655" t="s">
        <v>524</v>
      </c>
      <c r="C6655" t="s">
        <v>345</v>
      </c>
      <c r="D6655" t="str">
        <f>HYPERLINK("http://service.sap.com/sap/support/notes/1756814","1756814")</f>
        <v>1756814</v>
      </c>
      <c r="E6655">
        <v>4</v>
      </c>
      <c r="F6655" t="s">
        <v>6612</v>
      </c>
    </row>
    <row r="6656" spans="1:6" x14ac:dyDescent="0.25">
      <c r="A6656" t="s">
        <v>6511</v>
      </c>
      <c r="B6656" t="s">
        <v>524</v>
      </c>
      <c r="C6656" t="s">
        <v>345</v>
      </c>
      <c r="D6656" t="str">
        <f>HYPERLINK("http://service.sap.com/sap/support/notes/1768729","1768729")</f>
        <v>1768729</v>
      </c>
      <c r="E6656">
        <v>1</v>
      </c>
      <c r="F6656" t="s">
        <v>6434</v>
      </c>
    </row>
    <row r="6657" spans="1:6" x14ac:dyDescent="0.25">
      <c r="A6657" t="s">
        <v>6511</v>
      </c>
      <c r="B6657" t="s">
        <v>524</v>
      </c>
      <c r="C6657" t="s">
        <v>345</v>
      </c>
      <c r="D6657" t="str">
        <f>HYPERLINK("http://service.sap.com/sap/support/notes/1789674","1789674")</f>
        <v>1789674</v>
      </c>
      <c r="E6657">
        <v>1</v>
      </c>
      <c r="F6657" t="s">
        <v>6613</v>
      </c>
    </row>
    <row r="6658" spans="1:6" x14ac:dyDescent="0.25">
      <c r="A6658" t="s">
        <v>6511</v>
      </c>
      <c r="B6658" t="s">
        <v>54</v>
      </c>
      <c r="C6658" t="s">
        <v>55</v>
      </c>
      <c r="D6658" t="str">
        <f>HYPERLINK("http://service.sap.com/sap/support/notes/1785076","1785076")</f>
        <v>1785076</v>
      </c>
      <c r="E6658">
        <v>1</v>
      </c>
      <c r="F6658" t="s">
        <v>813</v>
      </c>
    </row>
    <row r="6659" spans="1:6" x14ac:dyDescent="0.25">
      <c r="A6659" t="s">
        <v>6511</v>
      </c>
      <c r="B6659" t="s">
        <v>63</v>
      </c>
      <c r="C6659" t="s">
        <v>64</v>
      </c>
      <c r="D6659" t="str">
        <f>HYPERLINK("http://service.sap.com/sap/support/notes/1639654","1639654")</f>
        <v>1639654</v>
      </c>
      <c r="E6659">
        <v>2</v>
      </c>
      <c r="F6659" t="s">
        <v>643</v>
      </c>
    </row>
    <row r="6660" spans="1:6" x14ac:dyDescent="0.25">
      <c r="A6660" t="s">
        <v>6511</v>
      </c>
      <c r="B6660" t="s">
        <v>63</v>
      </c>
      <c r="C6660" t="s">
        <v>64</v>
      </c>
      <c r="D6660" t="str">
        <f>HYPERLINK("http://service.sap.com/sap/support/notes/1744322","1744322")</f>
        <v>1744322</v>
      </c>
      <c r="E6660">
        <v>1</v>
      </c>
      <c r="F6660" t="s">
        <v>66</v>
      </c>
    </row>
    <row r="6661" spans="1:6" x14ac:dyDescent="0.25">
      <c r="A6661" t="s">
        <v>6511</v>
      </c>
      <c r="B6661" t="s">
        <v>63</v>
      </c>
      <c r="C6661" t="s">
        <v>64</v>
      </c>
      <c r="D6661" t="str">
        <f>HYPERLINK("http://service.sap.com/sap/support/notes/1767726","1767726")</f>
        <v>1767726</v>
      </c>
      <c r="E6661">
        <v>3</v>
      </c>
      <c r="F6661" t="s">
        <v>6614</v>
      </c>
    </row>
    <row r="6662" spans="1:6" x14ac:dyDescent="0.25">
      <c r="A6662" t="s">
        <v>6511</v>
      </c>
      <c r="B6662" t="s">
        <v>63</v>
      </c>
      <c r="C6662" t="s">
        <v>64</v>
      </c>
      <c r="D6662" t="str">
        <f>HYPERLINK("http://service.sap.com/sap/support/notes/1776088","1776088")</f>
        <v>1776088</v>
      </c>
      <c r="E6662">
        <v>3</v>
      </c>
      <c r="F6662" t="s">
        <v>815</v>
      </c>
    </row>
    <row r="6663" spans="1:6" x14ac:dyDescent="0.25">
      <c r="A6663" t="s">
        <v>6511</v>
      </c>
      <c r="B6663" t="s">
        <v>63</v>
      </c>
      <c r="C6663" t="s">
        <v>64</v>
      </c>
      <c r="D6663" t="str">
        <f>HYPERLINK("http://service.sap.com/sap/support/notes/1779624","1779624")</f>
        <v>1779624</v>
      </c>
      <c r="E6663">
        <v>1</v>
      </c>
      <c r="F6663" t="s">
        <v>816</v>
      </c>
    </row>
    <row r="6664" spans="1:6" x14ac:dyDescent="0.25">
      <c r="A6664" t="s">
        <v>6511</v>
      </c>
      <c r="B6664" t="s">
        <v>63</v>
      </c>
      <c r="C6664" t="s">
        <v>64</v>
      </c>
      <c r="D6664" t="str">
        <f>HYPERLINK("http://service.sap.com/sap/support/notes/1783278","1783278")</f>
        <v>1783278</v>
      </c>
      <c r="E6664">
        <v>2</v>
      </c>
      <c r="F6664" t="s">
        <v>820</v>
      </c>
    </row>
    <row r="6665" spans="1:6" x14ac:dyDescent="0.25">
      <c r="A6665" t="s">
        <v>6511</v>
      </c>
      <c r="B6665" t="s">
        <v>63</v>
      </c>
      <c r="C6665" t="s">
        <v>64</v>
      </c>
      <c r="D6665" t="str">
        <f>HYPERLINK("http://service.sap.com/sap/support/notes/1786572","1786572")</f>
        <v>1786572</v>
      </c>
      <c r="E6665">
        <v>1</v>
      </c>
      <c r="F6665" t="s">
        <v>821</v>
      </c>
    </row>
    <row r="6666" spans="1:6" x14ac:dyDescent="0.25">
      <c r="A6666" t="s">
        <v>6511</v>
      </c>
      <c r="B6666" t="s">
        <v>63</v>
      </c>
      <c r="C6666" t="s">
        <v>64</v>
      </c>
      <c r="D6666" t="str">
        <f>HYPERLINK("http://service.sap.com/sap/support/notes/1788799","1788799")</f>
        <v>1788799</v>
      </c>
      <c r="E6666">
        <v>2</v>
      </c>
      <c r="F6666" t="s">
        <v>6615</v>
      </c>
    </row>
    <row r="6667" spans="1:6" x14ac:dyDescent="0.25">
      <c r="A6667" t="s">
        <v>6511</v>
      </c>
      <c r="B6667" t="s">
        <v>73</v>
      </c>
      <c r="C6667" t="s">
        <v>74</v>
      </c>
      <c r="D6667" t="str">
        <f>HYPERLINK("http://service.sap.com/sap/support/notes/1779317","1779317")</f>
        <v>1779317</v>
      </c>
      <c r="E6667">
        <v>1</v>
      </c>
      <c r="F6667" t="s">
        <v>6616</v>
      </c>
    </row>
    <row r="6668" spans="1:6" x14ac:dyDescent="0.25">
      <c r="A6668" t="s">
        <v>6511</v>
      </c>
      <c r="B6668" t="s">
        <v>73</v>
      </c>
      <c r="C6668" t="s">
        <v>74</v>
      </c>
      <c r="D6668" t="str">
        <f>HYPERLINK("http://service.sap.com/sap/support/notes/1780485","1780485")</f>
        <v>1780485</v>
      </c>
      <c r="E6668">
        <v>1</v>
      </c>
      <c r="F6668" t="s">
        <v>6617</v>
      </c>
    </row>
    <row r="6669" spans="1:6" x14ac:dyDescent="0.25">
      <c r="A6669" t="s">
        <v>6511</v>
      </c>
      <c r="B6669" t="s">
        <v>73</v>
      </c>
      <c r="C6669" t="s">
        <v>74</v>
      </c>
      <c r="D6669" t="str">
        <f>HYPERLINK("http://service.sap.com/sap/support/notes/1790444","1790444")</f>
        <v>1790444</v>
      </c>
      <c r="E6669">
        <v>1</v>
      </c>
      <c r="F6669" t="s">
        <v>6618</v>
      </c>
    </row>
    <row r="6670" spans="1:6" x14ac:dyDescent="0.25">
      <c r="A6670" t="s">
        <v>6511</v>
      </c>
      <c r="B6670" t="s">
        <v>6619</v>
      </c>
      <c r="C6670" t="s">
        <v>6620</v>
      </c>
      <c r="D6670" t="str">
        <f>HYPERLINK("http://service.sap.com/sap/support/notes/1668352","1668352")</f>
        <v>1668352</v>
      </c>
      <c r="E6670">
        <v>2</v>
      </c>
      <c r="F6670" t="s">
        <v>6621</v>
      </c>
    </row>
    <row r="6671" spans="1:6" x14ac:dyDescent="0.25">
      <c r="A6671" t="s">
        <v>6511</v>
      </c>
      <c r="B6671" t="s">
        <v>5580</v>
      </c>
      <c r="C6671" t="s">
        <v>5581</v>
      </c>
      <c r="D6671" t="str">
        <f>HYPERLINK("http://service.sap.com/sap/support/notes/1713317","1713317")</f>
        <v>1713317</v>
      </c>
      <c r="E6671">
        <v>2</v>
      </c>
      <c r="F6671" t="s">
        <v>6622</v>
      </c>
    </row>
    <row r="6672" spans="1:6" x14ac:dyDescent="0.25">
      <c r="A6672" t="s">
        <v>6511</v>
      </c>
      <c r="B6672" t="s">
        <v>531</v>
      </c>
      <c r="C6672" t="s">
        <v>532</v>
      </c>
      <c r="D6672" t="str">
        <f>HYPERLINK("http://service.sap.com/sap/support/notes/1724005","1724005")</f>
        <v>1724005</v>
      </c>
      <c r="E6672">
        <v>2</v>
      </c>
      <c r="F6672" t="s">
        <v>6623</v>
      </c>
    </row>
    <row r="6673" spans="1:6" x14ac:dyDescent="0.25">
      <c r="A6673" t="s">
        <v>6511</v>
      </c>
      <c r="B6673" t="s">
        <v>531</v>
      </c>
      <c r="C6673" t="s">
        <v>532</v>
      </c>
      <c r="D6673" t="str">
        <f>HYPERLINK("http://service.sap.com/sap/support/notes/1759142","1759142")</f>
        <v>1759142</v>
      </c>
      <c r="E6673">
        <v>2</v>
      </c>
      <c r="F6673" t="s">
        <v>869</v>
      </c>
    </row>
    <row r="6674" spans="1:6" x14ac:dyDescent="0.25">
      <c r="A6674" t="s">
        <v>6511</v>
      </c>
      <c r="B6674" t="s">
        <v>531</v>
      </c>
      <c r="C6674" t="s">
        <v>532</v>
      </c>
      <c r="D6674" t="str">
        <f>HYPERLINK("http://service.sap.com/sap/support/notes/1770252","1770252")</f>
        <v>1770252</v>
      </c>
      <c r="E6674">
        <v>1</v>
      </c>
      <c r="F6674" t="s">
        <v>881</v>
      </c>
    </row>
    <row r="6675" spans="1:6" x14ac:dyDescent="0.25">
      <c r="A6675" t="s">
        <v>6511</v>
      </c>
      <c r="B6675" t="s">
        <v>531</v>
      </c>
      <c r="C6675" t="s">
        <v>532</v>
      </c>
      <c r="D6675" t="str">
        <f>HYPERLINK("http://service.sap.com/sap/support/notes/1773472","1773472")</f>
        <v>1773472</v>
      </c>
      <c r="E6675">
        <v>1</v>
      </c>
      <c r="F6675" t="s">
        <v>6624</v>
      </c>
    </row>
    <row r="6676" spans="1:6" x14ac:dyDescent="0.25">
      <c r="A6676" t="s">
        <v>6511</v>
      </c>
      <c r="B6676" t="s">
        <v>531</v>
      </c>
      <c r="C6676" t="s">
        <v>532</v>
      </c>
      <c r="D6676" t="str">
        <f>HYPERLINK("http://service.sap.com/sap/support/notes/1779108","1779108")</f>
        <v>1779108</v>
      </c>
      <c r="E6676">
        <v>1</v>
      </c>
      <c r="F6676" t="s">
        <v>892</v>
      </c>
    </row>
    <row r="6677" spans="1:6" x14ac:dyDescent="0.25">
      <c r="A6677" t="s">
        <v>6511</v>
      </c>
      <c r="B6677" t="s">
        <v>531</v>
      </c>
      <c r="C6677" t="s">
        <v>532</v>
      </c>
      <c r="D6677" t="str">
        <f>HYPERLINK("http://service.sap.com/sap/support/notes/1780203","1780203")</f>
        <v>1780203</v>
      </c>
      <c r="E6677">
        <v>1</v>
      </c>
      <c r="F6677" t="s">
        <v>6625</v>
      </c>
    </row>
    <row r="6678" spans="1:6" x14ac:dyDescent="0.25">
      <c r="A6678" t="s">
        <v>6511</v>
      </c>
      <c r="B6678" t="s">
        <v>531</v>
      </c>
      <c r="C6678" t="s">
        <v>532</v>
      </c>
      <c r="D6678" t="str">
        <f>HYPERLINK("http://service.sap.com/sap/support/notes/1780656","1780656")</f>
        <v>1780656</v>
      </c>
      <c r="E6678">
        <v>3</v>
      </c>
      <c r="F6678" t="s">
        <v>6626</v>
      </c>
    </row>
    <row r="6679" spans="1:6" x14ac:dyDescent="0.25">
      <c r="A6679" t="s">
        <v>6511</v>
      </c>
      <c r="B6679" t="s">
        <v>531</v>
      </c>
      <c r="C6679" t="s">
        <v>532</v>
      </c>
      <c r="D6679" t="str">
        <f>HYPERLINK("http://service.sap.com/sap/support/notes/1783863","1783863")</f>
        <v>1783863</v>
      </c>
      <c r="E6679">
        <v>1</v>
      </c>
      <c r="F6679" t="s">
        <v>6627</v>
      </c>
    </row>
    <row r="6680" spans="1:6" x14ac:dyDescent="0.25">
      <c r="A6680" t="s">
        <v>6511</v>
      </c>
      <c r="B6680" t="s">
        <v>531</v>
      </c>
      <c r="C6680" t="s">
        <v>532</v>
      </c>
      <c r="D6680" t="str">
        <f>HYPERLINK("http://service.sap.com/sap/support/notes/1784582","1784582")</f>
        <v>1784582</v>
      </c>
      <c r="E6680">
        <v>2</v>
      </c>
      <c r="F6680" t="s">
        <v>6628</v>
      </c>
    </row>
    <row r="6681" spans="1:6" x14ac:dyDescent="0.25">
      <c r="A6681" t="s">
        <v>6511</v>
      </c>
      <c r="B6681" t="s">
        <v>6018</v>
      </c>
      <c r="C6681" t="s">
        <v>6019</v>
      </c>
      <c r="D6681" t="str">
        <f>HYPERLINK("http://service.sap.com/sap/support/notes/1749159","1749159")</f>
        <v>1749159</v>
      </c>
      <c r="E6681">
        <v>1</v>
      </c>
      <c r="F6681" t="s">
        <v>6024</v>
      </c>
    </row>
    <row r="6682" spans="1:6" x14ac:dyDescent="0.25">
      <c r="A6682" t="s">
        <v>6511</v>
      </c>
      <c r="B6682" t="s">
        <v>6018</v>
      </c>
      <c r="C6682" t="s">
        <v>6019</v>
      </c>
      <c r="D6682" t="str">
        <f>HYPERLINK("http://service.sap.com/sap/support/notes/1749161","1749161")</f>
        <v>1749161</v>
      </c>
      <c r="E6682">
        <v>1</v>
      </c>
      <c r="F6682" t="s">
        <v>6025</v>
      </c>
    </row>
    <row r="6683" spans="1:6" x14ac:dyDescent="0.25">
      <c r="A6683" t="s">
        <v>6511</v>
      </c>
      <c r="B6683" t="s">
        <v>6018</v>
      </c>
      <c r="C6683" t="s">
        <v>6019</v>
      </c>
      <c r="D6683" t="str">
        <f>HYPERLINK("http://service.sap.com/sap/support/notes/1770182","1770182")</f>
        <v>1770182</v>
      </c>
      <c r="E6683">
        <v>1</v>
      </c>
      <c r="F6683" t="s">
        <v>6443</v>
      </c>
    </row>
    <row r="6684" spans="1:6" x14ac:dyDescent="0.25">
      <c r="A6684" t="s">
        <v>6511</v>
      </c>
      <c r="B6684" t="s">
        <v>6018</v>
      </c>
      <c r="C6684" t="s">
        <v>6019</v>
      </c>
      <c r="D6684" t="str">
        <f>HYPERLINK("http://service.sap.com/sap/support/notes/1777859","1777859")</f>
        <v>1777859</v>
      </c>
      <c r="E6684">
        <v>1</v>
      </c>
      <c r="F6684" t="s">
        <v>6629</v>
      </c>
    </row>
    <row r="6685" spans="1:6" x14ac:dyDescent="0.25">
      <c r="A6685" t="s">
        <v>6511</v>
      </c>
      <c r="B6685" t="s">
        <v>6018</v>
      </c>
      <c r="C6685" t="s">
        <v>6019</v>
      </c>
      <c r="D6685" t="str">
        <f>HYPERLINK("http://service.sap.com/sap/support/notes/1784339","1784339")</f>
        <v>1784339</v>
      </c>
      <c r="E6685">
        <v>1</v>
      </c>
      <c r="F6685" t="s">
        <v>6630</v>
      </c>
    </row>
    <row r="6686" spans="1:6" x14ac:dyDescent="0.25">
      <c r="A6686" t="s">
        <v>6511</v>
      </c>
      <c r="B6686" t="s">
        <v>6018</v>
      </c>
      <c r="C6686" t="s">
        <v>6019</v>
      </c>
      <c r="D6686" t="str">
        <f>HYPERLINK("http://service.sap.com/sap/support/notes/1785796","1785796")</f>
        <v>1785796</v>
      </c>
      <c r="E6686">
        <v>1</v>
      </c>
      <c r="F6686" t="s">
        <v>6631</v>
      </c>
    </row>
    <row r="6687" spans="1:6" x14ac:dyDescent="0.25">
      <c r="A6687" t="s">
        <v>6511</v>
      </c>
      <c r="B6687" t="s">
        <v>6018</v>
      </c>
      <c r="C6687" t="s">
        <v>6019</v>
      </c>
      <c r="D6687" t="str">
        <f>HYPERLINK("http://service.sap.com/sap/support/notes/1789369","1789369")</f>
        <v>1789369</v>
      </c>
      <c r="E6687">
        <v>3</v>
      </c>
      <c r="F6687" t="s">
        <v>6632</v>
      </c>
    </row>
    <row r="6688" spans="1:6" x14ac:dyDescent="0.25">
      <c r="A6688" t="s">
        <v>6511</v>
      </c>
      <c r="B6688" t="s">
        <v>536</v>
      </c>
      <c r="C6688" t="s">
        <v>537</v>
      </c>
    </row>
    <row r="6689" spans="1:6" x14ac:dyDescent="0.25">
      <c r="A6689" t="s">
        <v>6511</v>
      </c>
      <c r="B6689" t="s">
        <v>5594</v>
      </c>
      <c r="C6689" t="s">
        <v>5595</v>
      </c>
      <c r="D6689" t="str">
        <f>HYPERLINK("http://service.sap.com/sap/support/notes/1770840","1770840")</f>
        <v>1770840</v>
      </c>
      <c r="E6689">
        <v>1</v>
      </c>
      <c r="F6689" t="s">
        <v>6633</v>
      </c>
    </row>
    <row r="6690" spans="1:6" x14ac:dyDescent="0.25">
      <c r="A6690" t="s">
        <v>6511</v>
      </c>
      <c r="B6690" t="s">
        <v>540</v>
      </c>
      <c r="C6690" t="s">
        <v>541</v>
      </c>
    </row>
    <row r="6691" spans="1:6" x14ac:dyDescent="0.25">
      <c r="A6691" t="s">
        <v>6511</v>
      </c>
      <c r="B6691" t="s">
        <v>542</v>
      </c>
      <c r="C6691" t="s">
        <v>5604</v>
      </c>
      <c r="D6691" t="str">
        <f>HYPERLINK("http://service.sap.com/sap/support/notes/1731288","1731288")</f>
        <v>1731288</v>
      </c>
      <c r="E6691">
        <v>2</v>
      </c>
      <c r="F6691" t="s">
        <v>6634</v>
      </c>
    </row>
    <row r="6692" spans="1:6" x14ac:dyDescent="0.25">
      <c r="A6692" t="s">
        <v>6511</v>
      </c>
      <c r="B6692" t="s">
        <v>542</v>
      </c>
      <c r="C6692" t="s">
        <v>5604</v>
      </c>
      <c r="D6692" t="str">
        <f>HYPERLINK("http://service.sap.com/sap/support/notes/1733278","1733278")</f>
        <v>1733278</v>
      </c>
      <c r="E6692">
        <v>9</v>
      </c>
      <c r="F6692" t="s">
        <v>6039</v>
      </c>
    </row>
    <row r="6693" spans="1:6" x14ac:dyDescent="0.25">
      <c r="A6693" t="s">
        <v>6511</v>
      </c>
      <c r="B6693" t="s">
        <v>542</v>
      </c>
      <c r="C6693" t="s">
        <v>5604</v>
      </c>
      <c r="D6693" t="str">
        <f>HYPERLINK("http://service.sap.com/sap/support/notes/1768108","1768108")</f>
        <v>1768108</v>
      </c>
      <c r="E6693">
        <v>1</v>
      </c>
      <c r="F6693" t="s">
        <v>6635</v>
      </c>
    </row>
    <row r="6694" spans="1:6" x14ac:dyDescent="0.25">
      <c r="A6694" t="s">
        <v>6511</v>
      </c>
      <c r="B6694" t="s">
        <v>544</v>
      </c>
      <c r="C6694" t="s">
        <v>5610</v>
      </c>
      <c r="D6694" t="str">
        <f>HYPERLINK("http://service.sap.com/sap/support/notes/1660389","1660389")</f>
        <v>1660389</v>
      </c>
      <c r="E6694">
        <v>5</v>
      </c>
      <c r="F6694" t="s">
        <v>6636</v>
      </c>
    </row>
    <row r="6695" spans="1:6" x14ac:dyDescent="0.25">
      <c r="A6695" t="s">
        <v>6511</v>
      </c>
      <c r="B6695" t="s">
        <v>544</v>
      </c>
      <c r="C6695" t="s">
        <v>5610</v>
      </c>
      <c r="D6695" t="str">
        <f>HYPERLINK("http://service.sap.com/sap/support/notes/1690195","1690195")</f>
        <v>1690195</v>
      </c>
      <c r="E6695">
        <v>11</v>
      </c>
      <c r="F6695" t="s">
        <v>6637</v>
      </c>
    </row>
    <row r="6696" spans="1:6" x14ac:dyDescent="0.25">
      <c r="A6696" t="s">
        <v>6511</v>
      </c>
      <c r="B6696" t="s">
        <v>5615</v>
      </c>
      <c r="C6696" t="s">
        <v>5616</v>
      </c>
      <c r="D6696" t="str">
        <f>HYPERLINK("http://service.sap.com/sap/support/notes/1778011","1778011")</f>
        <v>1778011</v>
      </c>
      <c r="E6696">
        <v>2</v>
      </c>
      <c r="F6696" t="s">
        <v>6638</v>
      </c>
    </row>
    <row r="6697" spans="1:6" x14ac:dyDescent="0.25">
      <c r="A6697" t="s">
        <v>6511</v>
      </c>
      <c r="B6697" t="s">
        <v>5615</v>
      </c>
      <c r="C6697" t="s">
        <v>5616</v>
      </c>
      <c r="D6697" t="str">
        <f>HYPERLINK("http://service.sap.com/sap/support/notes/1779439","1779439")</f>
        <v>1779439</v>
      </c>
      <c r="E6697">
        <v>1</v>
      </c>
      <c r="F6697" t="s">
        <v>6639</v>
      </c>
    </row>
    <row r="6698" spans="1:6" x14ac:dyDescent="0.25">
      <c r="A6698" t="s">
        <v>6511</v>
      </c>
      <c r="B6698" t="s">
        <v>5615</v>
      </c>
      <c r="C6698" t="s">
        <v>5616</v>
      </c>
      <c r="D6698" t="str">
        <f>HYPERLINK("http://service.sap.com/sap/support/notes/1780097","1780097")</f>
        <v>1780097</v>
      </c>
      <c r="E6698">
        <v>1</v>
      </c>
      <c r="F6698" t="s">
        <v>6640</v>
      </c>
    </row>
    <row r="6699" spans="1:6" x14ac:dyDescent="0.25">
      <c r="A6699" t="s">
        <v>6511</v>
      </c>
      <c r="B6699" t="s">
        <v>5615</v>
      </c>
      <c r="C6699" t="s">
        <v>5616</v>
      </c>
      <c r="D6699" t="str">
        <f>HYPERLINK("http://service.sap.com/sap/support/notes/1780700","1780700")</f>
        <v>1780700</v>
      </c>
      <c r="E6699">
        <v>1</v>
      </c>
      <c r="F6699" t="s">
        <v>6641</v>
      </c>
    </row>
    <row r="6700" spans="1:6" x14ac:dyDescent="0.25">
      <c r="A6700" t="s">
        <v>6511</v>
      </c>
      <c r="B6700" t="s">
        <v>5615</v>
      </c>
      <c r="C6700" t="s">
        <v>5616</v>
      </c>
      <c r="D6700" t="str">
        <f>HYPERLINK("http://service.sap.com/sap/support/notes/1786953","1786953")</f>
        <v>1786953</v>
      </c>
      <c r="E6700">
        <v>1</v>
      </c>
      <c r="F6700" t="s">
        <v>6642</v>
      </c>
    </row>
    <row r="6701" spans="1:6" x14ac:dyDescent="0.25">
      <c r="A6701" t="s">
        <v>6511</v>
      </c>
      <c r="B6701" t="s">
        <v>85</v>
      </c>
      <c r="C6701" t="s">
        <v>86</v>
      </c>
    </row>
    <row r="6702" spans="1:6" x14ac:dyDescent="0.25">
      <c r="A6702" t="s">
        <v>6511</v>
      </c>
      <c r="B6702" t="s">
        <v>696</v>
      </c>
      <c r="C6702" t="s">
        <v>697</v>
      </c>
    </row>
    <row r="6703" spans="1:6" x14ac:dyDescent="0.25">
      <c r="A6703" t="s">
        <v>6511</v>
      </c>
      <c r="B6703" t="s">
        <v>6056</v>
      </c>
      <c r="C6703" t="s">
        <v>6057</v>
      </c>
      <c r="D6703" t="str">
        <f>HYPERLINK("http://service.sap.com/sap/support/notes/1775509","1775509")</f>
        <v>1775509</v>
      </c>
      <c r="E6703">
        <v>2</v>
      </c>
      <c r="F6703" t="s">
        <v>6643</v>
      </c>
    </row>
    <row r="6704" spans="1:6" x14ac:dyDescent="0.25">
      <c r="A6704" t="s">
        <v>6511</v>
      </c>
      <c r="B6704" t="s">
        <v>3380</v>
      </c>
      <c r="C6704" t="s">
        <v>3381</v>
      </c>
      <c r="D6704" t="str">
        <f>HYPERLINK("http://service.sap.com/sap/support/notes/1785820","1785820")</f>
        <v>1785820</v>
      </c>
      <c r="E6704">
        <v>1</v>
      </c>
      <c r="F6704" t="s">
        <v>6644</v>
      </c>
    </row>
    <row r="6705" spans="1:6" x14ac:dyDescent="0.25">
      <c r="A6705" t="s">
        <v>6511</v>
      </c>
      <c r="B6705" t="s">
        <v>698</v>
      </c>
      <c r="C6705" t="s">
        <v>699</v>
      </c>
      <c r="D6705" t="str">
        <f>HYPERLINK("http://service.sap.com/sap/support/notes/1593410","1593410")</f>
        <v>1593410</v>
      </c>
      <c r="E6705">
        <v>12</v>
      </c>
      <c r="F6705" t="s">
        <v>6645</v>
      </c>
    </row>
    <row r="6706" spans="1:6" x14ac:dyDescent="0.25">
      <c r="A6706" t="s">
        <v>6511</v>
      </c>
      <c r="B6706" t="s">
        <v>698</v>
      </c>
      <c r="C6706" t="s">
        <v>699</v>
      </c>
      <c r="D6706" t="str">
        <f>HYPERLINK("http://service.sap.com/sap/support/notes/1766002","1766002")</f>
        <v>1766002</v>
      </c>
      <c r="E6706">
        <v>3</v>
      </c>
      <c r="F6706" t="s">
        <v>6646</v>
      </c>
    </row>
    <row r="6707" spans="1:6" x14ac:dyDescent="0.25">
      <c r="A6707" t="s">
        <v>6511</v>
      </c>
      <c r="B6707" t="s">
        <v>698</v>
      </c>
      <c r="C6707" t="s">
        <v>699</v>
      </c>
      <c r="D6707" t="str">
        <f>HYPERLINK("http://service.sap.com/sap/support/notes/1776681","1776681")</f>
        <v>1776681</v>
      </c>
      <c r="E6707">
        <v>1</v>
      </c>
      <c r="F6707" t="s">
        <v>6647</v>
      </c>
    </row>
    <row r="6708" spans="1:6" x14ac:dyDescent="0.25">
      <c r="A6708" t="s">
        <v>6511</v>
      </c>
      <c r="B6708" t="s">
        <v>90</v>
      </c>
      <c r="C6708" t="s">
        <v>13</v>
      </c>
    </row>
    <row r="6709" spans="1:6" x14ac:dyDescent="0.25">
      <c r="A6709" t="s">
        <v>6511</v>
      </c>
      <c r="B6709" t="s">
        <v>557</v>
      </c>
      <c r="C6709" t="s">
        <v>646</v>
      </c>
    </row>
    <row r="6710" spans="1:6" x14ac:dyDescent="0.25">
      <c r="A6710" t="s">
        <v>6511</v>
      </c>
      <c r="B6710" t="s">
        <v>563</v>
      </c>
      <c r="C6710" t="s">
        <v>564</v>
      </c>
    </row>
    <row r="6711" spans="1:6" x14ac:dyDescent="0.25">
      <c r="A6711" t="s">
        <v>6511</v>
      </c>
      <c r="B6711" t="s">
        <v>647</v>
      </c>
      <c r="C6711" t="s">
        <v>648</v>
      </c>
      <c r="D6711" t="str">
        <f>HYPERLINK("http://service.sap.com/sap/support/notes/1720120","1720120")</f>
        <v>1720120</v>
      </c>
      <c r="E6711">
        <v>3</v>
      </c>
      <c r="F6711" t="s">
        <v>6648</v>
      </c>
    </row>
    <row r="6712" spans="1:6" x14ac:dyDescent="0.25">
      <c r="A6712" t="s">
        <v>6511</v>
      </c>
      <c r="B6712" t="s">
        <v>647</v>
      </c>
      <c r="C6712" t="s">
        <v>648</v>
      </c>
      <c r="D6712" t="str">
        <f>HYPERLINK("http://service.sap.com/sap/support/notes/1746000","1746000")</f>
        <v>1746000</v>
      </c>
      <c r="E6712">
        <v>2</v>
      </c>
      <c r="F6712" t="s">
        <v>6649</v>
      </c>
    </row>
    <row r="6713" spans="1:6" x14ac:dyDescent="0.25">
      <c r="A6713" t="s">
        <v>6511</v>
      </c>
      <c r="B6713" t="s">
        <v>647</v>
      </c>
      <c r="C6713" t="s">
        <v>648</v>
      </c>
      <c r="D6713" t="str">
        <f>HYPERLINK("http://service.sap.com/sap/support/notes/1748874","1748874")</f>
        <v>1748874</v>
      </c>
      <c r="E6713">
        <v>1</v>
      </c>
      <c r="F6713" t="s">
        <v>6650</v>
      </c>
    </row>
    <row r="6714" spans="1:6" x14ac:dyDescent="0.25">
      <c r="A6714" t="s">
        <v>6511</v>
      </c>
      <c r="B6714" t="s">
        <v>647</v>
      </c>
      <c r="C6714" t="s">
        <v>648</v>
      </c>
      <c r="D6714" t="str">
        <f>HYPERLINK("http://service.sap.com/sap/support/notes/1751081","1751081")</f>
        <v>1751081</v>
      </c>
      <c r="E6714">
        <v>1</v>
      </c>
      <c r="F6714" t="s">
        <v>6651</v>
      </c>
    </row>
    <row r="6715" spans="1:6" x14ac:dyDescent="0.25">
      <c r="A6715" t="s">
        <v>6511</v>
      </c>
      <c r="B6715" t="s">
        <v>647</v>
      </c>
      <c r="C6715" t="s">
        <v>648</v>
      </c>
      <c r="D6715" t="str">
        <f>HYPERLINK("http://service.sap.com/sap/support/notes/1753212","1753212")</f>
        <v>1753212</v>
      </c>
      <c r="E6715">
        <v>3</v>
      </c>
      <c r="F6715" t="s">
        <v>6652</v>
      </c>
    </row>
    <row r="6716" spans="1:6" x14ac:dyDescent="0.25">
      <c r="A6716" t="s">
        <v>6511</v>
      </c>
      <c r="B6716" t="s">
        <v>647</v>
      </c>
      <c r="C6716" t="s">
        <v>648</v>
      </c>
      <c r="D6716" t="str">
        <f>HYPERLINK("http://service.sap.com/sap/support/notes/1758910","1758910")</f>
        <v>1758910</v>
      </c>
      <c r="E6716">
        <v>2</v>
      </c>
      <c r="F6716" t="s">
        <v>6653</v>
      </c>
    </row>
    <row r="6717" spans="1:6" x14ac:dyDescent="0.25">
      <c r="A6717" t="s">
        <v>6511</v>
      </c>
      <c r="B6717" t="s">
        <v>647</v>
      </c>
      <c r="C6717" t="s">
        <v>648</v>
      </c>
      <c r="D6717" t="str">
        <f>HYPERLINK("http://service.sap.com/sap/support/notes/1775051","1775051")</f>
        <v>1775051</v>
      </c>
      <c r="E6717">
        <v>1</v>
      </c>
      <c r="F6717" t="s">
        <v>6654</v>
      </c>
    </row>
    <row r="6718" spans="1:6" x14ac:dyDescent="0.25">
      <c r="A6718" t="s">
        <v>6511</v>
      </c>
      <c r="B6718" t="s">
        <v>647</v>
      </c>
      <c r="C6718" t="s">
        <v>648</v>
      </c>
      <c r="D6718" t="str">
        <f>HYPERLINK("http://service.sap.com/sap/support/notes/1778228","1778228")</f>
        <v>1778228</v>
      </c>
      <c r="E6718">
        <v>1</v>
      </c>
      <c r="F6718" t="s">
        <v>6655</v>
      </c>
    </row>
    <row r="6719" spans="1:6" x14ac:dyDescent="0.25">
      <c r="A6719" t="s">
        <v>6511</v>
      </c>
      <c r="B6719" t="s">
        <v>647</v>
      </c>
      <c r="C6719" t="s">
        <v>648</v>
      </c>
      <c r="D6719" t="str">
        <f>HYPERLINK("http://service.sap.com/sap/support/notes/1782076","1782076")</f>
        <v>1782076</v>
      </c>
      <c r="E6719">
        <v>5</v>
      </c>
      <c r="F6719" t="s">
        <v>6656</v>
      </c>
    </row>
    <row r="6720" spans="1:6" x14ac:dyDescent="0.25">
      <c r="A6720" t="s">
        <v>6511</v>
      </c>
      <c r="B6720" t="s">
        <v>647</v>
      </c>
      <c r="C6720" t="s">
        <v>648</v>
      </c>
      <c r="D6720" t="str">
        <f>HYPERLINK("http://service.sap.com/sap/support/notes/1785285","1785285")</f>
        <v>1785285</v>
      </c>
      <c r="E6720">
        <v>5</v>
      </c>
      <c r="F6720" t="s">
        <v>6657</v>
      </c>
    </row>
    <row r="6721" spans="1:6" x14ac:dyDescent="0.25">
      <c r="A6721" t="s">
        <v>6511</v>
      </c>
      <c r="B6721" t="s">
        <v>647</v>
      </c>
      <c r="C6721" t="s">
        <v>648</v>
      </c>
      <c r="D6721" t="str">
        <f>HYPERLINK("http://service.sap.com/sap/support/notes/1789655","1789655")</f>
        <v>1789655</v>
      </c>
      <c r="E6721">
        <v>2</v>
      </c>
      <c r="F6721" t="s">
        <v>6658</v>
      </c>
    </row>
    <row r="6722" spans="1:6" x14ac:dyDescent="0.25">
      <c r="A6722" t="s">
        <v>6511</v>
      </c>
      <c r="B6722" t="s">
        <v>95</v>
      </c>
      <c r="C6722" t="s">
        <v>96</v>
      </c>
    </row>
    <row r="6723" spans="1:6" x14ac:dyDescent="0.25">
      <c r="A6723" t="s">
        <v>6511</v>
      </c>
      <c r="B6723" t="s">
        <v>114</v>
      </c>
      <c r="C6723" t="s">
        <v>115</v>
      </c>
      <c r="D6723" t="str">
        <f>HYPERLINK("http://service.sap.com/sap/support/notes/1776000","1776000")</f>
        <v>1776000</v>
      </c>
      <c r="E6723">
        <v>1</v>
      </c>
      <c r="F6723" t="s">
        <v>1002</v>
      </c>
    </row>
    <row r="6724" spans="1:6" x14ac:dyDescent="0.25">
      <c r="A6724" t="s">
        <v>6511</v>
      </c>
      <c r="B6724" t="s">
        <v>114</v>
      </c>
      <c r="C6724" t="s">
        <v>115</v>
      </c>
      <c r="D6724" t="str">
        <f>HYPERLINK("http://service.sap.com/sap/support/notes/1783434","1783434")</f>
        <v>1783434</v>
      </c>
      <c r="E6724">
        <v>1</v>
      </c>
      <c r="F6724" t="s">
        <v>1006</v>
      </c>
    </row>
    <row r="6725" spans="1:6" x14ac:dyDescent="0.25">
      <c r="A6725" t="s">
        <v>6511</v>
      </c>
      <c r="B6725" t="s">
        <v>114</v>
      </c>
      <c r="C6725" t="s">
        <v>115</v>
      </c>
      <c r="D6725" t="str">
        <f>HYPERLINK("http://service.sap.com/sap/support/notes/1783854","1783854")</f>
        <v>1783854</v>
      </c>
      <c r="E6725">
        <v>1</v>
      </c>
      <c r="F6725" t="s">
        <v>1007</v>
      </c>
    </row>
    <row r="6726" spans="1:6" x14ac:dyDescent="0.25">
      <c r="A6726" t="s">
        <v>6511</v>
      </c>
      <c r="B6726" t="s">
        <v>114</v>
      </c>
      <c r="C6726" t="s">
        <v>115</v>
      </c>
      <c r="D6726" t="str">
        <f>HYPERLINK("http://service.sap.com/sap/support/notes/1783939","1783939")</f>
        <v>1783939</v>
      </c>
      <c r="E6726">
        <v>1</v>
      </c>
      <c r="F6726" t="s">
        <v>1008</v>
      </c>
    </row>
    <row r="6727" spans="1:6" x14ac:dyDescent="0.25">
      <c r="A6727" t="s">
        <v>6511</v>
      </c>
      <c r="B6727" t="s">
        <v>114</v>
      </c>
      <c r="C6727" t="s">
        <v>115</v>
      </c>
      <c r="D6727" t="str">
        <f>HYPERLINK("http://service.sap.com/sap/support/notes/1788724","1788724")</f>
        <v>1788724</v>
      </c>
      <c r="E6727">
        <v>1</v>
      </c>
      <c r="F6727" t="s">
        <v>1011</v>
      </c>
    </row>
    <row r="6728" spans="1:6" x14ac:dyDescent="0.25">
      <c r="A6728" t="s">
        <v>6511</v>
      </c>
      <c r="B6728" t="s">
        <v>685</v>
      </c>
      <c r="C6728" t="s">
        <v>686</v>
      </c>
      <c r="D6728" t="str">
        <f>HYPERLINK("http://service.sap.com/sap/support/notes/1780232","1780232")</f>
        <v>1780232</v>
      </c>
      <c r="E6728">
        <v>2</v>
      </c>
      <c r="F6728" t="s">
        <v>6659</v>
      </c>
    </row>
    <row r="6729" spans="1:6" x14ac:dyDescent="0.25">
      <c r="A6729" t="s">
        <v>6511</v>
      </c>
      <c r="B6729" t="s">
        <v>685</v>
      </c>
      <c r="C6729" t="s">
        <v>686</v>
      </c>
      <c r="D6729" t="str">
        <f>HYPERLINK("http://service.sap.com/sap/support/notes/1780507","1780507")</f>
        <v>1780507</v>
      </c>
      <c r="E6729">
        <v>1</v>
      </c>
      <c r="F6729" t="s">
        <v>6660</v>
      </c>
    </row>
    <row r="6730" spans="1:6" x14ac:dyDescent="0.25">
      <c r="A6730" t="s">
        <v>6511</v>
      </c>
      <c r="B6730" t="s">
        <v>685</v>
      </c>
      <c r="C6730" t="s">
        <v>686</v>
      </c>
      <c r="D6730" t="str">
        <f>HYPERLINK("http://service.sap.com/sap/support/notes/1782080","1782080")</f>
        <v>1782080</v>
      </c>
      <c r="E6730">
        <v>1</v>
      </c>
      <c r="F6730" t="s">
        <v>6661</v>
      </c>
    </row>
    <row r="6731" spans="1:6" x14ac:dyDescent="0.25">
      <c r="A6731" t="s">
        <v>6511</v>
      </c>
      <c r="B6731" t="s">
        <v>685</v>
      </c>
      <c r="C6731" t="s">
        <v>686</v>
      </c>
      <c r="D6731" t="str">
        <f>HYPERLINK("http://service.sap.com/sap/support/notes/1787636","1787636")</f>
        <v>1787636</v>
      </c>
      <c r="E6731">
        <v>1</v>
      </c>
      <c r="F6731" t="s">
        <v>6662</v>
      </c>
    </row>
    <row r="6732" spans="1:6" x14ac:dyDescent="0.25">
      <c r="A6732" t="s">
        <v>6511</v>
      </c>
      <c r="B6732" t="s">
        <v>685</v>
      </c>
      <c r="C6732" t="s">
        <v>686</v>
      </c>
      <c r="D6732" t="str">
        <f>HYPERLINK("http://service.sap.com/sap/support/notes/1787852","1787852")</f>
        <v>1787852</v>
      </c>
      <c r="E6732">
        <v>1</v>
      </c>
      <c r="F6732" t="s">
        <v>6663</v>
      </c>
    </row>
    <row r="6733" spans="1:6" x14ac:dyDescent="0.25">
      <c r="A6733" t="s">
        <v>6511</v>
      </c>
      <c r="B6733" t="s">
        <v>685</v>
      </c>
      <c r="C6733" t="s">
        <v>686</v>
      </c>
      <c r="D6733" t="str">
        <f>HYPERLINK("http://service.sap.com/sap/support/notes/1789479","1789479")</f>
        <v>1789479</v>
      </c>
      <c r="E6733">
        <v>1</v>
      </c>
      <c r="F6733" t="s">
        <v>6664</v>
      </c>
    </row>
    <row r="6734" spans="1:6" x14ac:dyDescent="0.25">
      <c r="A6734" t="s">
        <v>6511</v>
      </c>
      <c r="B6734" t="s">
        <v>150</v>
      </c>
      <c r="C6734" t="s">
        <v>151</v>
      </c>
      <c r="D6734" t="str">
        <f>HYPERLINK("http://service.sap.com/sap/support/notes/1742167","1742167")</f>
        <v>1742167</v>
      </c>
      <c r="E6734">
        <v>2</v>
      </c>
      <c r="F6734" t="s">
        <v>6665</v>
      </c>
    </row>
    <row r="6735" spans="1:6" x14ac:dyDescent="0.25">
      <c r="A6735" t="s">
        <v>6511</v>
      </c>
      <c r="B6735" t="s">
        <v>159</v>
      </c>
      <c r="C6735" t="s">
        <v>160</v>
      </c>
      <c r="D6735" t="str">
        <f>HYPERLINK("http://service.sap.com/sap/support/notes/1686961","1686961")</f>
        <v>1686961</v>
      </c>
      <c r="E6735">
        <v>1</v>
      </c>
      <c r="F6735" t="s">
        <v>6666</v>
      </c>
    </row>
    <row r="6736" spans="1:6" x14ac:dyDescent="0.25">
      <c r="A6736" t="s">
        <v>6511</v>
      </c>
      <c r="B6736" t="s">
        <v>159</v>
      </c>
      <c r="C6736" t="s">
        <v>160</v>
      </c>
      <c r="D6736" t="str">
        <f>HYPERLINK("http://service.sap.com/sap/support/notes/1767965","1767965")</f>
        <v>1767965</v>
      </c>
      <c r="E6736">
        <v>1</v>
      </c>
      <c r="F6736" t="s">
        <v>164</v>
      </c>
    </row>
    <row r="6737" spans="1:6" x14ac:dyDescent="0.25">
      <c r="A6737" t="s">
        <v>6511</v>
      </c>
      <c r="B6737" t="s">
        <v>175</v>
      </c>
      <c r="C6737" t="s">
        <v>176</v>
      </c>
    </row>
    <row r="6738" spans="1:6" x14ac:dyDescent="0.25">
      <c r="A6738" t="s">
        <v>6511</v>
      </c>
      <c r="B6738" t="s">
        <v>183</v>
      </c>
      <c r="C6738" t="s">
        <v>184</v>
      </c>
    </row>
    <row r="6739" spans="1:6" x14ac:dyDescent="0.25">
      <c r="A6739" t="s">
        <v>6511</v>
      </c>
      <c r="B6739" t="s">
        <v>578</v>
      </c>
      <c r="C6739" t="s">
        <v>4485</v>
      </c>
      <c r="D6739" t="str">
        <f>HYPERLINK("http://service.sap.com/sap/support/notes/1723837","1723837")</f>
        <v>1723837</v>
      </c>
      <c r="E6739">
        <v>2</v>
      </c>
      <c r="F6739" t="s">
        <v>6667</v>
      </c>
    </row>
    <row r="6740" spans="1:6" x14ac:dyDescent="0.25">
      <c r="A6740" t="s">
        <v>6511</v>
      </c>
      <c r="B6740" t="s">
        <v>578</v>
      </c>
      <c r="C6740" t="s">
        <v>4485</v>
      </c>
      <c r="D6740" t="str">
        <f>HYPERLINK("http://service.sap.com/sap/support/notes/1790309","1790309")</f>
        <v>1790309</v>
      </c>
      <c r="E6740">
        <v>1</v>
      </c>
      <c r="F6740" t="s">
        <v>1101</v>
      </c>
    </row>
    <row r="6741" spans="1:6" x14ac:dyDescent="0.25">
      <c r="A6741" t="s">
        <v>6511</v>
      </c>
      <c r="B6741" t="s">
        <v>578</v>
      </c>
      <c r="C6741" t="s">
        <v>4485</v>
      </c>
      <c r="D6741" t="str">
        <f>HYPERLINK("http://service.sap.com/sap/support/notes/1792420","1792420")</f>
        <v>1792420</v>
      </c>
      <c r="E6741">
        <v>1</v>
      </c>
      <c r="F6741" t="s">
        <v>6668</v>
      </c>
    </row>
    <row r="6742" spans="1:6" x14ac:dyDescent="0.25">
      <c r="A6742" t="s">
        <v>6511</v>
      </c>
      <c r="B6742" t="s">
        <v>195</v>
      </c>
      <c r="C6742" t="s">
        <v>196</v>
      </c>
    </row>
    <row r="6743" spans="1:6" x14ac:dyDescent="0.25">
      <c r="A6743" t="s">
        <v>6511</v>
      </c>
      <c r="B6743" t="s">
        <v>6669</v>
      </c>
      <c r="C6743" t="s">
        <v>6670</v>
      </c>
      <c r="D6743" t="str">
        <f>HYPERLINK("http://service.sap.com/sap/support/notes/1728954","1728954")</f>
        <v>1728954</v>
      </c>
      <c r="E6743">
        <v>1</v>
      </c>
      <c r="F6743" t="s">
        <v>1482</v>
      </c>
    </row>
    <row r="6744" spans="1:6" x14ac:dyDescent="0.25">
      <c r="A6744" t="s">
        <v>6511</v>
      </c>
      <c r="B6744" t="s">
        <v>201</v>
      </c>
      <c r="C6744" t="s">
        <v>202</v>
      </c>
      <c r="D6744" t="str">
        <f>HYPERLINK("http://service.sap.com/sap/support/notes/1775734","1775734")</f>
        <v>1775734</v>
      </c>
      <c r="E6744">
        <v>2</v>
      </c>
      <c r="F6744" t="s">
        <v>1119</v>
      </c>
    </row>
    <row r="6745" spans="1:6" x14ac:dyDescent="0.25">
      <c r="A6745" t="s">
        <v>6511</v>
      </c>
      <c r="B6745" t="s">
        <v>229</v>
      </c>
      <c r="C6745" t="s">
        <v>230</v>
      </c>
      <c r="D6745" t="str">
        <f>HYPERLINK("http://service.sap.com/sap/support/notes/1765713","1765713")</f>
        <v>1765713</v>
      </c>
      <c r="E6745">
        <v>1</v>
      </c>
      <c r="F6745" t="s">
        <v>1178</v>
      </c>
    </row>
    <row r="6746" spans="1:6" x14ac:dyDescent="0.25">
      <c r="A6746" t="s">
        <v>6511</v>
      </c>
      <c r="B6746" t="s">
        <v>286</v>
      </c>
      <c r="C6746" t="s">
        <v>287</v>
      </c>
    </row>
    <row r="6747" spans="1:6" x14ac:dyDescent="0.25">
      <c r="A6747" t="s">
        <v>6511</v>
      </c>
      <c r="B6747" t="s">
        <v>292</v>
      </c>
      <c r="C6747" t="s">
        <v>196</v>
      </c>
    </row>
    <row r="6748" spans="1:6" x14ac:dyDescent="0.25">
      <c r="A6748" t="s">
        <v>6511</v>
      </c>
      <c r="B6748" t="s">
        <v>293</v>
      </c>
      <c r="C6748" t="s">
        <v>294</v>
      </c>
      <c r="D6748" t="str">
        <f>HYPERLINK("http://service.sap.com/sap/support/notes/1772486","1772486")</f>
        <v>1772486</v>
      </c>
      <c r="E6748">
        <v>1</v>
      </c>
      <c r="F6748" t="s">
        <v>6671</v>
      </c>
    </row>
    <row r="6749" spans="1:6" x14ac:dyDescent="0.25">
      <c r="A6749" t="s">
        <v>6511</v>
      </c>
      <c r="B6749" t="s">
        <v>319</v>
      </c>
      <c r="C6749" t="s">
        <v>320</v>
      </c>
      <c r="D6749" t="str">
        <f>HYPERLINK("http://service.sap.com/sap/support/notes/1768359","1768359")</f>
        <v>1768359</v>
      </c>
      <c r="E6749">
        <v>1</v>
      </c>
      <c r="F6749" t="s">
        <v>6504</v>
      </c>
    </row>
    <row r="6750" spans="1:6" x14ac:dyDescent="0.25">
      <c r="A6750" t="s">
        <v>6511</v>
      </c>
      <c r="B6750" t="s">
        <v>2263</v>
      </c>
      <c r="C6750" t="s">
        <v>2264</v>
      </c>
      <c r="D6750" t="str">
        <f>HYPERLINK("http://service.sap.com/sap/support/notes/1780528","1780528")</f>
        <v>1780528</v>
      </c>
      <c r="E6750">
        <v>2</v>
      </c>
      <c r="F6750" t="s">
        <v>6672</v>
      </c>
    </row>
    <row r="6751" spans="1:6" x14ac:dyDescent="0.25">
      <c r="A6751" t="s">
        <v>6511</v>
      </c>
      <c r="B6751" t="s">
        <v>2263</v>
      </c>
      <c r="C6751" t="s">
        <v>2264</v>
      </c>
      <c r="D6751" t="str">
        <f>HYPERLINK("http://service.sap.com/sap/support/notes/1783287","1783287")</f>
        <v>1783287</v>
      </c>
      <c r="E6751">
        <v>2</v>
      </c>
      <c r="F6751" t="s">
        <v>6673</v>
      </c>
    </row>
    <row r="6752" spans="1:6" x14ac:dyDescent="0.25">
      <c r="A6752" t="s">
        <v>6511</v>
      </c>
      <c r="B6752" t="s">
        <v>2263</v>
      </c>
      <c r="C6752" t="s">
        <v>2264</v>
      </c>
      <c r="D6752" t="str">
        <f>HYPERLINK("http://service.sap.com/sap/support/notes/1784281","1784281")</f>
        <v>1784281</v>
      </c>
      <c r="E6752">
        <v>2</v>
      </c>
      <c r="F6752" t="s">
        <v>6674</v>
      </c>
    </row>
    <row r="6753" spans="1:6" x14ac:dyDescent="0.25">
      <c r="A6753" t="s">
        <v>6511</v>
      </c>
      <c r="B6753" t="s">
        <v>2263</v>
      </c>
      <c r="C6753" t="s">
        <v>2264</v>
      </c>
      <c r="D6753" t="str">
        <f>HYPERLINK("http://service.sap.com/sap/support/notes/1790563","1790563")</f>
        <v>1790563</v>
      </c>
      <c r="E6753">
        <v>1</v>
      </c>
      <c r="F6753" t="s">
        <v>6675</v>
      </c>
    </row>
    <row r="6754" spans="1:6" x14ac:dyDescent="0.25">
      <c r="A6754" t="s">
        <v>6511</v>
      </c>
      <c r="B6754" t="s">
        <v>356</v>
      </c>
      <c r="C6754" t="s">
        <v>55</v>
      </c>
      <c r="D6754" t="str">
        <f>HYPERLINK("http://service.sap.com/sap/support/notes/1779424","1779424")</f>
        <v>1779424</v>
      </c>
      <c r="E6754">
        <v>1</v>
      </c>
      <c r="F6754" t="s">
        <v>1326</v>
      </c>
    </row>
    <row r="6755" spans="1:6" x14ac:dyDescent="0.25">
      <c r="A6755" t="s">
        <v>6511</v>
      </c>
      <c r="B6755" t="s">
        <v>362</v>
      </c>
      <c r="C6755" t="s">
        <v>363</v>
      </c>
    </row>
    <row r="6756" spans="1:6" x14ac:dyDescent="0.25">
      <c r="A6756" t="s">
        <v>6511</v>
      </c>
      <c r="B6756" t="s">
        <v>379</v>
      </c>
      <c r="C6756" t="s">
        <v>380</v>
      </c>
      <c r="D6756" t="str">
        <f>HYPERLINK("http://service.sap.com/sap/support/notes/1774008","1774008")</f>
        <v>1774008</v>
      </c>
      <c r="E6756">
        <v>4</v>
      </c>
      <c r="F6756" t="s">
        <v>1357</v>
      </c>
    </row>
    <row r="6757" spans="1:6" x14ac:dyDescent="0.25">
      <c r="A6757" t="s">
        <v>6511</v>
      </c>
      <c r="B6757" t="s">
        <v>423</v>
      </c>
      <c r="C6757" t="s">
        <v>424</v>
      </c>
      <c r="D6757" t="str">
        <f>HYPERLINK("http://service.sap.com/sap/support/notes/1742751","1742751")</f>
        <v>1742751</v>
      </c>
      <c r="E6757">
        <v>2</v>
      </c>
      <c r="F6757" t="s">
        <v>6676</v>
      </c>
    </row>
    <row r="6758" spans="1:6" x14ac:dyDescent="0.25">
      <c r="A6758" t="s">
        <v>6511</v>
      </c>
      <c r="B6758" t="s">
        <v>423</v>
      </c>
      <c r="C6758" t="s">
        <v>424</v>
      </c>
      <c r="D6758" t="str">
        <f>HYPERLINK("http://service.sap.com/sap/support/notes/1762002","1762002")</f>
        <v>1762002</v>
      </c>
      <c r="E6758">
        <v>2</v>
      </c>
      <c r="F6758" t="s">
        <v>1390</v>
      </c>
    </row>
    <row r="6759" spans="1:6" x14ac:dyDescent="0.25">
      <c r="A6759" t="s">
        <v>6511</v>
      </c>
      <c r="B6759" t="s">
        <v>423</v>
      </c>
      <c r="C6759" t="s">
        <v>424</v>
      </c>
      <c r="D6759" t="str">
        <f>HYPERLINK("http://service.sap.com/sap/support/notes/1780014","1780014")</f>
        <v>1780014</v>
      </c>
      <c r="E6759">
        <v>2</v>
      </c>
      <c r="F6759" t="s">
        <v>1392</v>
      </c>
    </row>
    <row r="6760" spans="1:6" x14ac:dyDescent="0.25">
      <c r="A6760" t="s">
        <v>6511</v>
      </c>
      <c r="B6760" t="s">
        <v>423</v>
      </c>
      <c r="C6760" t="s">
        <v>424</v>
      </c>
      <c r="D6760" t="str">
        <f>HYPERLINK("http://service.sap.com/sap/support/notes/1782134","1782134")</f>
        <v>1782134</v>
      </c>
      <c r="E6760">
        <v>1</v>
      </c>
      <c r="F6760" t="s">
        <v>6677</v>
      </c>
    </row>
    <row r="6761" spans="1:6" x14ac:dyDescent="0.25">
      <c r="A6761" t="s">
        <v>6511</v>
      </c>
      <c r="B6761" t="s">
        <v>423</v>
      </c>
      <c r="C6761" t="s">
        <v>424</v>
      </c>
      <c r="D6761" t="str">
        <f>HYPERLINK("http://service.sap.com/sap/support/notes/1784490","1784490")</f>
        <v>1784490</v>
      </c>
      <c r="E6761">
        <v>2</v>
      </c>
      <c r="F6761" t="s">
        <v>1397</v>
      </c>
    </row>
    <row r="6762" spans="1:6" x14ac:dyDescent="0.25">
      <c r="A6762" t="s">
        <v>6511</v>
      </c>
      <c r="B6762" t="s">
        <v>430</v>
      </c>
      <c r="C6762" t="s">
        <v>431</v>
      </c>
    </row>
    <row r="6763" spans="1:6" x14ac:dyDescent="0.25">
      <c r="A6763" t="s">
        <v>6511</v>
      </c>
      <c r="B6763" t="s">
        <v>6678</v>
      </c>
      <c r="C6763" t="s">
        <v>6436</v>
      </c>
      <c r="D6763" t="str">
        <f>HYPERLINK("http://service.sap.com/sap/support/notes/1731136","1731136")</f>
        <v>1731136</v>
      </c>
      <c r="E6763">
        <v>1</v>
      </c>
      <c r="F6763" t="s">
        <v>6679</v>
      </c>
    </row>
    <row r="6764" spans="1:6" x14ac:dyDescent="0.25">
      <c r="A6764" t="s">
        <v>6511</v>
      </c>
      <c r="B6764" t="s">
        <v>453</v>
      </c>
      <c r="C6764" t="s">
        <v>74</v>
      </c>
    </row>
    <row r="6765" spans="1:6" x14ac:dyDescent="0.25">
      <c r="A6765" t="s">
        <v>6511</v>
      </c>
      <c r="B6765" t="s">
        <v>607</v>
      </c>
      <c r="C6765" t="s">
        <v>156</v>
      </c>
      <c r="D6765" t="str">
        <f>HYPERLINK("http://service.sap.com/sap/support/notes/1782019","1782019")</f>
        <v>1782019</v>
      </c>
      <c r="E6765">
        <v>1</v>
      </c>
      <c r="F6765" t="s">
        <v>6680</v>
      </c>
    </row>
    <row r="6766" spans="1:6" x14ac:dyDescent="0.25">
      <c r="A6766" t="s">
        <v>6511</v>
      </c>
      <c r="B6766" t="s">
        <v>457</v>
      </c>
      <c r="C6766" t="s">
        <v>458</v>
      </c>
      <c r="D6766" t="str">
        <f>HYPERLINK("http://service.sap.com/sap/support/notes/1764123","1764123")</f>
        <v>1764123</v>
      </c>
      <c r="E6766">
        <v>9</v>
      </c>
      <c r="F6766" t="s">
        <v>1438</v>
      </c>
    </row>
    <row r="6767" spans="1:6" x14ac:dyDescent="0.25">
      <c r="A6767" t="s">
        <v>6511</v>
      </c>
      <c r="B6767" t="s">
        <v>610</v>
      </c>
      <c r="C6767" t="s">
        <v>635</v>
      </c>
    </row>
    <row r="6768" spans="1:6" x14ac:dyDescent="0.25">
      <c r="A6768" t="s">
        <v>6511</v>
      </c>
      <c r="B6768" t="s">
        <v>612</v>
      </c>
      <c r="C6768" t="s">
        <v>5696</v>
      </c>
      <c r="D6768" t="str">
        <f>HYPERLINK("http://service.sap.com/sap/support/notes/1739188","1739188")</f>
        <v>1739188</v>
      </c>
      <c r="E6768">
        <v>2</v>
      </c>
      <c r="F6768" t="s">
        <v>6681</v>
      </c>
    </row>
    <row r="6769" spans="1:6" x14ac:dyDescent="0.25">
      <c r="A6769" t="s">
        <v>6511</v>
      </c>
      <c r="B6769" t="s">
        <v>612</v>
      </c>
      <c r="C6769" t="s">
        <v>5696</v>
      </c>
      <c r="D6769" t="str">
        <f>HYPERLINK("http://service.sap.com/sap/support/notes/1764724","1764724")</f>
        <v>1764724</v>
      </c>
      <c r="E6769">
        <v>3</v>
      </c>
      <c r="F6769" t="s">
        <v>6682</v>
      </c>
    </row>
    <row r="6770" spans="1:6" x14ac:dyDescent="0.25">
      <c r="A6770" t="s">
        <v>6511</v>
      </c>
      <c r="B6770" t="s">
        <v>612</v>
      </c>
      <c r="C6770" t="s">
        <v>5696</v>
      </c>
      <c r="D6770" t="str">
        <f>HYPERLINK("http://service.sap.com/sap/support/notes/1773715","1773715")</f>
        <v>1773715</v>
      </c>
      <c r="E6770">
        <v>2</v>
      </c>
      <c r="F6770" t="s">
        <v>6683</v>
      </c>
    </row>
    <row r="6771" spans="1:6" x14ac:dyDescent="0.25">
      <c r="A6771" t="s">
        <v>6511</v>
      </c>
      <c r="B6771" t="s">
        <v>618</v>
      </c>
      <c r="C6771" t="s">
        <v>619</v>
      </c>
    </row>
    <row r="6772" spans="1:6" x14ac:dyDescent="0.25">
      <c r="A6772" t="s">
        <v>6511</v>
      </c>
      <c r="B6772" t="s">
        <v>5701</v>
      </c>
      <c r="C6772" t="s">
        <v>5702</v>
      </c>
      <c r="D6772" t="str">
        <f>HYPERLINK("http://service.sap.com/sap/support/notes/1777426","1777426")</f>
        <v>1777426</v>
      </c>
      <c r="E6772">
        <v>2</v>
      </c>
      <c r="F6772" t="s">
        <v>6684</v>
      </c>
    </row>
    <row r="6773" spans="1:6" x14ac:dyDescent="0.25">
      <c r="A6773" t="s">
        <v>6511</v>
      </c>
      <c r="B6773" t="s">
        <v>622</v>
      </c>
      <c r="C6773" t="s">
        <v>623</v>
      </c>
      <c r="D6773" t="str">
        <f>HYPERLINK("http://service.sap.com/sap/support/notes/1765698","1765698")</f>
        <v>1765698</v>
      </c>
      <c r="E6773">
        <v>2</v>
      </c>
      <c r="F6773" t="s">
        <v>6685</v>
      </c>
    </row>
    <row r="6774" spans="1:6" x14ac:dyDescent="0.25">
      <c r="A6774" t="s">
        <v>6511</v>
      </c>
      <c r="B6774" t="s">
        <v>624</v>
      </c>
      <c r="C6774" t="s">
        <v>625</v>
      </c>
      <c r="D6774" t="str">
        <f>HYPERLINK("http://service.sap.com/sap/support/notes/1753325","1753325")</f>
        <v>1753325</v>
      </c>
      <c r="E6774">
        <v>2</v>
      </c>
      <c r="F6774" t="s">
        <v>6128</v>
      </c>
    </row>
    <row r="6775" spans="1:6" x14ac:dyDescent="0.25">
      <c r="A6775" t="s">
        <v>6511</v>
      </c>
      <c r="B6775" t="s">
        <v>628</v>
      </c>
      <c r="C6775" t="s">
        <v>629</v>
      </c>
      <c r="D6775" t="str">
        <f>HYPERLINK("http://service.sap.com/sap/support/notes/1776578","1776578")</f>
        <v>1776578</v>
      </c>
      <c r="E6775">
        <v>1</v>
      </c>
      <c r="F6775" t="s">
        <v>6686</v>
      </c>
    </row>
    <row r="6776" spans="1:6" x14ac:dyDescent="0.25">
      <c r="A6776" t="s">
        <v>6511</v>
      </c>
      <c r="B6776" t="s">
        <v>670</v>
      </c>
      <c r="C6776" t="s">
        <v>671</v>
      </c>
    </row>
    <row r="6777" spans="1:6" x14ac:dyDescent="0.25">
      <c r="A6777" t="s">
        <v>6511</v>
      </c>
      <c r="B6777" t="s">
        <v>672</v>
      </c>
      <c r="C6777" t="s">
        <v>673</v>
      </c>
    </row>
    <row r="6778" spans="1:6" x14ac:dyDescent="0.25">
      <c r="A6778" t="s">
        <v>6511</v>
      </c>
      <c r="B6778" t="s">
        <v>5707</v>
      </c>
      <c r="C6778" t="s">
        <v>5708</v>
      </c>
    </row>
    <row r="6779" spans="1:6" x14ac:dyDescent="0.25">
      <c r="A6779" t="s">
        <v>6511</v>
      </c>
      <c r="B6779" t="s">
        <v>5709</v>
      </c>
      <c r="C6779" t="s">
        <v>5710</v>
      </c>
      <c r="D6779" t="str">
        <f>HYPERLINK("http://service.sap.com/sap/support/notes/1779621","1779621")</f>
        <v>1779621</v>
      </c>
      <c r="E6779">
        <v>2</v>
      </c>
      <c r="F6779" t="s">
        <v>6687</v>
      </c>
    </row>
    <row r="6780" spans="1:6" x14ac:dyDescent="0.25">
      <c r="A6780" t="s">
        <v>6511</v>
      </c>
      <c r="B6780" t="s">
        <v>5709</v>
      </c>
      <c r="C6780" t="s">
        <v>5710</v>
      </c>
      <c r="D6780" t="str">
        <f>HYPERLINK("http://service.sap.com/sap/support/notes/1784005","1784005")</f>
        <v>1784005</v>
      </c>
      <c r="E6780">
        <v>1</v>
      </c>
      <c r="F6780" t="s">
        <v>6688</v>
      </c>
    </row>
    <row r="6781" spans="1:6" x14ac:dyDescent="0.25">
      <c r="A6781" t="s">
        <v>6511</v>
      </c>
      <c r="B6781" t="s">
        <v>5709</v>
      </c>
      <c r="C6781" t="s">
        <v>5710</v>
      </c>
      <c r="D6781" t="str">
        <f>HYPERLINK("http://service.sap.com/sap/support/notes/1790100","1790100")</f>
        <v>1790100</v>
      </c>
      <c r="E6781">
        <v>2</v>
      </c>
      <c r="F6781" t="s">
        <v>6689</v>
      </c>
    </row>
    <row r="6782" spans="1:6" x14ac:dyDescent="0.25">
      <c r="A6782" t="s">
        <v>6511</v>
      </c>
      <c r="B6782" t="s">
        <v>5713</v>
      </c>
      <c r="C6782" t="s">
        <v>5714</v>
      </c>
    </row>
    <row r="6783" spans="1:6" x14ac:dyDescent="0.25">
      <c r="A6783" t="s">
        <v>6511</v>
      </c>
      <c r="B6783" t="s">
        <v>5715</v>
      </c>
      <c r="C6783" t="s">
        <v>5710</v>
      </c>
      <c r="D6783" t="str">
        <f>HYPERLINK("http://service.sap.com/sap/support/notes/1783358","1783358")</f>
        <v>1783358</v>
      </c>
      <c r="E6783">
        <v>1</v>
      </c>
      <c r="F6783" t="s">
        <v>6690</v>
      </c>
    </row>
    <row r="6784" spans="1:6" x14ac:dyDescent="0.25">
      <c r="A6784" t="s">
        <v>6691</v>
      </c>
      <c r="B6784" t="s">
        <v>481</v>
      </c>
      <c r="C6784" t="s">
        <v>482</v>
      </c>
    </row>
    <row r="6785" spans="1:6" x14ac:dyDescent="0.25">
      <c r="A6785" t="s">
        <v>6691</v>
      </c>
      <c r="B6785" t="s">
        <v>487</v>
      </c>
      <c r="C6785" t="s">
        <v>488</v>
      </c>
    </row>
    <row r="6786" spans="1:6" x14ac:dyDescent="0.25">
      <c r="A6786" t="s">
        <v>6691</v>
      </c>
      <c r="B6786" t="s">
        <v>489</v>
      </c>
      <c r="C6786" t="s">
        <v>641</v>
      </c>
      <c r="D6786" t="str">
        <f>HYPERLINK("http://service.sap.com/sap/support/notes/1781144","1781144")</f>
        <v>1781144</v>
      </c>
      <c r="E6786">
        <v>1</v>
      </c>
      <c r="F6786" t="s">
        <v>6692</v>
      </c>
    </row>
    <row r="6787" spans="1:6" x14ac:dyDescent="0.25">
      <c r="A6787" t="s">
        <v>6691</v>
      </c>
      <c r="B6787" t="s">
        <v>489</v>
      </c>
      <c r="C6787" t="s">
        <v>641</v>
      </c>
      <c r="D6787" t="str">
        <f>HYPERLINK("http://service.sap.com/sap/support/notes/1785152","1785152")</f>
        <v>1785152</v>
      </c>
      <c r="E6787">
        <v>1</v>
      </c>
      <c r="F6787" t="s">
        <v>6693</v>
      </c>
    </row>
    <row r="6788" spans="1:6" x14ac:dyDescent="0.25">
      <c r="A6788" t="s">
        <v>6691</v>
      </c>
      <c r="B6788" t="s">
        <v>489</v>
      </c>
      <c r="C6788" t="s">
        <v>641</v>
      </c>
      <c r="D6788" t="str">
        <f>HYPERLINK("http://service.sap.com/sap/support/notes/1799099","1799099")</f>
        <v>1799099</v>
      </c>
      <c r="E6788">
        <v>1</v>
      </c>
      <c r="F6788" t="s">
        <v>6694</v>
      </c>
    </row>
    <row r="6789" spans="1:6" x14ac:dyDescent="0.25">
      <c r="A6789" t="s">
        <v>6691</v>
      </c>
      <c r="B6789" t="s">
        <v>489</v>
      </c>
      <c r="C6789" t="s">
        <v>641</v>
      </c>
      <c r="D6789" t="str">
        <f>HYPERLINK("http://service.sap.com/sap/support/notes/1800730","1800730")</f>
        <v>1800730</v>
      </c>
      <c r="E6789">
        <v>1</v>
      </c>
      <c r="F6789" t="s">
        <v>6695</v>
      </c>
    </row>
    <row r="6790" spans="1:6" x14ac:dyDescent="0.25">
      <c r="A6790" t="s">
        <v>6691</v>
      </c>
      <c r="B6790" t="s">
        <v>489</v>
      </c>
      <c r="C6790" t="s">
        <v>641</v>
      </c>
      <c r="D6790" t="str">
        <f>HYPERLINK("http://service.sap.com/sap/support/notes/1801589","1801589")</f>
        <v>1801589</v>
      </c>
      <c r="E6790">
        <v>1</v>
      </c>
      <c r="F6790" t="s">
        <v>6696</v>
      </c>
    </row>
    <row r="6791" spans="1:6" x14ac:dyDescent="0.25">
      <c r="A6791" t="s">
        <v>6691</v>
      </c>
      <c r="B6791" t="s">
        <v>489</v>
      </c>
      <c r="C6791" t="s">
        <v>641</v>
      </c>
      <c r="D6791" t="str">
        <f>HYPERLINK("http://service.sap.com/sap/support/notes/1801637","1801637")</f>
        <v>1801637</v>
      </c>
      <c r="E6791">
        <v>1</v>
      </c>
      <c r="F6791" t="s">
        <v>6697</v>
      </c>
    </row>
    <row r="6792" spans="1:6" x14ac:dyDescent="0.25">
      <c r="A6792" t="s">
        <v>6691</v>
      </c>
      <c r="B6792" t="s">
        <v>489</v>
      </c>
      <c r="C6792" t="s">
        <v>641</v>
      </c>
      <c r="D6792" t="str">
        <f>HYPERLINK("http://service.sap.com/sap/support/notes/1802490","1802490")</f>
        <v>1802490</v>
      </c>
      <c r="E6792">
        <v>2</v>
      </c>
      <c r="F6792" t="s">
        <v>6698</v>
      </c>
    </row>
    <row r="6793" spans="1:6" x14ac:dyDescent="0.25">
      <c r="A6793" t="s">
        <v>6691</v>
      </c>
      <c r="B6793" t="s">
        <v>6519</v>
      </c>
      <c r="C6793" t="s">
        <v>6520</v>
      </c>
    </row>
    <row r="6794" spans="1:6" x14ac:dyDescent="0.25">
      <c r="A6794" t="s">
        <v>6691</v>
      </c>
      <c r="B6794" t="s">
        <v>6521</v>
      </c>
      <c r="C6794" t="s">
        <v>6522</v>
      </c>
    </row>
    <row r="6795" spans="1:6" x14ac:dyDescent="0.25">
      <c r="A6795" t="s">
        <v>6691</v>
      </c>
      <c r="B6795" t="s">
        <v>6523</v>
      </c>
      <c r="C6795" t="s">
        <v>26</v>
      </c>
    </row>
    <row r="6796" spans="1:6" x14ac:dyDescent="0.25">
      <c r="A6796" t="s">
        <v>6691</v>
      </c>
      <c r="B6796" t="s">
        <v>6524</v>
      </c>
      <c r="C6796" t="s">
        <v>6525</v>
      </c>
      <c r="D6796" t="str">
        <f>HYPERLINK("http://service.sap.com/sap/support/notes/1799967","1799967")</f>
        <v>1799967</v>
      </c>
      <c r="E6796">
        <v>1</v>
      </c>
      <c r="F6796" t="s">
        <v>6699</v>
      </c>
    </row>
    <row r="6797" spans="1:6" x14ac:dyDescent="0.25">
      <c r="A6797" t="s">
        <v>6691</v>
      </c>
      <c r="B6797" t="s">
        <v>15</v>
      </c>
      <c r="C6797" t="s">
        <v>16</v>
      </c>
    </row>
    <row r="6798" spans="1:6" x14ac:dyDescent="0.25">
      <c r="A6798" t="s">
        <v>6691</v>
      </c>
      <c r="B6798" t="s">
        <v>17</v>
      </c>
      <c r="C6798" t="s">
        <v>18</v>
      </c>
    </row>
    <row r="6799" spans="1:6" x14ac:dyDescent="0.25">
      <c r="A6799" t="s">
        <v>6691</v>
      </c>
      <c r="B6799" t="s">
        <v>19</v>
      </c>
      <c r="C6799" t="s">
        <v>20</v>
      </c>
    </row>
    <row r="6800" spans="1:6" x14ac:dyDescent="0.25">
      <c r="A6800" t="s">
        <v>6691</v>
      </c>
      <c r="B6800" t="s">
        <v>21</v>
      </c>
      <c r="C6800" t="s">
        <v>22</v>
      </c>
      <c r="D6800" t="str">
        <f>HYPERLINK("http://service.sap.com/sap/support/notes/1796075","1796075")</f>
        <v>1796075</v>
      </c>
      <c r="E6800">
        <v>1</v>
      </c>
      <c r="F6800" t="s">
        <v>6700</v>
      </c>
    </row>
    <row r="6801" spans="1:6" x14ac:dyDescent="0.25">
      <c r="A6801" t="s">
        <v>6691</v>
      </c>
      <c r="B6801" t="s">
        <v>493</v>
      </c>
      <c r="C6801" t="s">
        <v>494</v>
      </c>
    </row>
    <row r="6802" spans="1:6" x14ac:dyDescent="0.25">
      <c r="A6802" t="s">
        <v>6691</v>
      </c>
      <c r="B6802" t="s">
        <v>495</v>
      </c>
      <c r="C6802" t="s">
        <v>655</v>
      </c>
      <c r="D6802" t="str">
        <f>HYPERLINK("http://service.sap.com/sap/support/notes/1770901","1770901")</f>
        <v>1770901</v>
      </c>
      <c r="E6802">
        <v>3</v>
      </c>
      <c r="F6802" t="s">
        <v>6701</v>
      </c>
    </row>
    <row r="6803" spans="1:6" x14ac:dyDescent="0.25">
      <c r="A6803" t="s">
        <v>6691</v>
      </c>
      <c r="B6803" t="s">
        <v>495</v>
      </c>
      <c r="C6803" t="s">
        <v>655</v>
      </c>
      <c r="D6803" t="str">
        <f>HYPERLINK("http://service.sap.com/sap/support/notes/1791994","1791994")</f>
        <v>1791994</v>
      </c>
      <c r="E6803">
        <v>4</v>
      </c>
      <c r="F6803" t="s">
        <v>6702</v>
      </c>
    </row>
    <row r="6804" spans="1:6" x14ac:dyDescent="0.25">
      <c r="A6804" t="s">
        <v>6691</v>
      </c>
      <c r="B6804" t="s">
        <v>495</v>
      </c>
      <c r="C6804" t="s">
        <v>655</v>
      </c>
      <c r="D6804" t="str">
        <f>HYPERLINK("http://service.sap.com/sap/support/notes/1794580","1794580")</f>
        <v>1794580</v>
      </c>
      <c r="E6804">
        <v>2</v>
      </c>
      <c r="F6804" t="s">
        <v>6703</v>
      </c>
    </row>
    <row r="6805" spans="1:6" x14ac:dyDescent="0.25">
      <c r="A6805" t="s">
        <v>6691</v>
      </c>
      <c r="B6805" t="s">
        <v>495</v>
      </c>
      <c r="C6805" t="s">
        <v>655</v>
      </c>
      <c r="D6805" t="str">
        <f>HYPERLINK("http://service.sap.com/sap/support/notes/1796299","1796299")</f>
        <v>1796299</v>
      </c>
      <c r="E6805">
        <v>1</v>
      </c>
      <c r="F6805" t="s">
        <v>6704</v>
      </c>
    </row>
    <row r="6806" spans="1:6" x14ac:dyDescent="0.25">
      <c r="A6806" t="s">
        <v>6691</v>
      </c>
      <c r="B6806" t="s">
        <v>495</v>
      </c>
      <c r="C6806" t="s">
        <v>655</v>
      </c>
      <c r="D6806" t="str">
        <f>HYPERLINK("http://service.sap.com/sap/support/notes/1798046","1798046")</f>
        <v>1798046</v>
      </c>
      <c r="E6806">
        <v>1</v>
      </c>
      <c r="F6806" t="s">
        <v>6705</v>
      </c>
    </row>
    <row r="6807" spans="1:6" x14ac:dyDescent="0.25">
      <c r="A6807" t="s">
        <v>6691</v>
      </c>
      <c r="B6807" t="s">
        <v>495</v>
      </c>
      <c r="C6807" t="s">
        <v>655</v>
      </c>
      <c r="D6807" t="str">
        <f>HYPERLINK("http://service.sap.com/sap/support/notes/1798917","1798917")</f>
        <v>1798917</v>
      </c>
      <c r="E6807">
        <v>2</v>
      </c>
      <c r="F6807" t="s">
        <v>6706</v>
      </c>
    </row>
    <row r="6808" spans="1:6" x14ac:dyDescent="0.25">
      <c r="A6808" t="s">
        <v>6691</v>
      </c>
      <c r="B6808" t="s">
        <v>497</v>
      </c>
      <c r="C6808" t="s">
        <v>498</v>
      </c>
      <c r="D6808" t="str">
        <f>HYPERLINK("http://service.sap.com/sap/support/notes/1477897","1477897")</f>
        <v>1477897</v>
      </c>
      <c r="E6808">
        <v>2</v>
      </c>
      <c r="F6808" t="s">
        <v>6707</v>
      </c>
    </row>
    <row r="6809" spans="1:6" x14ac:dyDescent="0.25">
      <c r="A6809" t="s">
        <v>6691</v>
      </c>
      <c r="B6809" t="s">
        <v>497</v>
      </c>
      <c r="C6809" t="s">
        <v>498</v>
      </c>
      <c r="D6809" t="str">
        <f>HYPERLINK("http://service.sap.com/sap/support/notes/1685792","1685792")</f>
        <v>1685792</v>
      </c>
      <c r="E6809">
        <v>2</v>
      </c>
      <c r="F6809" t="s">
        <v>6708</v>
      </c>
    </row>
    <row r="6810" spans="1:6" x14ac:dyDescent="0.25">
      <c r="A6810" t="s">
        <v>6691</v>
      </c>
      <c r="B6810" t="s">
        <v>497</v>
      </c>
      <c r="C6810" t="s">
        <v>498</v>
      </c>
      <c r="D6810" t="str">
        <f>HYPERLINK("http://service.sap.com/sap/support/notes/1773055","1773055")</f>
        <v>1773055</v>
      </c>
      <c r="E6810">
        <v>4</v>
      </c>
      <c r="F6810" t="s">
        <v>6528</v>
      </c>
    </row>
    <row r="6811" spans="1:6" x14ac:dyDescent="0.25">
      <c r="A6811" t="s">
        <v>6691</v>
      </c>
      <c r="B6811" t="s">
        <v>497</v>
      </c>
      <c r="C6811" t="s">
        <v>498</v>
      </c>
      <c r="D6811" t="str">
        <f>HYPERLINK("http://service.sap.com/sap/support/notes/1785716","1785716")</f>
        <v>1785716</v>
      </c>
      <c r="E6811">
        <v>2</v>
      </c>
      <c r="F6811" t="s">
        <v>6709</v>
      </c>
    </row>
    <row r="6812" spans="1:6" x14ac:dyDescent="0.25">
      <c r="A6812" t="s">
        <v>6691</v>
      </c>
      <c r="B6812" t="s">
        <v>497</v>
      </c>
      <c r="C6812" t="s">
        <v>498</v>
      </c>
      <c r="D6812" t="str">
        <f>HYPERLINK("http://service.sap.com/sap/support/notes/1785732","1785732")</f>
        <v>1785732</v>
      </c>
      <c r="E6812">
        <v>2</v>
      </c>
      <c r="F6812" t="s">
        <v>6710</v>
      </c>
    </row>
    <row r="6813" spans="1:6" x14ac:dyDescent="0.25">
      <c r="A6813" t="s">
        <v>6691</v>
      </c>
      <c r="B6813" t="s">
        <v>497</v>
      </c>
      <c r="C6813" t="s">
        <v>498</v>
      </c>
      <c r="D6813" t="str">
        <f>HYPERLINK("http://service.sap.com/sap/support/notes/1788419","1788419")</f>
        <v>1788419</v>
      </c>
      <c r="E6813">
        <v>2</v>
      </c>
      <c r="F6813" t="s">
        <v>6550</v>
      </c>
    </row>
    <row r="6814" spans="1:6" x14ac:dyDescent="0.25">
      <c r="A6814" t="s">
        <v>6691</v>
      </c>
      <c r="B6814" t="s">
        <v>497</v>
      </c>
      <c r="C6814" t="s">
        <v>498</v>
      </c>
      <c r="D6814" t="str">
        <f>HYPERLINK("http://service.sap.com/sap/support/notes/1790398","1790398")</f>
        <v>1790398</v>
      </c>
      <c r="E6814">
        <v>1</v>
      </c>
      <c r="F6814" t="s">
        <v>6711</v>
      </c>
    </row>
    <row r="6815" spans="1:6" x14ac:dyDescent="0.25">
      <c r="A6815" t="s">
        <v>6691</v>
      </c>
      <c r="B6815" t="s">
        <v>497</v>
      </c>
      <c r="C6815" t="s">
        <v>498</v>
      </c>
      <c r="D6815" t="str">
        <f>HYPERLINK("http://service.sap.com/sap/support/notes/1792023","1792023")</f>
        <v>1792023</v>
      </c>
      <c r="E6815">
        <v>1</v>
      </c>
      <c r="F6815" t="s">
        <v>6712</v>
      </c>
    </row>
    <row r="6816" spans="1:6" x14ac:dyDescent="0.25">
      <c r="A6816" t="s">
        <v>6691</v>
      </c>
      <c r="B6816" t="s">
        <v>497</v>
      </c>
      <c r="C6816" t="s">
        <v>498</v>
      </c>
      <c r="D6816" t="str">
        <f>HYPERLINK("http://service.sap.com/sap/support/notes/1792048","1792048")</f>
        <v>1792048</v>
      </c>
      <c r="E6816">
        <v>1</v>
      </c>
      <c r="F6816" t="s">
        <v>6713</v>
      </c>
    </row>
    <row r="6817" spans="1:6" x14ac:dyDescent="0.25">
      <c r="A6817" t="s">
        <v>6691</v>
      </c>
      <c r="B6817" t="s">
        <v>497</v>
      </c>
      <c r="C6817" t="s">
        <v>498</v>
      </c>
      <c r="D6817" t="str">
        <f>HYPERLINK("http://service.sap.com/sap/support/notes/1792061","1792061")</f>
        <v>1792061</v>
      </c>
      <c r="E6817">
        <v>3</v>
      </c>
      <c r="F6817" t="s">
        <v>6714</v>
      </c>
    </row>
    <row r="6818" spans="1:6" x14ac:dyDescent="0.25">
      <c r="A6818" t="s">
        <v>6691</v>
      </c>
      <c r="B6818" t="s">
        <v>497</v>
      </c>
      <c r="C6818" t="s">
        <v>498</v>
      </c>
      <c r="D6818" t="str">
        <f>HYPERLINK("http://service.sap.com/sap/support/notes/1792575","1792575")</f>
        <v>1792575</v>
      </c>
      <c r="E6818">
        <v>1</v>
      </c>
      <c r="F6818" t="s">
        <v>6715</v>
      </c>
    </row>
    <row r="6819" spans="1:6" x14ac:dyDescent="0.25">
      <c r="A6819" t="s">
        <v>6691</v>
      </c>
      <c r="B6819" t="s">
        <v>497</v>
      </c>
      <c r="C6819" t="s">
        <v>498</v>
      </c>
      <c r="D6819" t="str">
        <f>HYPERLINK("http://service.sap.com/sap/support/notes/1793028","1793028")</f>
        <v>1793028</v>
      </c>
      <c r="E6819">
        <v>2</v>
      </c>
      <c r="F6819" t="s">
        <v>6716</v>
      </c>
    </row>
    <row r="6820" spans="1:6" x14ac:dyDescent="0.25">
      <c r="A6820" t="s">
        <v>6691</v>
      </c>
      <c r="B6820" t="s">
        <v>497</v>
      </c>
      <c r="C6820" t="s">
        <v>498</v>
      </c>
      <c r="D6820" t="str">
        <f>HYPERLINK("http://service.sap.com/sap/support/notes/1793767","1793767")</f>
        <v>1793767</v>
      </c>
      <c r="E6820">
        <v>1</v>
      </c>
      <c r="F6820" t="s">
        <v>6717</v>
      </c>
    </row>
    <row r="6821" spans="1:6" x14ac:dyDescent="0.25">
      <c r="A6821" t="s">
        <v>6691</v>
      </c>
      <c r="B6821" t="s">
        <v>497</v>
      </c>
      <c r="C6821" t="s">
        <v>498</v>
      </c>
      <c r="D6821" t="str">
        <f>HYPERLINK("http://service.sap.com/sap/support/notes/1794208","1794208")</f>
        <v>1794208</v>
      </c>
      <c r="E6821">
        <v>3</v>
      </c>
      <c r="F6821" t="s">
        <v>6718</v>
      </c>
    </row>
    <row r="6822" spans="1:6" x14ac:dyDescent="0.25">
      <c r="A6822" t="s">
        <v>6691</v>
      </c>
      <c r="B6822" t="s">
        <v>497</v>
      </c>
      <c r="C6822" t="s">
        <v>498</v>
      </c>
      <c r="D6822" t="str">
        <f>HYPERLINK("http://service.sap.com/sap/support/notes/1795030","1795030")</f>
        <v>1795030</v>
      </c>
      <c r="E6822">
        <v>1</v>
      </c>
      <c r="F6822" t="s">
        <v>6719</v>
      </c>
    </row>
    <row r="6823" spans="1:6" x14ac:dyDescent="0.25">
      <c r="A6823" t="s">
        <v>6691</v>
      </c>
      <c r="B6823" t="s">
        <v>497</v>
      </c>
      <c r="C6823" t="s">
        <v>498</v>
      </c>
      <c r="D6823" t="str">
        <f>HYPERLINK("http://service.sap.com/sap/support/notes/1795643","1795643")</f>
        <v>1795643</v>
      </c>
      <c r="E6823">
        <v>4</v>
      </c>
      <c r="F6823" t="s">
        <v>6720</v>
      </c>
    </row>
    <row r="6824" spans="1:6" x14ac:dyDescent="0.25">
      <c r="A6824" t="s">
        <v>6691</v>
      </c>
      <c r="B6824" t="s">
        <v>497</v>
      </c>
      <c r="C6824" t="s">
        <v>498</v>
      </c>
      <c r="D6824" t="str">
        <f>HYPERLINK("http://service.sap.com/sap/support/notes/1795807","1795807")</f>
        <v>1795807</v>
      </c>
      <c r="E6824">
        <v>2</v>
      </c>
      <c r="F6824" t="s">
        <v>6721</v>
      </c>
    </row>
    <row r="6825" spans="1:6" x14ac:dyDescent="0.25">
      <c r="A6825" t="s">
        <v>6691</v>
      </c>
      <c r="B6825" t="s">
        <v>497</v>
      </c>
      <c r="C6825" t="s">
        <v>498</v>
      </c>
      <c r="D6825" t="str">
        <f>HYPERLINK("http://service.sap.com/sap/support/notes/1795817","1795817")</f>
        <v>1795817</v>
      </c>
      <c r="E6825">
        <v>4</v>
      </c>
      <c r="F6825" t="s">
        <v>6722</v>
      </c>
    </row>
    <row r="6826" spans="1:6" x14ac:dyDescent="0.25">
      <c r="A6826" t="s">
        <v>6691</v>
      </c>
      <c r="B6826" t="s">
        <v>497</v>
      </c>
      <c r="C6826" t="s">
        <v>498</v>
      </c>
      <c r="D6826" t="str">
        <f>HYPERLINK("http://service.sap.com/sap/support/notes/1796450","1796450")</f>
        <v>1796450</v>
      </c>
      <c r="E6826">
        <v>1</v>
      </c>
      <c r="F6826" t="s">
        <v>6723</v>
      </c>
    </row>
    <row r="6827" spans="1:6" x14ac:dyDescent="0.25">
      <c r="A6827" t="s">
        <v>6691</v>
      </c>
      <c r="B6827" t="s">
        <v>497</v>
      </c>
      <c r="C6827" t="s">
        <v>498</v>
      </c>
      <c r="D6827" t="str">
        <f>HYPERLINK("http://service.sap.com/sap/support/notes/1796963","1796963")</f>
        <v>1796963</v>
      </c>
      <c r="E6827">
        <v>1</v>
      </c>
      <c r="F6827" t="s">
        <v>6724</v>
      </c>
    </row>
    <row r="6828" spans="1:6" x14ac:dyDescent="0.25">
      <c r="A6828" t="s">
        <v>6691</v>
      </c>
      <c r="B6828" t="s">
        <v>497</v>
      </c>
      <c r="C6828" t="s">
        <v>498</v>
      </c>
      <c r="D6828" t="str">
        <f>HYPERLINK("http://service.sap.com/sap/support/notes/1798023","1798023")</f>
        <v>1798023</v>
      </c>
      <c r="E6828">
        <v>2</v>
      </c>
      <c r="F6828" t="s">
        <v>6725</v>
      </c>
    </row>
    <row r="6829" spans="1:6" x14ac:dyDescent="0.25">
      <c r="A6829" t="s">
        <v>6691</v>
      </c>
      <c r="B6829" t="s">
        <v>497</v>
      </c>
      <c r="C6829" t="s">
        <v>498</v>
      </c>
      <c r="D6829" t="str">
        <f>HYPERLINK("http://service.sap.com/sap/support/notes/1798964","1798964")</f>
        <v>1798964</v>
      </c>
      <c r="E6829">
        <v>1</v>
      </c>
      <c r="F6829" t="s">
        <v>6726</v>
      </c>
    </row>
    <row r="6830" spans="1:6" x14ac:dyDescent="0.25">
      <c r="A6830" t="s">
        <v>6691</v>
      </c>
      <c r="B6830" t="s">
        <v>497</v>
      </c>
      <c r="C6830" t="s">
        <v>498</v>
      </c>
      <c r="D6830" t="str">
        <f>HYPERLINK("http://service.sap.com/sap/support/notes/1799229","1799229")</f>
        <v>1799229</v>
      </c>
      <c r="E6830">
        <v>1</v>
      </c>
      <c r="F6830" t="s">
        <v>6727</v>
      </c>
    </row>
    <row r="6831" spans="1:6" x14ac:dyDescent="0.25">
      <c r="A6831" t="s">
        <v>6691</v>
      </c>
      <c r="B6831" t="s">
        <v>497</v>
      </c>
      <c r="C6831" t="s">
        <v>498</v>
      </c>
      <c r="D6831" t="str">
        <f>HYPERLINK("http://service.sap.com/sap/support/notes/1799585","1799585")</f>
        <v>1799585</v>
      </c>
      <c r="E6831">
        <v>1</v>
      </c>
      <c r="F6831" t="s">
        <v>6728</v>
      </c>
    </row>
    <row r="6832" spans="1:6" x14ac:dyDescent="0.25">
      <c r="A6832" t="s">
        <v>6691</v>
      </c>
      <c r="B6832" t="s">
        <v>497</v>
      </c>
      <c r="C6832" t="s">
        <v>498</v>
      </c>
      <c r="D6832" t="str">
        <f>HYPERLINK("http://service.sap.com/sap/support/notes/1800125","1800125")</f>
        <v>1800125</v>
      </c>
      <c r="E6832">
        <v>2</v>
      </c>
      <c r="F6832" t="s">
        <v>6729</v>
      </c>
    </row>
    <row r="6833" spans="1:6" x14ac:dyDescent="0.25">
      <c r="A6833" t="s">
        <v>6691</v>
      </c>
      <c r="B6833" t="s">
        <v>497</v>
      </c>
      <c r="C6833" t="s">
        <v>498</v>
      </c>
      <c r="D6833" t="str">
        <f>HYPERLINK("http://service.sap.com/sap/support/notes/1800705","1800705")</f>
        <v>1800705</v>
      </c>
      <c r="E6833">
        <v>5</v>
      </c>
      <c r="F6833" t="s">
        <v>6730</v>
      </c>
    </row>
    <row r="6834" spans="1:6" x14ac:dyDescent="0.25">
      <c r="A6834" t="s">
        <v>6691</v>
      </c>
      <c r="B6834" t="s">
        <v>497</v>
      </c>
      <c r="C6834" t="s">
        <v>498</v>
      </c>
      <c r="D6834" t="str">
        <f>HYPERLINK("http://service.sap.com/sap/support/notes/1800765","1800765")</f>
        <v>1800765</v>
      </c>
      <c r="E6834">
        <v>1</v>
      </c>
      <c r="F6834" t="s">
        <v>6731</v>
      </c>
    </row>
    <row r="6835" spans="1:6" x14ac:dyDescent="0.25">
      <c r="A6835" t="s">
        <v>6691</v>
      </c>
      <c r="B6835" t="s">
        <v>497</v>
      </c>
      <c r="C6835" t="s">
        <v>498</v>
      </c>
      <c r="D6835" t="str">
        <f>HYPERLINK("http://service.sap.com/sap/support/notes/1802110","1802110")</f>
        <v>1802110</v>
      </c>
      <c r="E6835">
        <v>1</v>
      </c>
      <c r="F6835" t="s">
        <v>6732</v>
      </c>
    </row>
    <row r="6836" spans="1:6" x14ac:dyDescent="0.25">
      <c r="A6836" t="s">
        <v>6691</v>
      </c>
      <c r="B6836" t="s">
        <v>497</v>
      </c>
      <c r="C6836" t="s">
        <v>498</v>
      </c>
      <c r="D6836" t="str">
        <f>HYPERLINK("http://service.sap.com/sap/support/notes/1802172","1802172")</f>
        <v>1802172</v>
      </c>
      <c r="E6836">
        <v>2</v>
      </c>
      <c r="F6836" t="s">
        <v>6733</v>
      </c>
    </row>
    <row r="6837" spans="1:6" x14ac:dyDescent="0.25">
      <c r="A6837" t="s">
        <v>6691</v>
      </c>
      <c r="B6837" t="s">
        <v>497</v>
      </c>
      <c r="C6837" t="s">
        <v>498</v>
      </c>
      <c r="D6837" t="str">
        <f>HYPERLINK("http://service.sap.com/sap/support/notes/1802742","1802742")</f>
        <v>1802742</v>
      </c>
      <c r="E6837">
        <v>6</v>
      </c>
      <c r="F6837" t="s">
        <v>6734</v>
      </c>
    </row>
    <row r="6838" spans="1:6" x14ac:dyDescent="0.25">
      <c r="A6838" t="s">
        <v>6691</v>
      </c>
      <c r="B6838" t="s">
        <v>497</v>
      </c>
      <c r="C6838" t="s">
        <v>498</v>
      </c>
      <c r="D6838" t="str">
        <f>HYPERLINK("http://service.sap.com/sap/support/notes/1802902","1802902")</f>
        <v>1802902</v>
      </c>
      <c r="E6838">
        <v>3</v>
      </c>
      <c r="F6838" t="s">
        <v>6735</v>
      </c>
    </row>
    <row r="6839" spans="1:6" x14ac:dyDescent="0.25">
      <c r="A6839" t="s">
        <v>6691</v>
      </c>
      <c r="B6839" t="s">
        <v>497</v>
      </c>
      <c r="C6839" t="s">
        <v>498</v>
      </c>
      <c r="D6839" t="str">
        <f>HYPERLINK("http://service.sap.com/sap/support/notes/1803292","1803292")</f>
        <v>1803292</v>
      </c>
      <c r="E6839">
        <v>1</v>
      </c>
      <c r="F6839" t="s">
        <v>6736</v>
      </c>
    </row>
    <row r="6840" spans="1:6" x14ac:dyDescent="0.25">
      <c r="A6840" t="s">
        <v>6691</v>
      </c>
      <c r="B6840" t="s">
        <v>497</v>
      </c>
      <c r="C6840" t="s">
        <v>498</v>
      </c>
      <c r="D6840" t="str">
        <f>HYPERLINK("http://service.sap.com/sap/support/notes/1804300","1804300")</f>
        <v>1804300</v>
      </c>
      <c r="E6840">
        <v>2</v>
      </c>
      <c r="F6840" t="s">
        <v>6737</v>
      </c>
    </row>
    <row r="6841" spans="1:6" x14ac:dyDescent="0.25">
      <c r="A6841" t="s">
        <v>6691</v>
      </c>
      <c r="B6841" t="s">
        <v>497</v>
      </c>
      <c r="C6841" t="s">
        <v>498</v>
      </c>
      <c r="D6841" t="str">
        <f>HYPERLINK("http://service.sap.com/sap/support/notes/1804462","1804462")</f>
        <v>1804462</v>
      </c>
      <c r="E6841">
        <v>1</v>
      </c>
      <c r="F6841" t="s">
        <v>6738</v>
      </c>
    </row>
    <row r="6842" spans="1:6" x14ac:dyDescent="0.25">
      <c r="A6842" t="s">
        <v>6691</v>
      </c>
      <c r="B6842" t="s">
        <v>497</v>
      </c>
      <c r="C6842" t="s">
        <v>498</v>
      </c>
      <c r="D6842" t="str">
        <f>HYPERLINK("http://service.sap.com/sap/support/notes/1805089","1805089")</f>
        <v>1805089</v>
      </c>
      <c r="E6842">
        <v>2</v>
      </c>
      <c r="F6842" t="s">
        <v>6739</v>
      </c>
    </row>
    <row r="6843" spans="1:6" x14ac:dyDescent="0.25">
      <c r="A6843" t="s">
        <v>6691</v>
      </c>
      <c r="B6843" t="s">
        <v>656</v>
      </c>
      <c r="C6843" t="s">
        <v>657</v>
      </c>
      <c r="D6843" t="str">
        <f>HYPERLINK("http://service.sap.com/sap/support/notes/1771361","1771361")</f>
        <v>1771361</v>
      </c>
      <c r="E6843">
        <v>2</v>
      </c>
      <c r="F6843" t="s">
        <v>6740</v>
      </c>
    </row>
    <row r="6844" spans="1:6" x14ac:dyDescent="0.25">
      <c r="A6844" t="s">
        <v>6691</v>
      </c>
      <c r="B6844" t="s">
        <v>656</v>
      </c>
      <c r="C6844" t="s">
        <v>657</v>
      </c>
      <c r="D6844" t="str">
        <f>HYPERLINK("http://service.sap.com/sap/support/notes/1782120","1782120")</f>
        <v>1782120</v>
      </c>
      <c r="E6844">
        <v>2</v>
      </c>
      <c r="F6844" t="s">
        <v>6562</v>
      </c>
    </row>
    <row r="6845" spans="1:6" x14ac:dyDescent="0.25">
      <c r="A6845" t="s">
        <v>6691</v>
      </c>
      <c r="B6845" t="s">
        <v>656</v>
      </c>
      <c r="C6845" t="s">
        <v>657</v>
      </c>
      <c r="D6845" t="str">
        <f>HYPERLINK("http://service.sap.com/sap/support/notes/1786111","1786111")</f>
        <v>1786111</v>
      </c>
      <c r="E6845">
        <v>3</v>
      </c>
      <c r="F6845" t="s">
        <v>6741</v>
      </c>
    </row>
    <row r="6846" spans="1:6" x14ac:dyDescent="0.25">
      <c r="A6846" t="s">
        <v>6691</v>
      </c>
      <c r="B6846" t="s">
        <v>656</v>
      </c>
      <c r="C6846" t="s">
        <v>657</v>
      </c>
      <c r="D6846" t="str">
        <f>HYPERLINK("http://service.sap.com/sap/support/notes/1787748","1787748")</f>
        <v>1787748</v>
      </c>
      <c r="E6846">
        <v>1</v>
      </c>
      <c r="F6846" t="s">
        <v>6742</v>
      </c>
    </row>
    <row r="6847" spans="1:6" x14ac:dyDescent="0.25">
      <c r="A6847" t="s">
        <v>6691</v>
      </c>
      <c r="B6847" t="s">
        <v>656</v>
      </c>
      <c r="C6847" t="s">
        <v>657</v>
      </c>
      <c r="D6847" t="str">
        <f>HYPERLINK("http://service.sap.com/sap/support/notes/1793309","1793309")</f>
        <v>1793309</v>
      </c>
      <c r="E6847">
        <v>2</v>
      </c>
      <c r="F6847" t="s">
        <v>6743</v>
      </c>
    </row>
    <row r="6848" spans="1:6" x14ac:dyDescent="0.25">
      <c r="A6848" t="s">
        <v>6691</v>
      </c>
      <c r="B6848" t="s">
        <v>656</v>
      </c>
      <c r="C6848" t="s">
        <v>657</v>
      </c>
      <c r="D6848" t="str">
        <f>HYPERLINK("http://service.sap.com/sap/support/notes/1794531","1794531")</f>
        <v>1794531</v>
      </c>
      <c r="E6848">
        <v>2</v>
      </c>
      <c r="F6848" t="s">
        <v>6744</v>
      </c>
    </row>
    <row r="6849" spans="1:6" x14ac:dyDescent="0.25">
      <c r="A6849" t="s">
        <v>6691</v>
      </c>
      <c r="B6849" t="s">
        <v>656</v>
      </c>
      <c r="C6849" t="s">
        <v>657</v>
      </c>
      <c r="D6849" t="str">
        <f>HYPERLINK("http://service.sap.com/sap/support/notes/1794536","1794536")</f>
        <v>1794536</v>
      </c>
      <c r="E6849">
        <v>1</v>
      </c>
      <c r="F6849" t="s">
        <v>6745</v>
      </c>
    </row>
    <row r="6850" spans="1:6" x14ac:dyDescent="0.25">
      <c r="A6850" t="s">
        <v>6691</v>
      </c>
      <c r="B6850" t="s">
        <v>656</v>
      </c>
      <c r="C6850" t="s">
        <v>657</v>
      </c>
      <c r="D6850" t="str">
        <f>HYPERLINK("http://service.sap.com/sap/support/notes/1794952","1794952")</f>
        <v>1794952</v>
      </c>
      <c r="E6850">
        <v>1</v>
      </c>
      <c r="F6850" t="s">
        <v>6746</v>
      </c>
    </row>
    <row r="6851" spans="1:6" x14ac:dyDescent="0.25">
      <c r="A6851" t="s">
        <v>6691</v>
      </c>
      <c r="B6851" t="s">
        <v>656</v>
      </c>
      <c r="C6851" t="s">
        <v>657</v>
      </c>
      <c r="D6851" t="str">
        <f>HYPERLINK("http://service.sap.com/sap/support/notes/1795915","1795915")</f>
        <v>1795915</v>
      </c>
      <c r="E6851">
        <v>1</v>
      </c>
      <c r="F6851" t="s">
        <v>6747</v>
      </c>
    </row>
    <row r="6852" spans="1:6" x14ac:dyDescent="0.25">
      <c r="A6852" t="s">
        <v>6691</v>
      </c>
      <c r="B6852" t="s">
        <v>656</v>
      </c>
      <c r="C6852" t="s">
        <v>657</v>
      </c>
      <c r="D6852" t="str">
        <f>HYPERLINK("http://service.sap.com/sap/support/notes/1796516","1796516")</f>
        <v>1796516</v>
      </c>
      <c r="E6852">
        <v>2</v>
      </c>
      <c r="F6852" t="s">
        <v>6748</v>
      </c>
    </row>
    <row r="6853" spans="1:6" x14ac:dyDescent="0.25">
      <c r="A6853" t="s">
        <v>6691</v>
      </c>
      <c r="B6853" t="s">
        <v>656</v>
      </c>
      <c r="C6853" t="s">
        <v>657</v>
      </c>
      <c r="D6853" t="str">
        <f>HYPERLINK("http://service.sap.com/sap/support/notes/1797764","1797764")</f>
        <v>1797764</v>
      </c>
      <c r="E6853">
        <v>3</v>
      </c>
      <c r="F6853" t="s">
        <v>6749</v>
      </c>
    </row>
    <row r="6854" spans="1:6" x14ac:dyDescent="0.25">
      <c r="A6854" t="s">
        <v>6691</v>
      </c>
      <c r="B6854" t="s">
        <v>656</v>
      </c>
      <c r="C6854" t="s">
        <v>657</v>
      </c>
      <c r="D6854" t="str">
        <f>HYPERLINK("http://service.sap.com/sap/support/notes/1798255","1798255")</f>
        <v>1798255</v>
      </c>
      <c r="E6854">
        <v>2</v>
      </c>
      <c r="F6854" t="s">
        <v>6750</v>
      </c>
    </row>
    <row r="6855" spans="1:6" x14ac:dyDescent="0.25">
      <c r="A6855" t="s">
        <v>6691</v>
      </c>
      <c r="B6855" t="s">
        <v>656</v>
      </c>
      <c r="C6855" t="s">
        <v>657</v>
      </c>
      <c r="D6855" t="str">
        <f>HYPERLINK("http://service.sap.com/sap/support/notes/1800054","1800054")</f>
        <v>1800054</v>
      </c>
      <c r="E6855">
        <v>1</v>
      </c>
      <c r="F6855" t="s">
        <v>6751</v>
      </c>
    </row>
    <row r="6856" spans="1:6" x14ac:dyDescent="0.25">
      <c r="A6856" t="s">
        <v>6691</v>
      </c>
      <c r="B6856" t="s">
        <v>656</v>
      </c>
      <c r="C6856" t="s">
        <v>657</v>
      </c>
      <c r="D6856" t="str">
        <f>HYPERLINK("http://service.sap.com/sap/support/notes/1800745","1800745")</f>
        <v>1800745</v>
      </c>
      <c r="E6856">
        <v>2</v>
      </c>
      <c r="F6856" t="s">
        <v>6752</v>
      </c>
    </row>
    <row r="6857" spans="1:6" x14ac:dyDescent="0.25">
      <c r="A6857" t="s">
        <v>6691</v>
      </c>
      <c r="B6857" t="s">
        <v>656</v>
      </c>
      <c r="C6857" t="s">
        <v>657</v>
      </c>
      <c r="D6857" t="str">
        <f>HYPERLINK("http://service.sap.com/sap/support/notes/1802225","1802225")</f>
        <v>1802225</v>
      </c>
      <c r="E6857">
        <v>1</v>
      </c>
      <c r="F6857" t="s">
        <v>6753</v>
      </c>
    </row>
    <row r="6858" spans="1:6" x14ac:dyDescent="0.25">
      <c r="A6858" t="s">
        <v>6691</v>
      </c>
      <c r="B6858" t="s">
        <v>656</v>
      </c>
      <c r="C6858" t="s">
        <v>657</v>
      </c>
      <c r="D6858" t="str">
        <f>HYPERLINK("http://service.sap.com/sap/support/notes/1804932","1804932")</f>
        <v>1804932</v>
      </c>
      <c r="E6858">
        <v>1</v>
      </c>
      <c r="F6858" t="s">
        <v>6754</v>
      </c>
    </row>
    <row r="6859" spans="1:6" x14ac:dyDescent="0.25">
      <c r="A6859" t="s">
        <v>6691</v>
      </c>
      <c r="B6859" t="s">
        <v>694</v>
      </c>
      <c r="C6859" t="s">
        <v>695</v>
      </c>
      <c r="D6859" t="str">
        <f>HYPERLINK("http://service.sap.com/sap/support/notes/1792619","1792619")</f>
        <v>1792619</v>
      </c>
      <c r="E6859">
        <v>2</v>
      </c>
      <c r="F6859" t="s">
        <v>6755</v>
      </c>
    </row>
    <row r="6860" spans="1:6" x14ac:dyDescent="0.25">
      <c r="A6860" t="s">
        <v>6691</v>
      </c>
      <c r="B6860" t="s">
        <v>694</v>
      </c>
      <c r="C6860" t="s">
        <v>695</v>
      </c>
      <c r="D6860" t="str">
        <f>HYPERLINK("http://service.sap.com/sap/support/notes/1792757","1792757")</f>
        <v>1792757</v>
      </c>
      <c r="E6860">
        <v>1</v>
      </c>
      <c r="F6860" t="s">
        <v>6756</v>
      </c>
    </row>
    <row r="6861" spans="1:6" x14ac:dyDescent="0.25">
      <c r="A6861" t="s">
        <v>6691</v>
      </c>
      <c r="B6861" t="s">
        <v>694</v>
      </c>
      <c r="C6861" t="s">
        <v>695</v>
      </c>
      <c r="D6861" t="str">
        <f>HYPERLINK("http://service.sap.com/sap/support/notes/1797030","1797030")</f>
        <v>1797030</v>
      </c>
      <c r="E6861">
        <v>4</v>
      </c>
      <c r="F6861" t="s">
        <v>6757</v>
      </c>
    </row>
    <row r="6862" spans="1:6" x14ac:dyDescent="0.25">
      <c r="A6862" t="s">
        <v>6691</v>
      </c>
      <c r="B6862" t="s">
        <v>694</v>
      </c>
      <c r="C6862" t="s">
        <v>695</v>
      </c>
      <c r="D6862" t="str">
        <f>HYPERLINK("http://service.sap.com/sap/support/notes/1800646","1800646")</f>
        <v>1800646</v>
      </c>
      <c r="E6862">
        <v>1</v>
      </c>
      <c r="F6862" t="s">
        <v>6758</v>
      </c>
    </row>
    <row r="6863" spans="1:6" x14ac:dyDescent="0.25">
      <c r="A6863" t="s">
        <v>6691</v>
      </c>
      <c r="B6863" t="s">
        <v>694</v>
      </c>
      <c r="C6863" t="s">
        <v>695</v>
      </c>
      <c r="D6863" t="str">
        <f>HYPERLINK("http://service.sap.com/sap/support/notes/1800990","1800990")</f>
        <v>1800990</v>
      </c>
      <c r="E6863">
        <v>1</v>
      </c>
      <c r="F6863" t="s">
        <v>6759</v>
      </c>
    </row>
    <row r="6864" spans="1:6" x14ac:dyDescent="0.25">
      <c r="A6864" t="s">
        <v>6691</v>
      </c>
      <c r="B6864" t="s">
        <v>694</v>
      </c>
      <c r="C6864" t="s">
        <v>695</v>
      </c>
      <c r="D6864" t="str">
        <f>HYPERLINK("http://service.sap.com/sap/support/notes/1806184","1806184")</f>
        <v>1806184</v>
      </c>
      <c r="E6864">
        <v>3</v>
      </c>
      <c r="F6864" t="s">
        <v>6760</v>
      </c>
    </row>
    <row r="6865" spans="1:6" x14ac:dyDescent="0.25">
      <c r="A6865" t="s">
        <v>6691</v>
      </c>
      <c r="B6865" t="s">
        <v>5795</v>
      </c>
      <c r="C6865" t="s">
        <v>5796</v>
      </c>
      <c r="D6865" t="str">
        <f>HYPERLINK("http://service.sap.com/sap/support/notes/1797471","1797471")</f>
        <v>1797471</v>
      </c>
      <c r="E6865">
        <v>1</v>
      </c>
      <c r="F6865" t="s">
        <v>6761</v>
      </c>
    </row>
    <row r="6866" spans="1:6" x14ac:dyDescent="0.25">
      <c r="A6866" t="s">
        <v>6691</v>
      </c>
      <c r="B6866" t="s">
        <v>5795</v>
      </c>
      <c r="C6866" t="s">
        <v>5796</v>
      </c>
      <c r="D6866" t="str">
        <f>HYPERLINK("http://service.sap.com/sap/support/notes/1805970","1805970")</f>
        <v>1805970</v>
      </c>
      <c r="E6866">
        <v>2</v>
      </c>
      <c r="F6866" t="s">
        <v>6762</v>
      </c>
    </row>
    <row r="6867" spans="1:6" x14ac:dyDescent="0.25">
      <c r="A6867" t="s">
        <v>6691</v>
      </c>
      <c r="B6867" t="s">
        <v>6411</v>
      </c>
      <c r="C6867" t="s">
        <v>6412</v>
      </c>
      <c r="D6867" t="str">
        <f>HYPERLINK("http://service.sap.com/sap/support/notes/1782264","1782264")</f>
        <v>1782264</v>
      </c>
      <c r="E6867">
        <v>3</v>
      </c>
      <c r="F6867" t="s">
        <v>6763</v>
      </c>
    </row>
    <row r="6868" spans="1:6" x14ac:dyDescent="0.25">
      <c r="A6868" t="s">
        <v>6691</v>
      </c>
      <c r="B6868" t="s">
        <v>6411</v>
      </c>
      <c r="C6868" t="s">
        <v>6412</v>
      </c>
      <c r="D6868" t="str">
        <f>HYPERLINK("http://service.sap.com/sap/support/notes/1804048","1804048")</f>
        <v>1804048</v>
      </c>
      <c r="E6868">
        <v>3</v>
      </c>
      <c r="F6868" t="s">
        <v>6764</v>
      </c>
    </row>
    <row r="6869" spans="1:6" x14ac:dyDescent="0.25">
      <c r="A6869" t="s">
        <v>6691</v>
      </c>
      <c r="B6869" t="s">
        <v>5798</v>
      </c>
      <c r="C6869" t="s">
        <v>5799</v>
      </c>
      <c r="D6869" t="str">
        <f>HYPERLINK("http://service.sap.com/sap/support/notes/1805622","1805622")</f>
        <v>1805622</v>
      </c>
      <c r="E6869">
        <v>3</v>
      </c>
      <c r="F6869" t="s">
        <v>6765</v>
      </c>
    </row>
    <row r="6870" spans="1:6" x14ac:dyDescent="0.25">
      <c r="A6870" t="s">
        <v>6691</v>
      </c>
      <c r="B6870" t="s">
        <v>5798</v>
      </c>
      <c r="C6870" t="s">
        <v>5799</v>
      </c>
      <c r="D6870" t="str">
        <f>HYPERLINK("http://service.sap.com/sap/support/notes/1805624","1805624")</f>
        <v>1805624</v>
      </c>
      <c r="E6870">
        <v>1</v>
      </c>
      <c r="F6870" t="s">
        <v>6766</v>
      </c>
    </row>
    <row r="6871" spans="1:6" x14ac:dyDescent="0.25">
      <c r="A6871" t="s">
        <v>6691</v>
      </c>
      <c r="B6871" t="s">
        <v>24</v>
      </c>
      <c r="C6871" t="s">
        <v>10</v>
      </c>
    </row>
    <row r="6872" spans="1:6" x14ac:dyDescent="0.25">
      <c r="A6872" t="s">
        <v>6691</v>
      </c>
      <c r="B6872" t="s">
        <v>5505</v>
      </c>
      <c r="C6872" t="s">
        <v>5506</v>
      </c>
      <c r="D6872" t="str">
        <f>HYPERLINK("http://service.sap.com/sap/support/notes/1792404","1792404")</f>
        <v>1792404</v>
      </c>
      <c r="E6872">
        <v>1</v>
      </c>
      <c r="F6872" t="s">
        <v>6767</v>
      </c>
    </row>
    <row r="6873" spans="1:6" x14ac:dyDescent="0.25">
      <c r="A6873" t="s">
        <v>6691</v>
      </c>
      <c r="B6873" t="s">
        <v>5505</v>
      </c>
      <c r="C6873" t="s">
        <v>5506</v>
      </c>
      <c r="D6873" t="str">
        <f>HYPERLINK("http://service.sap.com/sap/support/notes/1799692","1799692")</f>
        <v>1799692</v>
      </c>
      <c r="E6873">
        <v>1</v>
      </c>
      <c r="F6873" t="s">
        <v>747</v>
      </c>
    </row>
    <row r="6874" spans="1:6" x14ac:dyDescent="0.25">
      <c r="A6874" t="s">
        <v>6691</v>
      </c>
      <c r="B6874" t="s">
        <v>5505</v>
      </c>
      <c r="C6874" t="s">
        <v>5506</v>
      </c>
      <c r="D6874" t="str">
        <f>HYPERLINK("http://service.sap.com/sap/support/notes/1804687","1804687")</f>
        <v>1804687</v>
      </c>
      <c r="E6874">
        <v>3</v>
      </c>
      <c r="F6874" t="s">
        <v>6768</v>
      </c>
    </row>
    <row r="6875" spans="1:6" x14ac:dyDescent="0.25">
      <c r="A6875" t="s">
        <v>6691</v>
      </c>
      <c r="B6875" t="s">
        <v>503</v>
      </c>
      <c r="C6875" t="s">
        <v>504</v>
      </c>
    </row>
    <row r="6876" spans="1:6" x14ac:dyDescent="0.25">
      <c r="A6876" t="s">
        <v>6691</v>
      </c>
      <c r="B6876" t="s">
        <v>507</v>
      </c>
      <c r="C6876" t="s">
        <v>484</v>
      </c>
      <c r="D6876" t="str">
        <f>HYPERLINK("http://service.sap.com/sap/support/notes/1801679","1801679")</f>
        <v>1801679</v>
      </c>
      <c r="E6876">
        <v>1</v>
      </c>
      <c r="F6876" t="s">
        <v>6769</v>
      </c>
    </row>
    <row r="6877" spans="1:6" x14ac:dyDescent="0.25">
      <c r="A6877" t="s">
        <v>6691</v>
      </c>
      <c r="B6877" t="s">
        <v>5514</v>
      </c>
      <c r="C6877" t="s">
        <v>5515</v>
      </c>
      <c r="D6877" t="str">
        <f>HYPERLINK("http://service.sap.com/sap/support/notes/1788545","1788545")</f>
        <v>1788545</v>
      </c>
      <c r="E6877">
        <v>2</v>
      </c>
      <c r="F6877" t="s">
        <v>6770</v>
      </c>
    </row>
    <row r="6878" spans="1:6" x14ac:dyDescent="0.25">
      <c r="A6878" t="s">
        <v>6691</v>
      </c>
      <c r="B6878" t="s">
        <v>5514</v>
      </c>
      <c r="C6878" t="s">
        <v>5515</v>
      </c>
      <c r="D6878" t="str">
        <f>HYPERLINK("http://service.sap.com/sap/support/notes/1795730","1795730")</f>
        <v>1795730</v>
      </c>
      <c r="E6878">
        <v>2</v>
      </c>
      <c r="F6878" t="s">
        <v>6771</v>
      </c>
    </row>
    <row r="6879" spans="1:6" x14ac:dyDescent="0.25">
      <c r="A6879" t="s">
        <v>6691</v>
      </c>
      <c r="B6879" t="s">
        <v>5524</v>
      </c>
      <c r="C6879" t="s">
        <v>5525</v>
      </c>
      <c r="D6879" t="str">
        <f>HYPERLINK("http://service.sap.com/sap/support/notes/1791344","1791344")</f>
        <v>1791344</v>
      </c>
      <c r="E6879">
        <v>1</v>
      </c>
      <c r="F6879" t="s">
        <v>6772</v>
      </c>
    </row>
    <row r="6880" spans="1:6" x14ac:dyDescent="0.25">
      <c r="A6880" t="s">
        <v>6691</v>
      </c>
      <c r="B6880" t="s">
        <v>5524</v>
      </c>
      <c r="C6880" t="s">
        <v>5525</v>
      </c>
      <c r="D6880" t="str">
        <f>HYPERLINK("http://service.sap.com/sap/support/notes/1798830","1798830")</f>
        <v>1798830</v>
      </c>
      <c r="E6880">
        <v>4</v>
      </c>
      <c r="F6880" t="s">
        <v>6773</v>
      </c>
    </row>
    <row r="6881" spans="1:6" x14ac:dyDescent="0.25">
      <c r="A6881" t="s">
        <v>6691</v>
      </c>
      <c r="B6881" t="s">
        <v>5524</v>
      </c>
      <c r="C6881" t="s">
        <v>5525</v>
      </c>
      <c r="D6881" t="str">
        <f>HYPERLINK("http://service.sap.com/sap/support/notes/1799396","1799396")</f>
        <v>1799396</v>
      </c>
      <c r="E6881">
        <v>2</v>
      </c>
      <c r="F6881" t="s">
        <v>6774</v>
      </c>
    </row>
    <row r="6882" spans="1:6" x14ac:dyDescent="0.25">
      <c r="A6882" t="s">
        <v>6691</v>
      </c>
      <c r="B6882" t="s">
        <v>5536</v>
      </c>
      <c r="C6882" t="s">
        <v>5537</v>
      </c>
      <c r="D6882" t="str">
        <f>HYPERLINK("http://service.sap.com/sap/support/notes/1801375","1801375")</f>
        <v>1801375</v>
      </c>
      <c r="E6882">
        <v>1</v>
      </c>
      <c r="F6882" t="s">
        <v>6775</v>
      </c>
    </row>
    <row r="6883" spans="1:6" x14ac:dyDescent="0.25">
      <c r="A6883" t="s">
        <v>6691</v>
      </c>
      <c r="B6883" t="s">
        <v>512</v>
      </c>
      <c r="C6883" t="s">
        <v>513</v>
      </c>
      <c r="D6883" t="str">
        <f>HYPERLINK("http://service.sap.com/sap/support/notes/1773558","1773558")</f>
        <v>1773558</v>
      </c>
      <c r="E6883">
        <v>1</v>
      </c>
      <c r="F6883" t="s">
        <v>6776</v>
      </c>
    </row>
    <row r="6884" spans="1:6" x14ac:dyDescent="0.25">
      <c r="A6884" t="s">
        <v>6691</v>
      </c>
      <c r="B6884" t="s">
        <v>25</v>
      </c>
      <c r="C6884" t="s">
        <v>26</v>
      </c>
    </row>
    <row r="6885" spans="1:6" x14ac:dyDescent="0.25">
      <c r="A6885" t="s">
        <v>6691</v>
      </c>
      <c r="B6885" t="s">
        <v>33</v>
      </c>
      <c r="C6885" t="s">
        <v>34</v>
      </c>
      <c r="D6885" t="str">
        <f>HYPERLINK("http://service.sap.com/sap/support/notes/1797209","1797209")</f>
        <v>1797209</v>
      </c>
      <c r="E6885">
        <v>1</v>
      </c>
      <c r="F6885" t="s">
        <v>1572</v>
      </c>
    </row>
    <row r="6886" spans="1:6" x14ac:dyDescent="0.25">
      <c r="A6886" t="s">
        <v>6691</v>
      </c>
      <c r="B6886" t="s">
        <v>520</v>
      </c>
      <c r="C6886" t="s">
        <v>176</v>
      </c>
      <c r="D6886" t="str">
        <f>HYPERLINK("http://service.sap.com/sap/support/notes/1794858","1794858")</f>
        <v>1794858</v>
      </c>
      <c r="E6886">
        <v>2</v>
      </c>
      <c r="F6886" t="s">
        <v>6777</v>
      </c>
    </row>
    <row r="6887" spans="1:6" x14ac:dyDescent="0.25">
      <c r="A6887" t="s">
        <v>6691</v>
      </c>
      <c r="B6887" t="s">
        <v>40</v>
      </c>
      <c r="C6887" t="s">
        <v>41</v>
      </c>
    </row>
    <row r="6888" spans="1:6" x14ac:dyDescent="0.25">
      <c r="A6888" t="s">
        <v>6691</v>
      </c>
      <c r="B6888" t="s">
        <v>43</v>
      </c>
      <c r="C6888" t="s">
        <v>44</v>
      </c>
      <c r="D6888" t="str">
        <f>HYPERLINK("http://service.sap.com/sap/support/notes/1801037","1801037")</f>
        <v>1801037</v>
      </c>
      <c r="E6888">
        <v>4</v>
      </c>
      <c r="F6888" t="s">
        <v>6778</v>
      </c>
    </row>
    <row r="6889" spans="1:6" x14ac:dyDescent="0.25">
      <c r="A6889" t="s">
        <v>6691</v>
      </c>
      <c r="B6889" t="s">
        <v>1580</v>
      </c>
      <c r="C6889" t="s">
        <v>307</v>
      </c>
      <c r="D6889" t="str">
        <f>HYPERLINK("http://service.sap.com/sap/support/notes/1797210","1797210")</f>
        <v>1797210</v>
      </c>
      <c r="E6889">
        <v>1</v>
      </c>
      <c r="F6889" t="s">
        <v>1581</v>
      </c>
    </row>
    <row r="6890" spans="1:6" x14ac:dyDescent="0.25">
      <c r="A6890" t="s">
        <v>6691</v>
      </c>
      <c r="B6890" t="s">
        <v>47</v>
      </c>
      <c r="C6890" t="s">
        <v>48</v>
      </c>
    </row>
    <row r="6891" spans="1:6" x14ac:dyDescent="0.25">
      <c r="A6891" t="s">
        <v>6691</v>
      </c>
      <c r="B6891" t="s">
        <v>6779</v>
      </c>
      <c r="C6891" t="s">
        <v>6780</v>
      </c>
      <c r="D6891" t="str">
        <f>HYPERLINK("http://service.sap.com/sap/support/notes/1804447","1804447")</f>
        <v>1804447</v>
      </c>
      <c r="E6891">
        <v>2</v>
      </c>
      <c r="F6891" t="s">
        <v>6781</v>
      </c>
    </row>
    <row r="6892" spans="1:6" x14ac:dyDescent="0.25">
      <c r="A6892" t="s">
        <v>6691</v>
      </c>
      <c r="B6892" t="s">
        <v>51</v>
      </c>
      <c r="C6892" t="s">
        <v>52</v>
      </c>
      <c r="D6892" t="str">
        <f>HYPERLINK("http://service.sap.com/sap/support/notes/1799064","1799064")</f>
        <v>1799064</v>
      </c>
      <c r="E6892">
        <v>4</v>
      </c>
      <c r="F6892" t="s">
        <v>1588</v>
      </c>
    </row>
    <row r="6893" spans="1:6" x14ac:dyDescent="0.25">
      <c r="A6893" t="s">
        <v>6691</v>
      </c>
      <c r="B6893" t="s">
        <v>54</v>
      </c>
      <c r="C6893" t="s">
        <v>55</v>
      </c>
      <c r="D6893" t="str">
        <f>HYPERLINK("http://service.sap.com/sap/support/notes/1797939","1797939")</f>
        <v>1797939</v>
      </c>
      <c r="E6893">
        <v>1</v>
      </c>
      <c r="F6893" t="s">
        <v>1592</v>
      </c>
    </row>
    <row r="6894" spans="1:6" x14ac:dyDescent="0.25">
      <c r="A6894" t="s">
        <v>6691</v>
      </c>
      <c r="B6894" t="s">
        <v>63</v>
      </c>
      <c r="C6894" t="s">
        <v>64</v>
      </c>
      <c r="D6894" t="str">
        <f>HYPERLINK("http://service.sap.com/sap/support/notes/1744322","1744322")</f>
        <v>1744322</v>
      </c>
      <c r="E6894">
        <v>1</v>
      </c>
      <c r="F6894" t="s">
        <v>66</v>
      </c>
    </row>
    <row r="6895" spans="1:6" x14ac:dyDescent="0.25">
      <c r="A6895" t="s">
        <v>6691</v>
      </c>
      <c r="B6895" t="s">
        <v>63</v>
      </c>
      <c r="C6895" t="s">
        <v>64</v>
      </c>
      <c r="D6895" t="str">
        <f>HYPERLINK("http://service.sap.com/sap/support/notes/1791793","1791793")</f>
        <v>1791793</v>
      </c>
      <c r="E6895">
        <v>2</v>
      </c>
      <c r="F6895" t="s">
        <v>1598</v>
      </c>
    </row>
    <row r="6896" spans="1:6" x14ac:dyDescent="0.25">
      <c r="A6896" t="s">
        <v>6691</v>
      </c>
      <c r="B6896" t="s">
        <v>63</v>
      </c>
      <c r="C6896" t="s">
        <v>64</v>
      </c>
      <c r="D6896" t="str">
        <f>HYPERLINK("http://service.sap.com/sap/support/notes/1793104","1793104")</f>
        <v>1793104</v>
      </c>
      <c r="E6896">
        <v>1</v>
      </c>
      <c r="F6896" t="s">
        <v>6782</v>
      </c>
    </row>
    <row r="6897" spans="1:6" x14ac:dyDescent="0.25">
      <c r="A6897" t="s">
        <v>6691</v>
      </c>
      <c r="B6897" t="s">
        <v>63</v>
      </c>
      <c r="C6897" t="s">
        <v>64</v>
      </c>
      <c r="D6897" t="str">
        <f>HYPERLINK("http://service.sap.com/sap/support/notes/1799148","1799148")</f>
        <v>1799148</v>
      </c>
      <c r="E6897">
        <v>1</v>
      </c>
      <c r="F6897" t="s">
        <v>6783</v>
      </c>
    </row>
    <row r="6898" spans="1:6" x14ac:dyDescent="0.25">
      <c r="A6898" t="s">
        <v>6691</v>
      </c>
      <c r="B6898" t="s">
        <v>528</v>
      </c>
      <c r="C6898" t="s">
        <v>444</v>
      </c>
      <c r="D6898" t="str">
        <f>HYPERLINK("http://service.sap.com/sap/support/notes/1803282","1803282")</f>
        <v>1803282</v>
      </c>
      <c r="E6898">
        <v>1</v>
      </c>
      <c r="F6898" t="s">
        <v>6784</v>
      </c>
    </row>
    <row r="6899" spans="1:6" x14ac:dyDescent="0.25">
      <c r="A6899" t="s">
        <v>6691</v>
      </c>
      <c r="B6899" t="s">
        <v>6018</v>
      </c>
      <c r="C6899" t="s">
        <v>6019</v>
      </c>
      <c r="D6899" t="str">
        <f>HYPERLINK("http://service.sap.com/sap/support/notes/1749159","1749159")</f>
        <v>1749159</v>
      </c>
      <c r="E6899">
        <v>1</v>
      </c>
      <c r="F6899" t="s">
        <v>6024</v>
      </c>
    </row>
    <row r="6900" spans="1:6" x14ac:dyDescent="0.25">
      <c r="A6900" t="s">
        <v>6691</v>
      </c>
      <c r="B6900" t="s">
        <v>6018</v>
      </c>
      <c r="C6900" t="s">
        <v>6019</v>
      </c>
      <c r="D6900" t="str">
        <f>HYPERLINK("http://service.sap.com/sap/support/notes/1781757","1781757")</f>
        <v>1781757</v>
      </c>
      <c r="E6900">
        <v>3</v>
      </c>
      <c r="F6900" t="s">
        <v>6785</v>
      </c>
    </row>
    <row r="6901" spans="1:6" x14ac:dyDescent="0.25">
      <c r="A6901" t="s">
        <v>6691</v>
      </c>
      <c r="B6901" t="s">
        <v>6018</v>
      </c>
      <c r="C6901" t="s">
        <v>6019</v>
      </c>
      <c r="D6901" t="str">
        <f>HYPERLINK("http://service.sap.com/sap/support/notes/1790970","1790970")</f>
        <v>1790970</v>
      </c>
      <c r="E6901">
        <v>1</v>
      </c>
      <c r="F6901" t="s">
        <v>6786</v>
      </c>
    </row>
    <row r="6902" spans="1:6" x14ac:dyDescent="0.25">
      <c r="A6902" t="s">
        <v>6691</v>
      </c>
      <c r="B6902" t="s">
        <v>6018</v>
      </c>
      <c r="C6902" t="s">
        <v>6019</v>
      </c>
      <c r="D6902" t="str">
        <f>HYPERLINK("http://service.sap.com/sap/support/notes/1791532","1791532")</f>
        <v>1791532</v>
      </c>
      <c r="E6902">
        <v>1</v>
      </c>
      <c r="F6902" t="s">
        <v>6787</v>
      </c>
    </row>
    <row r="6903" spans="1:6" x14ac:dyDescent="0.25">
      <c r="A6903" t="s">
        <v>6691</v>
      </c>
      <c r="B6903" t="s">
        <v>6018</v>
      </c>
      <c r="C6903" t="s">
        <v>6019</v>
      </c>
      <c r="D6903" t="str">
        <f>HYPERLINK("http://service.sap.com/sap/support/notes/1796624","1796624")</f>
        <v>1796624</v>
      </c>
      <c r="E6903">
        <v>1</v>
      </c>
      <c r="F6903" t="s">
        <v>6788</v>
      </c>
    </row>
    <row r="6904" spans="1:6" x14ac:dyDescent="0.25">
      <c r="A6904" t="s">
        <v>6691</v>
      </c>
      <c r="B6904" t="s">
        <v>6018</v>
      </c>
      <c r="C6904" t="s">
        <v>6019</v>
      </c>
      <c r="D6904" t="str">
        <f>HYPERLINK("http://service.sap.com/sap/support/notes/1797391","1797391")</f>
        <v>1797391</v>
      </c>
      <c r="E6904">
        <v>1</v>
      </c>
      <c r="F6904" t="s">
        <v>6789</v>
      </c>
    </row>
    <row r="6905" spans="1:6" x14ac:dyDescent="0.25">
      <c r="A6905" t="s">
        <v>6691</v>
      </c>
      <c r="B6905" t="s">
        <v>6018</v>
      </c>
      <c r="C6905" t="s">
        <v>6019</v>
      </c>
      <c r="D6905" t="str">
        <f>HYPERLINK("http://service.sap.com/sap/support/notes/1800402","1800402")</f>
        <v>1800402</v>
      </c>
      <c r="E6905">
        <v>1</v>
      </c>
      <c r="F6905" t="s">
        <v>6790</v>
      </c>
    </row>
    <row r="6906" spans="1:6" x14ac:dyDescent="0.25">
      <c r="A6906" t="s">
        <v>6691</v>
      </c>
      <c r="B6906" t="s">
        <v>536</v>
      </c>
      <c r="C6906" t="s">
        <v>537</v>
      </c>
    </row>
    <row r="6907" spans="1:6" x14ac:dyDescent="0.25">
      <c r="A6907" t="s">
        <v>6691</v>
      </c>
      <c r="B6907" t="s">
        <v>5594</v>
      </c>
      <c r="C6907" t="s">
        <v>5595</v>
      </c>
      <c r="D6907" t="str">
        <f>HYPERLINK("http://service.sap.com/sap/support/notes/1796463","1796463")</f>
        <v>1796463</v>
      </c>
      <c r="E6907">
        <v>1</v>
      </c>
      <c r="F6907" t="s">
        <v>6791</v>
      </c>
    </row>
    <row r="6908" spans="1:6" x14ac:dyDescent="0.25">
      <c r="A6908" t="s">
        <v>6691</v>
      </c>
      <c r="B6908" t="s">
        <v>5594</v>
      </c>
      <c r="C6908" t="s">
        <v>5595</v>
      </c>
      <c r="D6908" t="str">
        <f>HYPERLINK("http://service.sap.com/sap/support/notes/1801953","1801953")</f>
        <v>1801953</v>
      </c>
      <c r="E6908">
        <v>1</v>
      </c>
      <c r="F6908" t="s">
        <v>6792</v>
      </c>
    </row>
    <row r="6909" spans="1:6" x14ac:dyDescent="0.25">
      <c r="A6909" t="s">
        <v>6691</v>
      </c>
      <c r="B6909" t="s">
        <v>540</v>
      </c>
      <c r="C6909" t="s">
        <v>541</v>
      </c>
    </row>
    <row r="6910" spans="1:6" x14ac:dyDescent="0.25">
      <c r="A6910" t="s">
        <v>6691</v>
      </c>
      <c r="B6910" t="s">
        <v>542</v>
      </c>
      <c r="C6910" t="s">
        <v>5604</v>
      </c>
      <c r="D6910" t="str">
        <f>HYPERLINK("http://service.sap.com/sap/support/notes/1647210","1647210")</f>
        <v>1647210</v>
      </c>
      <c r="E6910">
        <v>13</v>
      </c>
      <c r="F6910" t="s">
        <v>3372</v>
      </c>
    </row>
    <row r="6911" spans="1:6" x14ac:dyDescent="0.25">
      <c r="A6911" t="s">
        <v>6691</v>
      </c>
      <c r="B6911" t="s">
        <v>542</v>
      </c>
      <c r="C6911" t="s">
        <v>5604</v>
      </c>
      <c r="D6911" t="str">
        <f>HYPERLINK("http://service.sap.com/sap/support/notes/1763713","1763713")</f>
        <v>1763713</v>
      </c>
      <c r="E6911">
        <v>6</v>
      </c>
      <c r="F6911" t="s">
        <v>6465</v>
      </c>
    </row>
    <row r="6912" spans="1:6" x14ac:dyDescent="0.25">
      <c r="A6912" t="s">
        <v>6691</v>
      </c>
      <c r="B6912" t="s">
        <v>542</v>
      </c>
      <c r="C6912" t="s">
        <v>5604</v>
      </c>
      <c r="D6912" t="str">
        <f>HYPERLINK("http://service.sap.com/sap/support/notes/1772421","1772421")</f>
        <v>1772421</v>
      </c>
      <c r="E6912">
        <v>3</v>
      </c>
      <c r="F6912" t="s">
        <v>6793</v>
      </c>
    </row>
    <row r="6913" spans="1:6" x14ac:dyDescent="0.25">
      <c r="A6913" t="s">
        <v>6691</v>
      </c>
      <c r="B6913" t="s">
        <v>544</v>
      </c>
      <c r="C6913" t="s">
        <v>5610</v>
      </c>
      <c r="D6913" t="str">
        <f>HYPERLINK("http://service.sap.com/sap/support/notes/1623236","1623236")</f>
        <v>1623236</v>
      </c>
      <c r="E6913">
        <v>7</v>
      </c>
      <c r="F6913" t="s">
        <v>6794</v>
      </c>
    </row>
    <row r="6914" spans="1:6" x14ac:dyDescent="0.25">
      <c r="A6914" t="s">
        <v>6691</v>
      </c>
      <c r="B6914" t="s">
        <v>5615</v>
      </c>
      <c r="C6914" t="s">
        <v>5616</v>
      </c>
      <c r="D6914" t="str">
        <f>HYPERLINK("http://service.sap.com/sap/support/notes/1767302","1767302")</f>
        <v>1767302</v>
      </c>
      <c r="E6914">
        <v>1</v>
      </c>
      <c r="F6914" t="s">
        <v>6795</v>
      </c>
    </row>
    <row r="6915" spans="1:6" x14ac:dyDescent="0.25">
      <c r="A6915" t="s">
        <v>6691</v>
      </c>
      <c r="B6915" t="s">
        <v>5615</v>
      </c>
      <c r="C6915" t="s">
        <v>5616</v>
      </c>
      <c r="D6915" t="str">
        <f>HYPERLINK("http://service.sap.com/sap/support/notes/1790132","1790132")</f>
        <v>1790132</v>
      </c>
      <c r="E6915">
        <v>1</v>
      </c>
      <c r="F6915" t="s">
        <v>6796</v>
      </c>
    </row>
    <row r="6916" spans="1:6" x14ac:dyDescent="0.25">
      <c r="A6916" t="s">
        <v>6691</v>
      </c>
      <c r="B6916" t="s">
        <v>5615</v>
      </c>
      <c r="C6916" t="s">
        <v>5616</v>
      </c>
      <c r="D6916" t="str">
        <f>HYPERLINK("http://service.sap.com/sap/support/notes/1791356","1791356")</f>
        <v>1791356</v>
      </c>
      <c r="E6916">
        <v>1</v>
      </c>
      <c r="F6916" t="s">
        <v>6797</v>
      </c>
    </row>
    <row r="6917" spans="1:6" x14ac:dyDescent="0.25">
      <c r="A6917" t="s">
        <v>6691</v>
      </c>
      <c r="B6917" t="s">
        <v>5615</v>
      </c>
      <c r="C6917" t="s">
        <v>5616</v>
      </c>
      <c r="D6917" t="str">
        <f>HYPERLINK("http://service.sap.com/sap/support/notes/1792449","1792449")</f>
        <v>1792449</v>
      </c>
      <c r="E6917">
        <v>2</v>
      </c>
      <c r="F6917" t="s">
        <v>6798</v>
      </c>
    </row>
    <row r="6918" spans="1:6" x14ac:dyDescent="0.25">
      <c r="A6918" t="s">
        <v>6691</v>
      </c>
      <c r="B6918" t="s">
        <v>5615</v>
      </c>
      <c r="C6918" t="s">
        <v>5616</v>
      </c>
      <c r="D6918" t="str">
        <f>HYPERLINK("http://service.sap.com/sap/support/notes/1795081","1795081")</f>
        <v>1795081</v>
      </c>
      <c r="E6918">
        <v>2</v>
      </c>
      <c r="F6918" t="s">
        <v>6799</v>
      </c>
    </row>
    <row r="6919" spans="1:6" x14ac:dyDescent="0.25">
      <c r="A6919" t="s">
        <v>6691</v>
      </c>
      <c r="B6919" t="s">
        <v>5615</v>
      </c>
      <c r="C6919" t="s">
        <v>5616</v>
      </c>
      <c r="D6919" t="str">
        <f>HYPERLINK("http://service.sap.com/sap/support/notes/1796303","1796303")</f>
        <v>1796303</v>
      </c>
      <c r="E6919">
        <v>2</v>
      </c>
      <c r="F6919" t="s">
        <v>6800</v>
      </c>
    </row>
    <row r="6920" spans="1:6" x14ac:dyDescent="0.25">
      <c r="A6920" t="s">
        <v>6691</v>
      </c>
      <c r="B6920" t="s">
        <v>5615</v>
      </c>
      <c r="C6920" t="s">
        <v>5616</v>
      </c>
      <c r="D6920" t="str">
        <f>HYPERLINK("http://service.sap.com/sap/support/notes/1797632","1797632")</f>
        <v>1797632</v>
      </c>
      <c r="E6920">
        <v>2</v>
      </c>
      <c r="F6920" t="s">
        <v>6801</v>
      </c>
    </row>
    <row r="6921" spans="1:6" x14ac:dyDescent="0.25">
      <c r="A6921" t="s">
        <v>6691</v>
      </c>
      <c r="B6921" t="s">
        <v>5615</v>
      </c>
      <c r="C6921" t="s">
        <v>5616</v>
      </c>
      <c r="D6921" t="str">
        <f>HYPERLINK("http://service.sap.com/sap/support/notes/1800119","1800119")</f>
        <v>1800119</v>
      </c>
      <c r="E6921">
        <v>1</v>
      </c>
      <c r="F6921" t="s">
        <v>6802</v>
      </c>
    </row>
    <row r="6922" spans="1:6" x14ac:dyDescent="0.25">
      <c r="A6922" t="s">
        <v>6691</v>
      </c>
      <c r="B6922" t="s">
        <v>5615</v>
      </c>
      <c r="C6922" t="s">
        <v>5616</v>
      </c>
      <c r="D6922" t="str">
        <f>HYPERLINK("http://service.sap.com/sap/support/notes/1800550","1800550")</f>
        <v>1800550</v>
      </c>
      <c r="E6922">
        <v>1</v>
      </c>
      <c r="F6922" t="s">
        <v>6803</v>
      </c>
    </row>
    <row r="6923" spans="1:6" x14ac:dyDescent="0.25">
      <c r="A6923" t="s">
        <v>6691</v>
      </c>
      <c r="B6923" t="s">
        <v>5615</v>
      </c>
      <c r="C6923" t="s">
        <v>5616</v>
      </c>
      <c r="D6923" t="str">
        <f>HYPERLINK("http://service.sap.com/sap/support/notes/1802830","1802830")</f>
        <v>1802830</v>
      </c>
      <c r="E6923">
        <v>1</v>
      </c>
      <c r="F6923" t="s">
        <v>6804</v>
      </c>
    </row>
    <row r="6924" spans="1:6" x14ac:dyDescent="0.25">
      <c r="A6924" t="s">
        <v>6691</v>
      </c>
      <c r="B6924" t="s">
        <v>5615</v>
      </c>
      <c r="C6924" t="s">
        <v>5616</v>
      </c>
      <c r="D6924" t="str">
        <f>HYPERLINK("http://service.sap.com/sap/support/notes/1803336","1803336")</f>
        <v>1803336</v>
      </c>
      <c r="E6924">
        <v>2</v>
      </c>
      <c r="F6924" t="s">
        <v>6805</v>
      </c>
    </row>
    <row r="6925" spans="1:6" x14ac:dyDescent="0.25">
      <c r="A6925" t="s">
        <v>6691</v>
      </c>
      <c r="B6925" t="s">
        <v>85</v>
      </c>
      <c r="C6925" t="s">
        <v>86</v>
      </c>
    </row>
    <row r="6926" spans="1:6" x14ac:dyDescent="0.25">
      <c r="A6926" t="s">
        <v>6691</v>
      </c>
      <c r="B6926" t="s">
        <v>696</v>
      </c>
      <c r="C6926" t="s">
        <v>697</v>
      </c>
    </row>
    <row r="6927" spans="1:6" x14ac:dyDescent="0.25">
      <c r="A6927" t="s">
        <v>6691</v>
      </c>
      <c r="B6927" t="s">
        <v>3380</v>
      </c>
      <c r="C6927" t="s">
        <v>3381</v>
      </c>
      <c r="D6927" t="str">
        <f>HYPERLINK("http://service.sap.com/sap/support/notes/1750124","1750124")</f>
        <v>1750124</v>
      </c>
      <c r="E6927">
        <v>1</v>
      </c>
      <c r="F6927" t="s">
        <v>6064</v>
      </c>
    </row>
    <row r="6928" spans="1:6" x14ac:dyDescent="0.25">
      <c r="A6928" t="s">
        <v>6691</v>
      </c>
      <c r="B6928" t="s">
        <v>3380</v>
      </c>
      <c r="C6928" t="s">
        <v>3381</v>
      </c>
      <c r="D6928" t="str">
        <f>HYPERLINK("http://service.sap.com/sap/support/notes/1767925","1767925")</f>
        <v>1767925</v>
      </c>
      <c r="E6928">
        <v>1</v>
      </c>
      <c r="F6928" t="s">
        <v>6806</v>
      </c>
    </row>
    <row r="6929" spans="1:6" x14ac:dyDescent="0.25">
      <c r="A6929" t="s">
        <v>6691</v>
      </c>
      <c r="B6929" t="s">
        <v>3380</v>
      </c>
      <c r="C6929" t="s">
        <v>3381</v>
      </c>
      <c r="D6929" t="str">
        <f>HYPERLINK("http://service.sap.com/sap/support/notes/1791327","1791327")</f>
        <v>1791327</v>
      </c>
      <c r="E6929">
        <v>2</v>
      </c>
      <c r="F6929" t="s">
        <v>6807</v>
      </c>
    </row>
    <row r="6930" spans="1:6" x14ac:dyDescent="0.25">
      <c r="A6930" t="s">
        <v>6691</v>
      </c>
      <c r="B6930" t="s">
        <v>3380</v>
      </c>
      <c r="C6930" t="s">
        <v>3381</v>
      </c>
      <c r="D6930" t="str">
        <f>HYPERLINK("http://service.sap.com/sap/support/notes/1794191","1794191")</f>
        <v>1794191</v>
      </c>
      <c r="E6930">
        <v>1</v>
      </c>
      <c r="F6930" t="s">
        <v>6808</v>
      </c>
    </row>
    <row r="6931" spans="1:6" x14ac:dyDescent="0.25">
      <c r="A6931" t="s">
        <v>6691</v>
      </c>
      <c r="B6931" t="s">
        <v>698</v>
      </c>
      <c r="C6931" t="s">
        <v>699</v>
      </c>
      <c r="D6931" t="str">
        <f>HYPERLINK("http://service.sap.com/sap/support/notes/1754003","1754003")</f>
        <v>1754003</v>
      </c>
      <c r="E6931">
        <v>1</v>
      </c>
      <c r="F6931" t="s">
        <v>6809</v>
      </c>
    </row>
    <row r="6932" spans="1:6" x14ac:dyDescent="0.25">
      <c r="A6932" t="s">
        <v>6691</v>
      </c>
      <c r="B6932" t="s">
        <v>698</v>
      </c>
      <c r="C6932" t="s">
        <v>699</v>
      </c>
      <c r="D6932" t="str">
        <f>HYPERLINK("http://service.sap.com/sap/support/notes/1778285","1778285")</f>
        <v>1778285</v>
      </c>
      <c r="E6932">
        <v>1</v>
      </c>
      <c r="F6932" t="s">
        <v>6810</v>
      </c>
    </row>
    <row r="6933" spans="1:6" x14ac:dyDescent="0.25">
      <c r="A6933" t="s">
        <v>6691</v>
      </c>
      <c r="B6933" t="s">
        <v>698</v>
      </c>
      <c r="C6933" t="s">
        <v>699</v>
      </c>
      <c r="D6933" t="str">
        <f>HYPERLINK("http://service.sap.com/sap/support/notes/1790786","1790786")</f>
        <v>1790786</v>
      </c>
      <c r="E6933">
        <v>1</v>
      </c>
      <c r="F6933" t="s">
        <v>6811</v>
      </c>
    </row>
    <row r="6934" spans="1:6" x14ac:dyDescent="0.25">
      <c r="A6934" t="s">
        <v>6691</v>
      </c>
      <c r="B6934" t="s">
        <v>698</v>
      </c>
      <c r="C6934" t="s">
        <v>699</v>
      </c>
      <c r="D6934" t="str">
        <f>HYPERLINK("http://service.sap.com/sap/support/notes/1791071","1791071")</f>
        <v>1791071</v>
      </c>
      <c r="E6934">
        <v>1</v>
      </c>
      <c r="F6934" t="s">
        <v>6812</v>
      </c>
    </row>
    <row r="6935" spans="1:6" x14ac:dyDescent="0.25">
      <c r="A6935" t="s">
        <v>6691</v>
      </c>
      <c r="B6935" t="s">
        <v>698</v>
      </c>
      <c r="C6935" t="s">
        <v>699</v>
      </c>
      <c r="D6935" t="str">
        <f>HYPERLINK("http://service.sap.com/sap/support/notes/1799733","1799733")</f>
        <v>1799733</v>
      </c>
      <c r="E6935">
        <v>1</v>
      </c>
      <c r="F6935" t="s">
        <v>6813</v>
      </c>
    </row>
    <row r="6936" spans="1:6" x14ac:dyDescent="0.25">
      <c r="A6936" t="s">
        <v>6691</v>
      </c>
      <c r="B6936" t="s">
        <v>6077</v>
      </c>
      <c r="C6936" t="s">
        <v>645</v>
      </c>
      <c r="D6936" t="str">
        <f>HYPERLINK("http://service.sap.com/sap/support/notes/1795545","1795545")</f>
        <v>1795545</v>
      </c>
      <c r="E6936">
        <v>1</v>
      </c>
      <c r="F6936" t="s">
        <v>6814</v>
      </c>
    </row>
    <row r="6937" spans="1:6" x14ac:dyDescent="0.25">
      <c r="A6937" t="s">
        <v>6691</v>
      </c>
      <c r="B6937" t="s">
        <v>90</v>
      </c>
      <c r="C6937" t="s">
        <v>13</v>
      </c>
    </row>
    <row r="6938" spans="1:6" x14ac:dyDescent="0.25">
      <c r="A6938" t="s">
        <v>6691</v>
      </c>
      <c r="B6938" t="s">
        <v>557</v>
      </c>
      <c r="C6938" t="s">
        <v>646</v>
      </c>
    </row>
    <row r="6939" spans="1:6" x14ac:dyDescent="0.25">
      <c r="A6939" t="s">
        <v>6691</v>
      </c>
      <c r="B6939" t="s">
        <v>563</v>
      </c>
      <c r="C6939" t="s">
        <v>564</v>
      </c>
    </row>
    <row r="6940" spans="1:6" x14ac:dyDescent="0.25">
      <c r="A6940" t="s">
        <v>6691</v>
      </c>
      <c r="B6940" t="s">
        <v>647</v>
      </c>
      <c r="C6940" t="s">
        <v>648</v>
      </c>
      <c r="D6940" t="str">
        <f>HYPERLINK("http://service.sap.com/sap/support/notes/1759162","1759162")</f>
        <v>1759162</v>
      </c>
      <c r="E6940">
        <v>2</v>
      </c>
      <c r="F6940" t="s">
        <v>6815</v>
      </c>
    </row>
    <row r="6941" spans="1:6" x14ac:dyDescent="0.25">
      <c r="A6941" t="s">
        <v>6691</v>
      </c>
      <c r="B6941" t="s">
        <v>647</v>
      </c>
      <c r="C6941" t="s">
        <v>648</v>
      </c>
      <c r="D6941" t="str">
        <f>HYPERLINK("http://service.sap.com/sap/support/notes/1772727","1772727")</f>
        <v>1772727</v>
      </c>
      <c r="E6941">
        <v>3</v>
      </c>
      <c r="F6941" t="s">
        <v>6816</v>
      </c>
    </row>
    <row r="6942" spans="1:6" x14ac:dyDescent="0.25">
      <c r="A6942" t="s">
        <v>6691</v>
      </c>
      <c r="B6942" t="s">
        <v>647</v>
      </c>
      <c r="C6942" t="s">
        <v>648</v>
      </c>
      <c r="D6942" t="str">
        <f>HYPERLINK("http://service.sap.com/sap/support/notes/1792864","1792864")</f>
        <v>1792864</v>
      </c>
      <c r="E6942">
        <v>1</v>
      </c>
      <c r="F6942" t="s">
        <v>6817</v>
      </c>
    </row>
    <row r="6943" spans="1:6" x14ac:dyDescent="0.25">
      <c r="A6943" t="s">
        <v>6691</v>
      </c>
      <c r="B6943" t="s">
        <v>647</v>
      </c>
      <c r="C6943" t="s">
        <v>648</v>
      </c>
      <c r="D6943" t="str">
        <f>HYPERLINK("http://service.sap.com/sap/support/notes/1793030","1793030")</f>
        <v>1793030</v>
      </c>
      <c r="E6943">
        <v>4</v>
      </c>
      <c r="F6943" t="s">
        <v>6818</v>
      </c>
    </row>
    <row r="6944" spans="1:6" x14ac:dyDescent="0.25">
      <c r="A6944" t="s">
        <v>6691</v>
      </c>
      <c r="B6944" t="s">
        <v>95</v>
      </c>
      <c r="C6944" t="s">
        <v>96</v>
      </c>
    </row>
    <row r="6945" spans="1:6" x14ac:dyDescent="0.25">
      <c r="A6945" t="s">
        <v>6691</v>
      </c>
      <c r="B6945" t="s">
        <v>97</v>
      </c>
      <c r="C6945" t="s">
        <v>98</v>
      </c>
      <c r="D6945" t="str">
        <f>HYPERLINK("http://service.sap.com/sap/support/notes/1800135","1800135")</f>
        <v>1800135</v>
      </c>
      <c r="E6945">
        <v>1</v>
      </c>
      <c r="F6945" t="s">
        <v>1632</v>
      </c>
    </row>
    <row r="6946" spans="1:6" x14ac:dyDescent="0.25">
      <c r="A6946" t="s">
        <v>6691</v>
      </c>
      <c r="B6946" t="s">
        <v>114</v>
      </c>
      <c r="C6946" t="s">
        <v>115</v>
      </c>
      <c r="D6946" t="str">
        <f>HYPERLINK("http://service.sap.com/sap/support/notes/1798537","1798537")</f>
        <v>1798537</v>
      </c>
      <c r="E6946">
        <v>1</v>
      </c>
      <c r="F6946" t="s">
        <v>1642</v>
      </c>
    </row>
    <row r="6947" spans="1:6" x14ac:dyDescent="0.25">
      <c r="A6947" t="s">
        <v>6691</v>
      </c>
      <c r="B6947" t="s">
        <v>114</v>
      </c>
      <c r="C6947" t="s">
        <v>115</v>
      </c>
      <c r="D6947" t="str">
        <f>HYPERLINK("http://service.sap.com/sap/support/notes/1799122","1799122")</f>
        <v>1799122</v>
      </c>
      <c r="E6947">
        <v>1</v>
      </c>
      <c r="F6947" t="s">
        <v>1643</v>
      </c>
    </row>
    <row r="6948" spans="1:6" x14ac:dyDescent="0.25">
      <c r="A6948" t="s">
        <v>6691</v>
      </c>
      <c r="B6948" t="s">
        <v>114</v>
      </c>
      <c r="C6948" t="s">
        <v>115</v>
      </c>
      <c r="D6948" t="str">
        <f>HYPERLINK("http://service.sap.com/sap/support/notes/1799263","1799263")</f>
        <v>1799263</v>
      </c>
      <c r="E6948">
        <v>1</v>
      </c>
      <c r="F6948" t="s">
        <v>1645</v>
      </c>
    </row>
    <row r="6949" spans="1:6" x14ac:dyDescent="0.25">
      <c r="A6949" t="s">
        <v>6691</v>
      </c>
      <c r="B6949" t="s">
        <v>685</v>
      </c>
      <c r="C6949" t="s">
        <v>686</v>
      </c>
      <c r="D6949" t="str">
        <f>HYPERLINK("http://service.sap.com/sap/support/notes/1781147","1781147")</f>
        <v>1781147</v>
      </c>
      <c r="E6949">
        <v>4</v>
      </c>
      <c r="F6949" t="s">
        <v>1649</v>
      </c>
    </row>
    <row r="6950" spans="1:6" x14ac:dyDescent="0.25">
      <c r="A6950" t="s">
        <v>6691</v>
      </c>
      <c r="B6950" t="s">
        <v>685</v>
      </c>
      <c r="C6950" t="s">
        <v>686</v>
      </c>
      <c r="D6950" t="str">
        <f>HYPERLINK("http://service.sap.com/sap/support/notes/1791259","1791259")</f>
        <v>1791259</v>
      </c>
      <c r="E6950">
        <v>1</v>
      </c>
      <c r="F6950" t="s">
        <v>6819</v>
      </c>
    </row>
    <row r="6951" spans="1:6" x14ac:dyDescent="0.25">
      <c r="A6951" t="s">
        <v>6691</v>
      </c>
      <c r="B6951" t="s">
        <v>685</v>
      </c>
      <c r="C6951" t="s">
        <v>686</v>
      </c>
      <c r="D6951" t="str">
        <f>HYPERLINK("http://service.sap.com/sap/support/notes/1793447","1793447")</f>
        <v>1793447</v>
      </c>
      <c r="E6951">
        <v>1</v>
      </c>
      <c r="F6951" t="s">
        <v>6820</v>
      </c>
    </row>
    <row r="6952" spans="1:6" x14ac:dyDescent="0.25">
      <c r="A6952" t="s">
        <v>6691</v>
      </c>
      <c r="B6952" t="s">
        <v>685</v>
      </c>
      <c r="C6952" t="s">
        <v>686</v>
      </c>
      <c r="D6952" t="str">
        <f>HYPERLINK("http://service.sap.com/sap/support/notes/1797425","1797425")</f>
        <v>1797425</v>
      </c>
      <c r="E6952">
        <v>1</v>
      </c>
      <c r="F6952" t="s">
        <v>6821</v>
      </c>
    </row>
    <row r="6953" spans="1:6" x14ac:dyDescent="0.25">
      <c r="A6953" t="s">
        <v>6691</v>
      </c>
      <c r="B6953" t="s">
        <v>685</v>
      </c>
      <c r="C6953" t="s">
        <v>686</v>
      </c>
      <c r="D6953" t="str">
        <f>HYPERLINK("http://service.sap.com/sap/support/notes/1797613","1797613")</f>
        <v>1797613</v>
      </c>
      <c r="E6953">
        <v>1</v>
      </c>
      <c r="F6953" t="s">
        <v>6822</v>
      </c>
    </row>
    <row r="6954" spans="1:6" x14ac:dyDescent="0.25">
      <c r="A6954" t="s">
        <v>6691</v>
      </c>
      <c r="B6954" t="s">
        <v>150</v>
      </c>
      <c r="C6954" t="s">
        <v>151</v>
      </c>
      <c r="D6954" t="str">
        <f>HYPERLINK("http://service.sap.com/sap/support/notes/1799040","1799040")</f>
        <v>1799040</v>
      </c>
      <c r="E6954">
        <v>4</v>
      </c>
      <c r="F6954" t="s">
        <v>1682</v>
      </c>
    </row>
    <row r="6955" spans="1:6" x14ac:dyDescent="0.25">
      <c r="A6955" t="s">
        <v>6691</v>
      </c>
      <c r="B6955" t="s">
        <v>155</v>
      </c>
      <c r="C6955" t="s">
        <v>156</v>
      </c>
      <c r="D6955" t="str">
        <f>HYPERLINK("http://service.sap.com/sap/support/notes/1776599","1776599")</f>
        <v>1776599</v>
      </c>
      <c r="E6955">
        <v>5</v>
      </c>
      <c r="F6955" t="s">
        <v>1685</v>
      </c>
    </row>
    <row r="6956" spans="1:6" x14ac:dyDescent="0.25">
      <c r="A6956" t="s">
        <v>6691</v>
      </c>
      <c r="B6956" t="s">
        <v>159</v>
      </c>
      <c r="C6956" t="s">
        <v>160</v>
      </c>
      <c r="D6956" t="str">
        <f>HYPERLINK("http://service.sap.com/sap/support/notes/1799140","1799140")</f>
        <v>1799140</v>
      </c>
      <c r="E6956">
        <v>1</v>
      </c>
      <c r="F6956" t="s">
        <v>6823</v>
      </c>
    </row>
    <row r="6957" spans="1:6" x14ac:dyDescent="0.25">
      <c r="A6957" t="s">
        <v>6691</v>
      </c>
      <c r="B6957" t="s">
        <v>159</v>
      </c>
      <c r="C6957" t="s">
        <v>160</v>
      </c>
      <c r="D6957" t="str">
        <f>HYPERLINK("http://service.sap.com/sap/support/notes/1803004","1803004")</f>
        <v>1803004</v>
      </c>
      <c r="E6957">
        <v>1</v>
      </c>
      <c r="F6957" t="s">
        <v>6824</v>
      </c>
    </row>
    <row r="6958" spans="1:6" x14ac:dyDescent="0.25">
      <c r="A6958" t="s">
        <v>6691</v>
      </c>
      <c r="B6958" t="s">
        <v>175</v>
      </c>
      <c r="C6958" t="s">
        <v>176</v>
      </c>
      <c r="D6958" t="str">
        <f>HYPERLINK("http://service.sap.com/sap/support/notes/1794490","1794490")</f>
        <v>1794490</v>
      </c>
      <c r="E6958">
        <v>1</v>
      </c>
      <c r="F6958" t="s">
        <v>1705</v>
      </c>
    </row>
    <row r="6959" spans="1:6" x14ac:dyDescent="0.25">
      <c r="A6959" t="s">
        <v>6691</v>
      </c>
      <c r="B6959" t="s">
        <v>183</v>
      </c>
      <c r="C6959" t="s">
        <v>184</v>
      </c>
    </row>
    <row r="6960" spans="1:6" x14ac:dyDescent="0.25">
      <c r="A6960" t="s">
        <v>6691</v>
      </c>
      <c r="B6960" t="s">
        <v>578</v>
      </c>
      <c r="C6960" t="s">
        <v>4485</v>
      </c>
      <c r="D6960" t="str">
        <f>HYPERLINK("http://service.sap.com/sap/support/notes/1798837","1798837")</f>
        <v>1798837</v>
      </c>
      <c r="E6960">
        <v>3</v>
      </c>
      <c r="F6960" t="s">
        <v>6825</v>
      </c>
    </row>
    <row r="6961" spans="1:6" x14ac:dyDescent="0.25">
      <c r="A6961" t="s">
        <v>6691</v>
      </c>
      <c r="B6961" t="s">
        <v>578</v>
      </c>
      <c r="C6961" t="s">
        <v>4485</v>
      </c>
      <c r="D6961" t="str">
        <f>HYPERLINK("http://service.sap.com/sap/support/notes/1801060","1801060")</f>
        <v>1801060</v>
      </c>
      <c r="E6961">
        <v>4</v>
      </c>
      <c r="F6961" t="s">
        <v>6826</v>
      </c>
    </row>
    <row r="6962" spans="1:6" x14ac:dyDescent="0.25">
      <c r="A6962" t="s">
        <v>6691</v>
      </c>
      <c r="B6962" t="s">
        <v>337</v>
      </c>
      <c r="C6962" t="s">
        <v>48</v>
      </c>
      <c r="D6962" t="str">
        <f>HYPERLINK("http://service.sap.com/sap/support/notes/1778857","1778857")</f>
        <v>1778857</v>
      </c>
      <c r="E6962">
        <v>3</v>
      </c>
      <c r="F6962" t="s">
        <v>1878</v>
      </c>
    </row>
    <row r="6963" spans="1:6" x14ac:dyDescent="0.25">
      <c r="A6963" t="s">
        <v>6691</v>
      </c>
      <c r="B6963" t="s">
        <v>344</v>
      </c>
      <c r="C6963" t="s">
        <v>345</v>
      </c>
    </row>
    <row r="6964" spans="1:6" x14ac:dyDescent="0.25">
      <c r="A6964" t="s">
        <v>6691</v>
      </c>
      <c r="B6964" t="s">
        <v>1902</v>
      </c>
      <c r="C6964" t="s">
        <v>1903</v>
      </c>
      <c r="D6964" t="str">
        <f>HYPERLINK("http://service.sap.com/sap/support/notes/1787263","1787263")</f>
        <v>1787263</v>
      </c>
      <c r="E6964">
        <v>2</v>
      </c>
      <c r="F6964" t="s">
        <v>6827</v>
      </c>
    </row>
    <row r="6965" spans="1:6" x14ac:dyDescent="0.25">
      <c r="A6965" t="s">
        <v>6691</v>
      </c>
      <c r="B6965" t="s">
        <v>1902</v>
      </c>
      <c r="C6965" t="s">
        <v>1903</v>
      </c>
      <c r="D6965" t="str">
        <f>HYPERLINK("http://service.sap.com/sap/support/notes/1794698","1794698")</f>
        <v>1794698</v>
      </c>
      <c r="E6965">
        <v>3</v>
      </c>
      <c r="F6965" t="s">
        <v>1904</v>
      </c>
    </row>
    <row r="6966" spans="1:6" x14ac:dyDescent="0.25">
      <c r="A6966" t="s">
        <v>6691</v>
      </c>
      <c r="B6966" t="s">
        <v>356</v>
      </c>
      <c r="C6966" t="s">
        <v>55</v>
      </c>
      <c r="D6966" t="str">
        <f>HYPERLINK("http://service.sap.com/sap/support/notes/1792466","1792466")</f>
        <v>1792466</v>
      </c>
      <c r="E6966">
        <v>3</v>
      </c>
      <c r="F6966" t="s">
        <v>1547</v>
      </c>
    </row>
    <row r="6967" spans="1:6" x14ac:dyDescent="0.25">
      <c r="A6967" t="s">
        <v>6691</v>
      </c>
      <c r="B6967" t="s">
        <v>356</v>
      </c>
      <c r="C6967" t="s">
        <v>55</v>
      </c>
      <c r="D6967" t="str">
        <f>HYPERLINK("http://service.sap.com/sap/support/notes/1801304","1801304")</f>
        <v>1801304</v>
      </c>
      <c r="E6967">
        <v>1</v>
      </c>
      <c r="F6967" t="s">
        <v>6828</v>
      </c>
    </row>
    <row r="6968" spans="1:6" x14ac:dyDescent="0.25">
      <c r="A6968" t="s">
        <v>6691</v>
      </c>
      <c r="B6968" t="s">
        <v>423</v>
      </c>
      <c r="C6968" t="s">
        <v>424</v>
      </c>
      <c r="D6968" t="str">
        <f>HYPERLINK("http://service.sap.com/sap/support/notes/1772490","1772490")</f>
        <v>1772490</v>
      </c>
      <c r="E6968">
        <v>3</v>
      </c>
      <c r="F6968" t="s">
        <v>1969</v>
      </c>
    </row>
    <row r="6969" spans="1:6" x14ac:dyDescent="0.25">
      <c r="A6969" t="s">
        <v>6691</v>
      </c>
      <c r="B6969" t="s">
        <v>423</v>
      </c>
      <c r="C6969" t="s">
        <v>424</v>
      </c>
      <c r="D6969" t="str">
        <f>HYPERLINK("http://service.sap.com/sap/support/notes/1792440","1792440")</f>
        <v>1792440</v>
      </c>
      <c r="E6969">
        <v>1</v>
      </c>
      <c r="F6969" t="s">
        <v>1972</v>
      </c>
    </row>
    <row r="6970" spans="1:6" x14ac:dyDescent="0.25">
      <c r="A6970" t="s">
        <v>6691</v>
      </c>
      <c r="B6970" t="s">
        <v>423</v>
      </c>
      <c r="C6970" t="s">
        <v>424</v>
      </c>
      <c r="D6970" t="str">
        <f>HYPERLINK("http://service.sap.com/sap/support/notes/1803274","1803274")</f>
        <v>1803274</v>
      </c>
      <c r="E6970">
        <v>2</v>
      </c>
      <c r="F6970" t="s">
        <v>1978</v>
      </c>
    </row>
    <row r="6971" spans="1:6" x14ac:dyDescent="0.25">
      <c r="A6971" t="s">
        <v>6691</v>
      </c>
      <c r="B6971" t="s">
        <v>430</v>
      </c>
      <c r="C6971" t="s">
        <v>431</v>
      </c>
    </row>
    <row r="6972" spans="1:6" x14ac:dyDescent="0.25">
      <c r="A6972" t="s">
        <v>6691</v>
      </c>
      <c r="B6972" t="s">
        <v>5678</v>
      </c>
      <c r="C6972" t="s">
        <v>5679</v>
      </c>
      <c r="D6972" t="str">
        <f>HYPERLINK("http://service.sap.com/sap/support/notes/1799548","1799548")</f>
        <v>1799548</v>
      </c>
      <c r="E6972">
        <v>1</v>
      </c>
      <c r="F6972" t="s">
        <v>6829</v>
      </c>
    </row>
    <row r="6973" spans="1:6" x14ac:dyDescent="0.25">
      <c r="A6973" t="s">
        <v>6691</v>
      </c>
      <c r="B6973" t="s">
        <v>437</v>
      </c>
      <c r="C6973" t="s">
        <v>438</v>
      </c>
      <c r="D6973" t="str">
        <f>HYPERLINK("http://service.sap.com/sap/support/notes/1799224","1799224")</f>
        <v>1799224</v>
      </c>
      <c r="E6973">
        <v>1</v>
      </c>
      <c r="F6973" t="s">
        <v>1988</v>
      </c>
    </row>
    <row r="6974" spans="1:6" x14ac:dyDescent="0.25">
      <c r="A6974" t="s">
        <v>6691</v>
      </c>
      <c r="B6974" t="s">
        <v>610</v>
      </c>
      <c r="C6974" t="s">
        <v>635</v>
      </c>
    </row>
    <row r="6975" spans="1:6" x14ac:dyDescent="0.25">
      <c r="A6975" t="s">
        <v>6691</v>
      </c>
      <c r="B6975" t="s">
        <v>622</v>
      </c>
      <c r="C6975" t="s">
        <v>623</v>
      </c>
      <c r="D6975" t="str">
        <f>HYPERLINK("http://service.sap.com/sap/support/notes/1802241","1802241")</f>
        <v>1802241</v>
      </c>
      <c r="E6975">
        <v>2</v>
      </c>
      <c r="F6975" t="s">
        <v>6830</v>
      </c>
    </row>
    <row r="6976" spans="1:6" x14ac:dyDescent="0.25">
      <c r="A6976" t="s">
        <v>6691</v>
      </c>
      <c r="B6976" t="s">
        <v>670</v>
      </c>
      <c r="C6976" t="s">
        <v>671</v>
      </c>
    </row>
    <row r="6977" spans="1:6" x14ac:dyDescent="0.25">
      <c r="A6977" t="s">
        <v>6691</v>
      </c>
      <c r="B6977" t="s">
        <v>672</v>
      </c>
      <c r="C6977" t="s">
        <v>673</v>
      </c>
    </row>
    <row r="6978" spans="1:6" x14ac:dyDescent="0.25">
      <c r="A6978" t="s">
        <v>6691</v>
      </c>
      <c r="B6978" t="s">
        <v>5713</v>
      </c>
      <c r="C6978" t="s">
        <v>5714</v>
      </c>
    </row>
    <row r="6979" spans="1:6" x14ac:dyDescent="0.25">
      <c r="A6979" t="s">
        <v>6691</v>
      </c>
      <c r="B6979" t="s">
        <v>5715</v>
      </c>
      <c r="C6979" t="s">
        <v>5710</v>
      </c>
      <c r="D6979" t="str">
        <f>HYPERLINK("http://service.sap.com/sap/support/notes/1782266","1782266")</f>
        <v>1782266</v>
      </c>
      <c r="E6979">
        <v>3</v>
      </c>
      <c r="F6979" t="s">
        <v>6831</v>
      </c>
    </row>
    <row r="6980" spans="1:6" x14ac:dyDescent="0.25">
      <c r="A6980" t="s">
        <v>6691</v>
      </c>
      <c r="B6980" t="s">
        <v>5715</v>
      </c>
      <c r="C6980" t="s">
        <v>5710</v>
      </c>
      <c r="D6980" t="str">
        <f>HYPERLINK("http://service.sap.com/sap/support/notes/1792743","1792743")</f>
        <v>1792743</v>
      </c>
      <c r="E6980">
        <v>3</v>
      </c>
      <c r="F6980" t="s">
        <v>6832</v>
      </c>
    </row>
    <row r="6981" spans="1:6" x14ac:dyDescent="0.25">
      <c r="A6981" t="s">
        <v>6691</v>
      </c>
      <c r="B6981" t="s">
        <v>5718</v>
      </c>
      <c r="C6981" t="s">
        <v>5719</v>
      </c>
    </row>
    <row r="6982" spans="1:6" x14ac:dyDescent="0.25">
      <c r="A6982" t="s">
        <v>6691</v>
      </c>
      <c r="B6982" t="s">
        <v>5720</v>
      </c>
      <c r="C6982" t="s">
        <v>5710</v>
      </c>
      <c r="D6982" t="str">
        <f>HYPERLINK("http://service.sap.com/sap/support/notes/1794849","1794849")</f>
        <v>1794849</v>
      </c>
      <c r="E6982">
        <v>3</v>
      </c>
      <c r="F6982" t="s">
        <v>6833</v>
      </c>
    </row>
    <row r="6983" spans="1:6" x14ac:dyDescent="0.25">
      <c r="A6983" t="s">
        <v>6691</v>
      </c>
      <c r="B6983" t="s">
        <v>692</v>
      </c>
      <c r="C6983" t="s">
        <v>693</v>
      </c>
    </row>
    <row r="6984" spans="1:6" x14ac:dyDescent="0.25">
      <c r="A6984" t="s">
        <v>6691</v>
      </c>
      <c r="B6984" t="s">
        <v>6834</v>
      </c>
      <c r="C6984" t="s">
        <v>6835</v>
      </c>
      <c r="D6984" t="str">
        <f>HYPERLINK("http://service.sap.com/sap/support/notes/1799907","1799907")</f>
        <v>1799907</v>
      </c>
      <c r="E6984">
        <v>1</v>
      </c>
      <c r="F6984" t="s">
        <v>6836</v>
      </c>
    </row>
    <row r="6985" spans="1:6" x14ac:dyDescent="0.25">
      <c r="A6985" t="s">
        <v>6837</v>
      </c>
      <c r="B6985" t="s">
        <v>481</v>
      </c>
      <c r="C6985" t="s">
        <v>482</v>
      </c>
    </row>
    <row r="6986" spans="1:6" x14ac:dyDescent="0.25">
      <c r="A6986" t="s">
        <v>6837</v>
      </c>
      <c r="B6986" t="s">
        <v>487</v>
      </c>
      <c r="C6986" t="s">
        <v>488</v>
      </c>
    </row>
    <row r="6987" spans="1:6" x14ac:dyDescent="0.25">
      <c r="A6987" t="s">
        <v>6837</v>
      </c>
      <c r="B6987" t="s">
        <v>489</v>
      </c>
      <c r="C6987" t="s">
        <v>641</v>
      </c>
      <c r="D6987" t="str">
        <f>HYPERLINK("http://service.sap.com/sap/support/notes/1781144","1781144")</f>
        <v>1781144</v>
      </c>
      <c r="E6987">
        <v>1</v>
      </c>
      <c r="F6987" t="s">
        <v>6692</v>
      </c>
    </row>
    <row r="6988" spans="1:6" x14ac:dyDescent="0.25">
      <c r="A6988" t="s">
        <v>6837</v>
      </c>
      <c r="B6988" t="s">
        <v>489</v>
      </c>
      <c r="C6988" t="s">
        <v>641</v>
      </c>
      <c r="D6988" t="str">
        <f>HYPERLINK("http://service.sap.com/sap/support/notes/1785152","1785152")</f>
        <v>1785152</v>
      </c>
      <c r="E6988">
        <v>1</v>
      </c>
      <c r="F6988" t="s">
        <v>6693</v>
      </c>
    </row>
    <row r="6989" spans="1:6" x14ac:dyDescent="0.25">
      <c r="A6989" t="s">
        <v>6837</v>
      </c>
      <c r="B6989" t="s">
        <v>489</v>
      </c>
      <c r="C6989" t="s">
        <v>641</v>
      </c>
      <c r="D6989" t="str">
        <f>HYPERLINK("http://service.sap.com/sap/support/notes/1799099","1799099")</f>
        <v>1799099</v>
      </c>
      <c r="E6989">
        <v>1</v>
      </c>
      <c r="F6989" t="s">
        <v>6694</v>
      </c>
    </row>
    <row r="6990" spans="1:6" x14ac:dyDescent="0.25">
      <c r="A6990" t="s">
        <v>6837</v>
      </c>
      <c r="B6990" t="s">
        <v>489</v>
      </c>
      <c r="C6990" t="s">
        <v>641</v>
      </c>
      <c r="D6990" t="str">
        <f>HYPERLINK("http://service.sap.com/sap/support/notes/1800730","1800730")</f>
        <v>1800730</v>
      </c>
      <c r="E6990">
        <v>1</v>
      </c>
      <c r="F6990" t="s">
        <v>6695</v>
      </c>
    </row>
    <row r="6991" spans="1:6" x14ac:dyDescent="0.25">
      <c r="A6991" t="s">
        <v>6837</v>
      </c>
      <c r="B6991" t="s">
        <v>489</v>
      </c>
      <c r="C6991" t="s">
        <v>641</v>
      </c>
      <c r="D6991" t="str">
        <f>HYPERLINK("http://service.sap.com/sap/support/notes/1801589","1801589")</f>
        <v>1801589</v>
      </c>
      <c r="E6991">
        <v>1</v>
      </c>
      <c r="F6991" t="s">
        <v>6696</v>
      </c>
    </row>
    <row r="6992" spans="1:6" x14ac:dyDescent="0.25">
      <c r="A6992" t="s">
        <v>6837</v>
      </c>
      <c r="B6992" t="s">
        <v>489</v>
      </c>
      <c r="C6992" t="s">
        <v>641</v>
      </c>
      <c r="D6992" t="str">
        <f>HYPERLINK("http://service.sap.com/sap/support/notes/1801637","1801637")</f>
        <v>1801637</v>
      </c>
      <c r="E6992">
        <v>1</v>
      </c>
      <c r="F6992" t="s">
        <v>6697</v>
      </c>
    </row>
    <row r="6993" spans="1:6" x14ac:dyDescent="0.25">
      <c r="A6993" t="s">
        <v>6837</v>
      </c>
      <c r="B6993" t="s">
        <v>489</v>
      </c>
      <c r="C6993" t="s">
        <v>641</v>
      </c>
      <c r="D6993" t="str">
        <f>HYPERLINK("http://service.sap.com/sap/support/notes/1802490","1802490")</f>
        <v>1802490</v>
      </c>
      <c r="E6993">
        <v>2</v>
      </c>
      <c r="F6993" t="s">
        <v>6698</v>
      </c>
    </row>
    <row r="6994" spans="1:6" x14ac:dyDescent="0.25">
      <c r="A6994" t="s">
        <v>6837</v>
      </c>
      <c r="B6994" t="s">
        <v>6519</v>
      </c>
      <c r="C6994" t="s">
        <v>6520</v>
      </c>
    </row>
    <row r="6995" spans="1:6" x14ac:dyDescent="0.25">
      <c r="A6995" t="s">
        <v>6837</v>
      </c>
      <c r="B6995" t="s">
        <v>6521</v>
      </c>
      <c r="C6995" t="s">
        <v>6522</v>
      </c>
    </row>
    <row r="6996" spans="1:6" x14ac:dyDescent="0.25">
      <c r="A6996" t="s">
        <v>6837</v>
      </c>
      <c r="B6996" t="s">
        <v>6523</v>
      </c>
      <c r="C6996" t="s">
        <v>26</v>
      </c>
    </row>
    <row r="6997" spans="1:6" x14ac:dyDescent="0.25">
      <c r="A6997" t="s">
        <v>6837</v>
      </c>
      <c r="B6997" t="s">
        <v>6524</v>
      </c>
      <c r="C6997" t="s">
        <v>6525</v>
      </c>
      <c r="D6997" t="str">
        <f>HYPERLINK("http://service.sap.com/sap/support/notes/1799967","1799967")</f>
        <v>1799967</v>
      </c>
      <c r="E6997">
        <v>1</v>
      </c>
      <c r="F6997" t="s">
        <v>6699</v>
      </c>
    </row>
    <row r="6998" spans="1:6" x14ac:dyDescent="0.25">
      <c r="A6998" t="s">
        <v>6837</v>
      </c>
      <c r="B6998" t="s">
        <v>15</v>
      </c>
      <c r="C6998" t="s">
        <v>16</v>
      </c>
    </row>
    <row r="6999" spans="1:6" x14ac:dyDescent="0.25">
      <c r="A6999" t="s">
        <v>6837</v>
      </c>
      <c r="B6999" t="s">
        <v>17</v>
      </c>
      <c r="C6999" t="s">
        <v>18</v>
      </c>
    </row>
    <row r="7000" spans="1:6" x14ac:dyDescent="0.25">
      <c r="A7000" t="s">
        <v>6837</v>
      </c>
      <c r="B7000" t="s">
        <v>19</v>
      </c>
      <c r="C7000" t="s">
        <v>20</v>
      </c>
    </row>
    <row r="7001" spans="1:6" x14ac:dyDescent="0.25">
      <c r="A7001" t="s">
        <v>6837</v>
      </c>
      <c r="B7001" t="s">
        <v>21</v>
      </c>
      <c r="C7001" t="s">
        <v>22</v>
      </c>
      <c r="D7001" t="str">
        <f>HYPERLINK("http://service.sap.com/sap/support/notes/1796075","1796075")</f>
        <v>1796075</v>
      </c>
      <c r="E7001">
        <v>1</v>
      </c>
      <c r="F7001" t="s">
        <v>6700</v>
      </c>
    </row>
    <row r="7002" spans="1:6" x14ac:dyDescent="0.25">
      <c r="A7002" t="s">
        <v>6837</v>
      </c>
      <c r="B7002" t="s">
        <v>493</v>
      </c>
      <c r="C7002" t="s">
        <v>494</v>
      </c>
    </row>
    <row r="7003" spans="1:6" x14ac:dyDescent="0.25">
      <c r="A7003" t="s">
        <v>6837</v>
      </c>
      <c r="B7003" t="s">
        <v>495</v>
      </c>
      <c r="C7003" t="s">
        <v>655</v>
      </c>
      <c r="D7003" t="str">
        <f>HYPERLINK("http://service.sap.com/sap/support/notes/1770901","1770901")</f>
        <v>1770901</v>
      </c>
      <c r="E7003">
        <v>3</v>
      </c>
      <c r="F7003" t="s">
        <v>6701</v>
      </c>
    </row>
    <row r="7004" spans="1:6" x14ac:dyDescent="0.25">
      <c r="A7004" t="s">
        <v>6837</v>
      </c>
      <c r="B7004" t="s">
        <v>495</v>
      </c>
      <c r="C7004" t="s">
        <v>655</v>
      </c>
      <c r="D7004" t="str">
        <f>HYPERLINK("http://service.sap.com/sap/support/notes/1791994","1791994")</f>
        <v>1791994</v>
      </c>
      <c r="E7004">
        <v>4</v>
      </c>
      <c r="F7004" t="s">
        <v>6702</v>
      </c>
    </row>
    <row r="7005" spans="1:6" x14ac:dyDescent="0.25">
      <c r="A7005" t="s">
        <v>6837</v>
      </c>
      <c r="B7005" t="s">
        <v>495</v>
      </c>
      <c r="C7005" t="s">
        <v>655</v>
      </c>
      <c r="D7005" t="str">
        <f>HYPERLINK("http://service.sap.com/sap/support/notes/1794580","1794580")</f>
        <v>1794580</v>
      </c>
      <c r="E7005">
        <v>2</v>
      </c>
      <c r="F7005" t="s">
        <v>6703</v>
      </c>
    </row>
    <row r="7006" spans="1:6" x14ac:dyDescent="0.25">
      <c r="A7006" t="s">
        <v>6837</v>
      </c>
      <c r="B7006" t="s">
        <v>495</v>
      </c>
      <c r="C7006" t="s">
        <v>655</v>
      </c>
      <c r="D7006" t="str">
        <f>HYPERLINK("http://service.sap.com/sap/support/notes/1796299","1796299")</f>
        <v>1796299</v>
      </c>
      <c r="E7006">
        <v>1</v>
      </c>
      <c r="F7006" t="s">
        <v>6704</v>
      </c>
    </row>
    <row r="7007" spans="1:6" x14ac:dyDescent="0.25">
      <c r="A7007" t="s">
        <v>6837</v>
      </c>
      <c r="B7007" t="s">
        <v>495</v>
      </c>
      <c r="C7007" t="s">
        <v>655</v>
      </c>
      <c r="D7007" t="str">
        <f>HYPERLINK("http://service.sap.com/sap/support/notes/1798046","1798046")</f>
        <v>1798046</v>
      </c>
      <c r="E7007">
        <v>1</v>
      </c>
      <c r="F7007" t="s">
        <v>6705</v>
      </c>
    </row>
    <row r="7008" spans="1:6" x14ac:dyDescent="0.25">
      <c r="A7008" t="s">
        <v>6837</v>
      </c>
      <c r="B7008" t="s">
        <v>495</v>
      </c>
      <c r="C7008" t="s">
        <v>655</v>
      </c>
      <c r="D7008" t="str">
        <f>HYPERLINK("http://service.sap.com/sap/support/notes/1798917","1798917")</f>
        <v>1798917</v>
      </c>
      <c r="E7008">
        <v>2</v>
      </c>
      <c r="F7008" t="s">
        <v>6706</v>
      </c>
    </row>
    <row r="7009" spans="1:6" x14ac:dyDescent="0.25">
      <c r="A7009" t="s">
        <v>6837</v>
      </c>
      <c r="B7009" t="s">
        <v>497</v>
      </c>
      <c r="C7009" t="s">
        <v>498</v>
      </c>
      <c r="D7009" t="str">
        <f>HYPERLINK("http://service.sap.com/sap/support/notes/1477897","1477897")</f>
        <v>1477897</v>
      </c>
      <c r="E7009">
        <v>2</v>
      </c>
      <c r="F7009" t="s">
        <v>6707</v>
      </c>
    </row>
    <row r="7010" spans="1:6" x14ac:dyDescent="0.25">
      <c r="A7010" t="s">
        <v>6837</v>
      </c>
      <c r="B7010" t="s">
        <v>497</v>
      </c>
      <c r="C7010" t="s">
        <v>498</v>
      </c>
      <c r="D7010" t="str">
        <f>HYPERLINK("http://service.sap.com/sap/support/notes/1685792","1685792")</f>
        <v>1685792</v>
      </c>
      <c r="E7010">
        <v>2</v>
      </c>
      <c r="F7010" t="s">
        <v>6708</v>
      </c>
    </row>
    <row r="7011" spans="1:6" x14ac:dyDescent="0.25">
      <c r="A7011" t="s">
        <v>6837</v>
      </c>
      <c r="B7011" t="s">
        <v>497</v>
      </c>
      <c r="C7011" t="s">
        <v>498</v>
      </c>
      <c r="D7011" t="str">
        <f>HYPERLINK("http://service.sap.com/sap/support/notes/1773055","1773055")</f>
        <v>1773055</v>
      </c>
      <c r="E7011">
        <v>4</v>
      </c>
      <c r="F7011" t="s">
        <v>6528</v>
      </c>
    </row>
    <row r="7012" spans="1:6" x14ac:dyDescent="0.25">
      <c r="A7012" t="s">
        <v>6837</v>
      </c>
      <c r="B7012" t="s">
        <v>497</v>
      </c>
      <c r="C7012" t="s">
        <v>498</v>
      </c>
      <c r="D7012" t="str">
        <f>HYPERLINK("http://service.sap.com/sap/support/notes/1785716","1785716")</f>
        <v>1785716</v>
      </c>
      <c r="E7012">
        <v>2</v>
      </c>
      <c r="F7012" t="s">
        <v>6709</v>
      </c>
    </row>
    <row r="7013" spans="1:6" x14ac:dyDescent="0.25">
      <c r="A7013" t="s">
        <v>6837</v>
      </c>
      <c r="B7013" t="s">
        <v>497</v>
      </c>
      <c r="C7013" t="s">
        <v>498</v>
      </c>
      <c r="D7013" t="str">
        <f>HYPERLINK("http://service.sap.com/sap/support/notes/1785732","1785732")</f>
        <v>1785732</v>
      </c>
      <c r="E7013">
        <v>2</v>
      </c>
      <c r="F7013" t="s">
        <v>6710</v>
      </c>
    </row>
    <row r="7014" spans="1:6" x14ac:dyDescent="0.25">
      <c r="A7014" t="s">
        <v>6837</v>
      </c>
      <c r="B7014" t="s">
        <v>497</v>
      </c>
      <c r="C7014" t="s">
        <v>498</v>
      </c>
      <c r="D7014" t="str">
        <f>HYPERLINK("http://service.sap.com/sap/support/notes/1788419","1788419")</f>
        <v>1788419</v>
      </c>
      <c r="E7014">
        <v>2</v>
      </c>
      <c r="F7014" t="s">
        <v>6550</v>
      </c>
    </row>
    <row r="7015" spans="1:6" x14ac:dyDescent="0.25">
      <c r="A7015" t="s">
        <v>6837</v>
      </c>
      <c r="B7015" t="s">
        <v>497</v>
      </c>
      <c r="C7015" t="s">
        <v>498</v>
      </c>
      <c r="D7015" t="str">
        <f>HYPERLINK("http://service.sap.com/sap/support/notes/1790398","1790398")</f>
        <v>1790398</v>
      </c>
      <c r="E7015">
        <v>1</v>
      </c>
      <c r="F7015" t="s">
        <v>6711</v>
      </c>
    </row>
    <row r="7016" spans="1:6" x14ac:dyDescent="0.25">
      <c r="A7016" t="s">
        <v>6837</v>
      </c>
      <c r="B7016" t="s">
        <v>497</v>
      </c>
      <c r="C7016" t="s">
        <v>498</v>
      </c>
      <c r="D7016" t="str">
        <f>HYPERLINK("http://service.sap.com/sap/support/notes/1792023","1792023")</f>
        <v>1792023</v>
      </c>
      <c r="E7016">
        <v>1</v>
      </c>
      <c r="F7016" t="s">
        <v>6712</v>
      </c>
    </row>
    <row r="7017" spans="1:6" x14ac:dyDescent="0.25">
      <c r="A7017" t="s">
        <v>6837</v>
      </c>
      <c r="B7017" t="s">
        <v>497</v>
      </c>
      <c r="C7017" t="s">
        <v>498</v>
      </c>
      <c r="D7017" t="str">
        <f>HYPERLINK("http://service.sap.com/sap/support/notes/1792048","1792048")</f>
        <v>1792048</v>
      </c>
      <c r="E7017">
        <v>1</v>
      </c>
      <c r="F7017" t="s">
        <v>6713</v>
      </c>
    </row>
    <row r="7018" spans="1:6" x14ac:dyDescent="0.25">
      <c r="A7018" t="s">
        <v>6837</v>
      </c>
      <c r="B7018" t="s">
        <v>497</v>
      </c>
      <c r="C7018" t="s">
        <v>498</v>
      </c>
      <c r="D7018" t="str">
        <f>HYPERLINK("http://service.sap.com/sap/support/notes/1792061","1792061")</f>
        <v>1792061</v>
      </c>
      <c r="E7018">
        <v>3</v>
      </c>
      <c r="F7018" t="s">
        <v>6714</v>
      </c>
    </row>
    <row r="7019" spans="1:6" x14ac:dyDescent="0.25">
      <c r="A7019" t="s">
        <v>6837</v>
      </c>
      <c r="B7019" t="s">
        <v>497</v>
      </c>
      <c r="C7019" t="s">
        <v>498</v>
      </c>
      <c r="D7019" t="str">
        <f>HYPERLINK("http://service.sap.com/sap/support/notes/1792575","1792575")</f>
        <v>1792575</v>
      </c>
      <c r="E7019">
        <v>1</v>
      </c>
      <c r="F7019" t="s">
        <v>6715</v>
      </c>
    </row>
    <row r="7020" spans="1:6" x14ac:dyDescent="0.25">
      <c r="A7020" t="s">
        <v>6837</v>
      </c>
      <c r="B7020" t="s">
        <v>497</v>
      </c>
      <c r="C7020" t="s">
        <v>498</v>
      </c>
      <c r="D7020" t="str">
        <f>HYPERLINK("http://service.sap.com/sap/support/notes/1793028","1793028")</f>
        <v>1793028</v>
      </c>
      <c r="E7020">
        <v>2</v>
      </c>
      <c r="F7020" t="s">
        <v>6716</v>
      </c>
    </row>
    <row r="7021" spans="1:6" x14ac:dyDescent="0.25">
      <c r="A7021" t="s">
        <v>6837</v>
      </c>
      <c r="B7021" t="s">
        <v>497</v>
      </c>
      <c r="C7021" t="s">
        <v>498</v>
      </c>
      <c r="D7021" t="str">
        <f>HYPERLINK("http://service.sap.com/sap/support/notes/1793767","1793767")</f>
        <v>1793767</v>
      </c>
      <c r="E7021">
        <v>1</v>
      </c>
      <c r="F7021" t="s">
        <v>6717</v>
      </c>
    </row>
    <row r="7022" spans="1:6" x14ac:dyDescent="0.25">
      <c r="A7022" t="s">
        <v>6837</v>
      </c>
      <c r="B7022" t="s">
        <v>497</v>
      </c>
      <c r="C7022" t="s">
        <v>498</v>
      </c>
      <c r="D7022" t="str">
        <f>HYPERLINK("http://service.sap.com/sap/support/notes/1794208","1794208")</f>
        <v>1794208</v>
      </c>
      <c r="E7022">
        <v>3</v>
      </c>
      <c r="F7022" t="s">
        <v>6718</v>
      </c>
    </row>
    <row r="7023" spans="1:6" x14ac:dyDescent="0.25">
      <c r="A7023" t="s">
        <v>6837</v>
      </c>
      <c r="B7023" t="s">
        <v>497</v>
      </c>
      <c r="C7023" t="s">
        <v>498</v>
      </c>
      <c r="D7023" t="str">
        <f>HYPERLINK("http://service.sap.com/sap/support/notes/1795030","1795030")</f>
        <v>1795030</v>
      </c>
      <c r="E7023">
        <v>1</v>
      </c>
      <c r="F7023" t="s">
        <v>6719</v>
      </c>
    </row>
    <row r="7024" spans="1:6" x14ac:dyDescent="0.25">
      <c r="A7024" t="s">
        <v>6837</v>
      </c>
      <c r="B7024" t="s">
        <v>497</v>
      </c>
      <c r="C7024" t="s">
        <v>498</v>
      </c>
      <c r="D7024" t="str">
        <f>HYPERLINK("http://service.sap.com/sap/support/notes/1795643","1795643")</f>
        <v>1795643</v>
      </c>
      <c r="E7024">
        <v>4</v>
      </c>
      <c r="F7024" t="s">
        <v>6720</v>
      </c>
    </row>
    <row r="7025" spans="1:6" x14ac:dyDescent="0.25">
      <c r="A7025" t="s">
        <v>6837</v>
      </c>
      <c r="B7025" t="s">
        <v>497</v>
      </c>
      <c r="C7025" t="s">
        <v>498</v>
      </c>
      <c r="D7025" t="str">
        <f>HYPERLINK("http://service.sap.com/sap/support/notes/1795807","1795807")</f>
        <v>1795807</v>
      </c>
      <c r="E7025">
        <v>2</v>
      </c>
      <c r="F7025" t="s">
        <v>6721</v>
      </c>
    </row>
    <row r="7026" spans="1:6" x14ac:dyDescent="0.25">
      <c r="A7026" t="s">
        <v>6837</v>
      </c>
      <c r="B7026" t="s">
        <v>497</v>
      </c>
      <c r="C7026" t="s">
        <v>498</v>
      </c>
      <c r="D7026" t="str">
        <f>HYPERLINK("http://service.sap.com/sap/support/notes/1795817","1795817")</f>
        <v>1795817</v>
      </c>
      <c r="E7026">
        <v>4</v>
      </c>
      <c r="F7026" t="s">
        <v>6722</v>
      </c>
    </row>
    <row r="7027" spans="1:6" x14ac:dyDescent="0.25">
      <c r="A7027" t="s">
        <v>6837</v>
      </c>
      <c r="B7027" t="s">
        <v>497</v>
      </c>
      <c r="C7027" t="s">
        <v>498</v>
      </c>
      <c r="D7027" t="str">
        <f>HYPERLINK("http://service.sap.com/sap/support/notes/1796450","1796450")</f>
        <v>1796450</v>
      </c>
      <c r="E7027">
        <v>1</v>
      </c>
      <c r="F7027" t="s">
        <v>6723</v>
      </c>
    </row>
    <row r="7028" spans="1:6" x14ac:dyDescent="0.25">
      <c r="A7028" t="s">
        <v>6837</v>
      </c>
      <c r="B7028" t="s">
        <v>497</v>
      </c>
      <c r="C7028" t="s">
        <v>498</v>
      </c>
      <c r="D7028" t="str">
        <f>HYPERLINK("http://service.sap.com/sap/support/notes/1796963","1796963")</f>
        <v>1796963</v>
      </c>
      <c r="E7028">
        <v>1</v>
      </c>
      <c r="F7028" t="s">
        <v>6724</v>
      </c>
    </row>
    <row r="7029" spans="1:6" x14ac:dyDescent="0.25">
      <c r="A7029" t="s">
        <v>6837</v>
      </c>
      <c r="B7029" t="s">
        <v>497</v>
      </c>
      <c r="C7029" t="s">
        <v>498</v>
      </c>
      <c r="D7029" t="str">
        <f>HYPERLINK("http://service.sap.com/sap/support/notes/1798023","1798023")</f>
        <v>1798023</v>
      </c>
      <c r="E7029">
        <v>2</v>
      </c>
      <c r="F7029" t="s">
        <v>6725</v>
      </c>
    </row>
    <row r="7030" spans="1:6" x14ac:dyDescent="0.25">
      <c r="A7030" t="s">
        <v>6837</v>
      </c>
      <c r="B7030" t="s">
        <v>497</v>
      </c>
      <c r="C7030" t="s">
        <v>498</v>
      </c>
      <c r="D7030" t="str">
        <f>HYPERLINK("http://service.sap.com/sap/support/notes/1798964","1798964")</f>
        <v>1798964</v>
      </c>
      <c r="E7030">
        <v>1</v>
      </c>
      <c r="F7030" t="s">
        <v>6726</v>
      </c>
    </row>
    <row r="7031" spans="1:6" x14ac:dyDescent="0.25">
      <c r="A7031" t="s">
        <v>6837</v>
      </c>
      <c r="B7031" t="s">
        <v>497</v>
      </c>
      <c r="C7031" t="s">
        <v>498</v>
      </c>
      <c r="D7031" t="str">
        <f>HYPERLINK("http://service.sap.com/sap/support/notes/1799229","1799229")</f>
        <v>1799229</v>
      </c>
      <c r="E7031">
        <v>1</v>
      </c>
      <c r="F7031" t="s">
        <v>6727</v>
      </c>
    </row>
    <row r="7032" spans="1:6" x14ac:dyDescent="0.25">
      <c r="A7032" t="s">
        <v>6837</v>
      </c>
      <c r="B7032" t="s">
        <v>497</v>
      </c>
      <c r="C7032" t="s">
        <v>498</v>
      </c>
      <c r="D7032" t="str">
        <f>HYPERLINK("http://service.sap.com/sap/support/notes/1799585","1799585")</f>
        <v>1799585</v>
      </c>
      <c r="E7032">
        <v>1</v>
      </c>
      <c r="F7032" t="s">
        <v>6728</v>
      </c>
    </row>
    <row r="7033" spans="1:6" x14ac:dyDescent="0.25">
      <c r="A7033" t="s">
        <v>6837</v>
      </c>
      <c r="B7033" t="s">
        <v>497</v>
      </c>
      <c r="C7033" t="s">
        <v>498</v>
      </c>
      <c r="D7033" t="str">
        <f>HYPERLINK("http://service.sap.com/sap/support/notes/1800125","1800125")</f>
        <v>1800125</v>
      </c>
      <c r="E7033">
        <v>2</v>
      </c>
      <c r="F7033" t="s">
        <v>6729</v>
      </c>
    </row>
    <row r="7034" spans="1:6" x14ac:dyDescent="0.25">
      <c r="A7034" t="s">
        <v>6837</v>
      </c>
      <c r="B7034" t="s">
        <v>497</v>
      </c>
      <c r="C7034" t="s">
        <v>498</v>
      </c>
      <c r="D7034" t="str">
        <f>HYPERLINK("http://service.sap.com/sap/support/notes/1800705","1800705")</f>
        <v>1800705</v>
      </c>
      <c r="E7034">
        <v>5</v>
      </c>
      <c r="F7034" t="s">
        <v>6730</v>
      </c>
    </row>
    <row r="7035" spans="1:6" x14ac:dyDescent="0.25">
      <c r="A7035" t="s">
        <v>6837</v>
      </c>
      <c r="B7035" t="s">
        <v>497</v>
      </c>
      <c r="C7035" t="s">
        <v>498</v>
      </c>
      <c r="D7035" t="str">
        <f>HYPERLINK("http://service.sap.com/sap/support/notes/1800765","1800765")</f>
        <v>1800765</v>
      </c>
      <c r="E7035">
        <v>1</v>
      </c>
      <c r="F7035" t="s">
        <v>6731</v>
      </c>
    </row>
    <row r="7036" spans="1:6" x14ac:dyDescent="0.25">
      <c r="A7036" t="s">
        <v>6837</v>
      </c>
      <c r="B7036" t="s">
        <v>497</v>
      </c>
      <c r="C7036" t="s">
        <v>498</v>
      </c>
      <c r="D7036" t="str">
        <f>HYPERLINK("http://service.sap.com/sap/support/notes/1802110","1802110")</f>
        <v>1802110</v>
      </c>
      <c r="E7036">
        <v>1</v>
      </c>
      <c r="F7036" t="s">
        <v>6732</v>
      </c>
    </row>
    <row r="7037" spans="1:6" x14ac:dyDescent="0.25">
      <c r="A7037" t="s">
        <v>6837</v>
      </c>
      <c r="B7037" t="s">
        <v>497</v>
      </c>
      <c r="C7037" t="s">
        <v>498</v>
      </c>
      <c r="D7037" t="str">
        <f>HYPERLINK("http://service.sap.com/sap/support/notes/1802172","1802172")</f>
        <v>1802172</v>
      </c>
      <c r="E7037">
        <v>2</v>
      </c>
      <c r="F7037" t="s">
        <v>6733</v>
      </c>
    </row>
    <row r="7038" spans="1:6" x14ac:dyDescent="0.25">
      <c r="A7038" t="s">
        <v>6837</v>
      </c>
      <c r="B7038" t="s">
        <v>497</v>
      </c>
      <c r="C7038" t="s">
        <v>498</v>
      </c>
      <c r="D7038" t="str">
        <f>HYPERLINK("http://service.sap.com/sap/support/notes/1802742","1802742")</f>
        <v>1802742</v>
      </c>
      <c r="E7038">
        <v>6</v>
      </c>
      <c r="F7038" t="s">
        <v>6734</v>
      </c>
    </row>
    <row r="7039" spans="1:6" x14ac:dyDescent="0.25">
      <c r="A7039" t="s">
        <v>6837</v>
      </c>
      <c r="B7039" t="s">
        <v>497</v>
      </c>
      <c r="C7039" t="s">
        <v>498</v>
      </c>
      <c r="D7039" t="str">
        <f>HYPERLINK("http://service.sap.com/sap/support/notes/1802902","1802902")</f>
        <v>1802902</v>
      </c>
      <c r="E7039">
        <v>3</v>
      </c>
      <c r="F7039" t="s">
        <v>6735</v>
      </c>
    </row>
    <row r="7040" spans="1:6" x14ac:dyDescent="0.25">
      <c r="A7040" t="s">
        <v>6837</v>
      </c>
      <c r="B7040" t="s">
        <v>497</v>
      </c>
      <c r="C7040" t="s">
        <v>498</v>
      </c>
      <c r="D7040" t="str">
        <f>HYPERLINK("http://service.sap.com/sap/support/notes/1803292","1803292")</f>
        <v>1803292</v>
      </c>
      <c r="E7040">
        <v>1</v>
      </c>
      <c r="F7040" t="s">
        <v>6736</v>
      </c>
    </row>
    <row r="7041" spans="1:6" x14ac:dyDescent="0.25">
      <c r="A7041" t="s">
        <v>6837</v>
      </c>
      <c r="B7041" t="s">
        <v>497</v>
      </c>
      <c r="C7041" t="s">
        <v>498</v>
      </c>
      <c r="D7041" t="str">
        <f>HYPERLINK("http://service.sap.com/sap/support/notes/1804300","1804300")</f>
        <v>1804300</v>
      </c>
      <c r="E7041">
        <v>2</v>
      </c>
      <c r="F7041" t="s">
        <v>6737</v>
      </c>
    </row>
    <row r="7042" spans="1:6" x14ac:dyDescent="0.25">
      <c r="A7042" t="s">
        <v>6837</v>
      </c>
      <c r="B7042" t="s">
        <v>497</v>
      </c>
      <c r="C7042" t="s">
        <v>498</v>
      </c>
      <c r="D7042" t="str">
        <f>HYPERLINK("http://service.sap.com/sap/support/notes/1804462","1804462")</f>
        <v>1804462</v>
      </c>
      <c r="E7042">
        <v>1</v>
      </c>
      <c r="F7042" t="s">
        <v>6738</v>
      </c>
    </row>
    <row r="7043" spans="1:6" x14ac:dyDescent="0.25">
      <c r="A7043" t="s">
        <v>6837</v>
      </c>
      <c r="B7043" t="s">
        <v>497</v>
      </c>
      <c r="C7043" t="s">
        <v>498</v>
      </c>
      <c r="D7043" t="str">
        <f>HYPERLINK("http://service.sap.com/sap/support/notes/1805089","1805089")</f>
        <v>1805089</v>
      </c>
      <c r="E7043">
        <v>2</v>
      </c>
      <c r="F7043" t="s">
        <v>6739</v>
      </c>
    </row>
    <row r="7044" spans="1:6" x14ac:dyDescent="0.25">
      <c r="A7044" t="s">
        <v>6837</v>
      </c>
      <c r="B7044" t="s">
        <v>656</v>
      </c>
      <c r="C7044" t="s">
        <v>657</v>
      </c>
      <c r="D7044" t="str">
        <f>HYPERLINK("http://service.sap.com/sap/support/notes/1771361","1771361")</f>
        <v>1771361</v>
      </c>
      <c r="E7044">
        <v>2</v>
      </c>
      <c r="F7044" t="s">
        <v>6740</v>
      </c>
    </row>
    <row r="7045" spans="1:6" x14ac:dyDescent="0.25">
      <c r="A7045" t="s">
        <v>6837</v>
      </c>
      <c r="B7045" t="s">
        <v>656</v>
      </c>
      <c r="C7045" t="s">
        <v>657</v>
      </c>
      <c r="D7045" t="str">
        <f>HYPERLINK("http://service.sap.com/sap/support/notes/1782120","1782120")</f>
        <v>1782120</v>
      </c>
      <c r="E7045">
        <v>2</v>
      </c>
      <c r="F7045" t="s">
        <v>6562</v>
      </c>
    </row>
    <row r="7046" spans="1:6" x14ac:dyDescent="0.25">
      <c r="A7046" t="s">
        <v>6837</v>
      </c>
      <c r="B7046" t="s">
        <v>656</v>
      </c>
      <c r="C7046" t="s">
        <v>657</v>
      </c>
      <c r="D7046" t="str">
        <f>HYPERLINK("http://service.sap.com/sap/support/notes/1786111","1786111")</f>
        <v>1786111</v>
      </c>
      <c r="E7046">
        <v>3</v>
      </c>
      <c r="F7046" t="s">
        <v>6741</v>
      </c>
    </row>
    <row r="7047" spans="1:6" x14ac:dyDescent="0.25">
      <c r="A7047" t="s">
        <v>6837</v>
      </c>
      <c r="B7047" t="s">
        <v>656</v>
      </c>
      <c r="C7047" t="s">
        <v>657</v>
      </c>
      <c r="D7047" t="str">
        <f>HYPERLINK("http://service.sap.com/sap/support/notes/1787748","1787748")</f>
        <v>1787748</v>
      </c>
      <c r="E7047">
        <v>1</v>
      </c>
      <c r="F7047" t="s">
        <v>6742</v>
      </c>
    </row>
    <row r="7048" spans="1:6" x14ac:dyDescent="0.25">
      <c r="A7048" t="s">
        <v>6837</v>
      </c>
      <c r="B7048" t="s">
        <v>656</v>
      </c>
      <c r="C7048" t="s">
        <v>657</v>
      </c>
      <c r="D7048" t="str">
        <f>HYPERLINK("http://service.sap.com/sap/support/notes/1793309","1793309")</f>
        <v>1793309</v>
      </c>
      <c r="E7048">
        <v>2</v>
      </c>
      <c r="F7048" t="s">
        <v>6743</v>
      </c>
    </row>
    <row r="7049" spans="1:6" x14ac:dyDescent="0.25">
      <c r="A7049" t="s">
        <v>6837</v>
      </c>
      <c r="B7049" t="s">
        <v>656</v>
      </c>
      <c r="C7049" t="s">
        <v>657</v>
      </c>
      <c r="D7049" t="str">
        <f>HYPERLINK("http://service.sap.com/sap/support/notes/1794531","1794531")</f>
        <v>1794531</v>
      </c>
      <c r="E7049">
        <v>2</v>
      </c>
      <c r="F7049" t="s">
        <v>6744</v>
      </c>
    </row>
    <row r="7050" spans="1:6" x14ac:dyDescent="0.25">
      <c r="A7050" t="s">
        <v>6837</v>
      </c>
      <c r="B7050" t="s">
        <v>656</v>
      </c>
      <c r="C7050" t="s">
        <v>657</v>
      </c>
      <c r="D7050" t="str">
        <f>HYPERLINK("http://service.sap.com/sap/support/notes/1794536","1794536")</f>
        <v>1794536</v>
      </c>
      <c r="E7050">
        <v>1</v>
      </c>
      <c r="F7050" t="s">
        <v>6745</v>
      </c>
    </row>
    <row r="7051" spans="1:6" x14ac:dyDescent="0.25">
      <c r="A7051" t="s">
        <v>6837</v>
      </c>
      <c r="B7051" t="s">
        <v>656</v>
      </c>
      <c r="C7051" t="s">
        <v>657</v>
      </c>
      <c r="D7051" t="str">
        <f>HYPERLINK("http://service.sap.com/sap/support/notes/1794952","1794952")</f>
        <v>1794952</v>
      </c>
      <c r="E7051">
        <v>1</v>
      </c>
      <c r="F7051" t="s">
        <v>6746</v>
      </c>
    </row>
    <row r="7052" spans="1:6" x14ac:dyDescent="0.25">
      <c r="A7052" t="s">
        <v>6837</v>
      </c>
      <c r="B7052" t="s">
        <v>656</v>
      </c>
      <c r="C7052" t="s">
        <v>657</v>
      </c>
      <c r="D7052" t="str">
        <f>HYPERLINK("http://service.sap.com/sap/support/notes/1795915","1795915")</f>
        <v>1795915</v>
      </c>
      <c r="E7052">
        <v>1</v>
      </c>
      <c r="F7052" t="s">
        <v>6747</v>
      </c>
    </row>
    <row r="7053" spans="1:6" x14ac:dyDescent="0.25">
      <c r="A7053" t="s">
        <v>6837</v>
      </c>
      <c r="B7053" t="s">
        <v>656</v>
      </c>
      <c r="C7053" t="s">
        <v>657</v>
      </c>
      <c r="D7053" t="str">
        <f>HYPERLINK("http://service.sap.com/sap/support/notes/1796516","1796516")</f>
        <v>1796516</v>
      </c>
      <c r="E7053">
        <v>2</v>
      </c>
      <c r="F7053" t="s">
        <v>6748</v>
      </c>
    </row>
    <row r="7054" spans="1:6" x14ac:dyDescent="0.25">
      <c r="A7054" t="s">
        <v>6837</v>
      </c>
      <c r="B7054" t="s">
        <v>656</v>
      </c>
      <c r="C7054" t="s">
        <v>657</v>
      </c>
      <c r="D7054" t="str">
        <f>HYPERLINK("http://service.sap.com/sap/support/notes/1797764","1797764")</f>
        <v>1797764</v>
      </c>
      <c r="E7054">
        <v>3</v>
      </c>
      <c r="F7054" t="s">
        <v>6749</v>
      </c>
    </row>
    <row r="7055" spans="1:6" x14ac:dyDescent="0.25">
      <c r="A7055" t="s">
        <v>6837</v>
      </c>
      <c r="B7055" t="s">
        <v>656</v>
      </c>
      <c r="C7055" t="s">
        <v>657</v>
      </c>
      <c r="D7055" t="str">
        <f>HYPERLINK("http://service.sap.com/sap/support/notes/1798255","1798255")</f>
        <v>1798255</v>
      </c>
      <c r="E7055">
        <v>2</v>
      </c>
      <c r="F7055" t="s">
        <v>6750</v>
      </c>
    </row>
    <row r="7056" spans="1:6" x14ac:dyDescent="0.25">
      <c r="A7056" t="s">
        <v>6837</v>
      </c>
      <c r="B7056" t="s">
        <v>656</v>
      </c>
      <c r="C7056" t="s">
        <v>657</v>
      </c>
      <c r="D7056" t="str">
        <f>HYPERLINK("http://service.sap.com/sap/support/notes/1800054","1800054")</f>
        <v>1800054</v>
      </c>
      <c r="E7056">
        <v>1</v>
      </c>
      <c r="F7056" t="s">
        <v>6751</v>
      </c>
    </row>
    <row r="7057" spans="1:6" x14ac:dyDescent="0.25">
      <c r="A7057" t="s">
        <v>6837</v>
      </c>
      <c r="B7057" t="s">
        <v>656</v>
      </c>
      <c r="C7057" t="s">
        <v>657</v>
      </c>
      <c r="D7057" t="str">
        <f>HYPERLINK("http://service.sap.com/sap/support/notes/1800745","1800745")</f>
        <v>1800745</v>
      </c>
      <c r="E7057">
        <v>2</v>
      </c>
      <c r="F7057" t="s">
        <v>6752</v>
      </c>
    </row>
    <row r="7058" spans="1:6" x14ac:dyDescent="0.25">
      <c r="A7058" t="s">
        <v>6837</v>
      </c>
      <c r="B7058" t="s">
        <v>656</v>
      </c>
      <c r="C7058" t="s">
        <v>657</v>
      </c>
      <c r="D7058" t="str">
        <f>HYPERLINK("http://service.sap.com/sap/support/notes/1802225","1802225")</f>
        <v>1802225</v>
      </c>
      <c r="E7058">
        <v>1</v>
      </c>
      <c r="F7058" t="s">
        <v>6753</v>
      </c>
    </row>
    <row r="7059" spans="1:6" x14ac:dyDescent="0.25">
      <c r="A7059" t="s">
        <v>6837</v>
      </c>
      <c r="B7059" t="s">
        <v>656</v>
      </c>
      <c r="C7059" t="s">
        <v>657</v>
      </c>
      <c r="D7059" t="str">
        <f>HYPERLINK("http://service.sap.com/sap/support/notes/1804932","1804932")</f>
        <v>1804932</v>
      </c>
      <c r="E7059">
        <v>1</v>
      </c>
      <c r="F7059" t="s">
        <v>6754</v>
      </c>
    </row>
    <row r="7060" spans="1:6" x14ac:dyDescent="0.25">
      <c r="A7060" t="s">
        <v>6837</v>
      </c>
      <c r="B7060" t="s">
        <v>694</v>
      </c>
      <c r="C7060" t="s">
        <v>695</v>
      </c>
      <c r="D7060" t="str">
        <f>HYPERLINK("http://service.sap.com/sap/support/notes/1792619","1792619")</f>
        <v>1792619</v>
      </c>
      <c r="E7060">
        <v>2</v>
      </c>
      <c r="F7060" t="s">
        <v>6755</v>
      </c>
    </row>
    <row r="7061" spans="1:6" x14ac:dyDescent="0.25">
      <c r="A7061" t="s">
        <v>6837</v>
      </c>
      <c r="B7061" t="s">
        <v>694</v>
      </c>
      <c r="C7061" t="s">
        <v>695</v>
      </c>
      <c r="D7061" t="str">
        <f>HYPERLINK("http://service.sap.com/sap/support/notes/1792757","1792757")</f>
        <v>1792757</v>
      </c>
      <c r="E7061">
        <v>1</v>
      </c>
      <c r="F7061" t="s">
        <v>6756</v>
      </c>
    </row>
    <row r="7062" spans="1:6" x14ac:dyDescent="0.25">
      <c r="A7062" t="s">
        <v>6837</v>
      </c>
      <c r="B7062" t="s">
        <v>694</v>
      </c>
      <c r="C7062" t="s">
        <v>695</v>
      </c>
      <c r="D7062" t="str">
        <f>HYPERLINK("http://service.sap.com/sap/support/notes/1797030","1797030")</f>
        <v>1797030</v>
      </c>
      <c r="E7062">
        <v>4</v>
      </c>
      <c r="F7062" t="s">
        <v>6757</v>
      </c>
    </row>
    <row r="7063" spans="1:6" x14ac:dyDescent="0.25">
      <c r="A7063" t="s">
        <v>6837</v>
      </c>
      <c r="B7063" t="s">
        <v>694</v>
      </c>
      <c r="C7063" t="s">
        <v>695</v>
      </c>
      <c r="D7063" t="str">
        <f>HYPERLINK("http://service.sap.com/sap/support/notes/1800646","1800646")</f>
        <v>1800646</v>
      </c>
      <c r="E7063">
        <v>1</v>
      </c>
      <c r="F7063" t="s">
        <v>6758</v>
      </c>
    </row>
    <row r="7064" spans="1:6" x14ac:dyDescent="0.25">
      <c r="A7064" t="s">
        <v>6837</v>
      </c>
      <c r="B7064" t="s">
        <v>694</v>
      </c>
      <c r="C7064" t="s">
        <v>695</v>
      </c>
      <c r="D7064" t="str">
        <f>HYPERLINK("http://service.sap.com/sap/support/notes/1800990","1800990")</f>
        <v>1800990</v>
      </c>
      <c r="E7064">
        <v>1</v>
      </c>
      <c r="F7064" t="s">
        <v>6759</v>
      </c>
    </row>
    <row r="7065" spans="1:6" x14ac:dyDescent="0.25">
      <c r="A7065" t="s">
        <v>6837</v>
      </c>
      <c r="B7065" t="s">
        <v>694</v>
      </c>
      <c r="C7065" t="s">
        <v>695</v>
      </c>
      <c r="D7065" t="str">
        <f>HYPERLINK("http://service.sap.com/sap/support/notes/1806184","1806184")</f>
        <v>1806184</v>
      </c>
      <c r="E7065">
        <v>3</v>
      </c>
      <c r="F7065" t="s">
        <v>6760</v>
      </c>
    </row>
    <row r="7066" spans="1:6" x14ac:dyDescent="0.25">
      <c r="A7066" t="s">
        <v>6837</v>
      </c>
      <c r="B7066" t="s">
        <v>5795</v>
      </c>
      <c r="C7066" t="s">
        <v>5796</v>
      </c>
      <c r="D7066" t="str">
        <f>HYPERLINK("http://service.sap.com/sap/support/notes/1797471","1797471")</f>
        <v>1797471</v>
      </c>
      <c r="E7066">
        <v>1</v>
      </c>
      <c r="F7066" t="s">
        <v>6761</v>
      </c>
    </row>
    <row r="7067" spans="1:6" x14ac:dyDescent="0.25">
      <c r="A7067" t="s">
        <v>6837</v>
      </c>
      <c r="B7067" t="s">
        <v>5795</v>
      </c>
      <c r="C7067" t="s">
        <v>5796</v>
      </c>
      <c r="D7067" t="str">
        <f>HYPERLINK("http://service.sap.com/sap/support/notes/1805970","1805970")</f>
        <v>1805970</v>
      </c>
      <c r="E7067">
        <v>2</v>
      </c>
      <c r="F7067" t="s">
        <v>6762</v>
      </c>
    </row>
    <row r="7068" spans="1:6" x14ac:dyDescent="0.25">
      <c r="A7068" t="s">
        <v>6837</v>
      </c>
      <c r="B7068" t="s">
        <v>6411</v>
      </c>
      <c r="C7068" t="s">
        <v>6412</v>
      </c>
      <c r="D7068" t="str">
        <f>HYPERLINK("http://service.sap.com/sap/support/notes/1782264","1782264")</f>
        <v>1782264</v>
      </c>
      <c r="E7068">
        <v>3</v>
      </c>
      <c r="F7068" t="s">
        <v>6763</v>
      </c>
    </row>
    <row r="7069" spans="1:6" x14ac:dyDescent="0.25">
      <c r="A7069" t="s">
        <v>6837</v>
      </c>
      <c r="B7069" t="s">
        <v>6411</v>
      </c>
      <c r="C7069" t="s">
        <v>6412</v>
      </c>
      <c r="D7069" t="str">
        <f>HYPERLINK("http://service.sap.com/sap/support/notes/1804048","1804048")</f>
        <v>1804048</v>
      </c>
      <c r="E7069">
        <v>3</v>
      </c>
      <c r="F7069" t="s">
        <v>6764</v>
      </c>
    </row>
    <row r="7070" spans="1:6" x14ac:dyDescent="0.25">
      <c r="A7070" t="s">
        <v>6837</v>
      </c>
      <c r="B7070" t="s">
        <v>5798</v>
      </c>
      <c r="C7070" t="s">
        <v>5799</v>
      </c>
      <c r="D7070" t="str">
        <f>HYPERLINK("http://service.sap.com/sap/support/notes/1805622","1805622")</f>
        <v>1805622</v>
      </c>
      <c r="E7070">
        <v>3</v>
      </c>
      <c r="F7070" t="s">
        <v>6765</v>
      </c>
    </row>
    <row r="7071" spans="1:6" x14ac:dyDescent="0.25">
      <c r="A7071" t="s">
        <v>6837</v>
      </c>
      <c r="B7071" t="s">
        <v>5798</v>
      </c>
      <c r="C7071" t="s">
        <v>5799</v>
      </c>
      <c r="D7071" t="str">
        <f>HYPERLINK("http://service.sap.com/sap/support/notes/1805624","1805624")</f>
        <v>1805624</v>
      </c>
      <c r="E7071">
        <v>1</v>
      </c>
      <c r="F7071" t="s">
        <v>6766</v>
      </c>
    </row>
    <row r="7072" spans="1:6" x14ac:dyDescent="0.25">
      <c r="A7072" t="s">
        <v>6837</v>
      </c>
      <c r="B7072" t="s">
        <v>24</v>
      </c>
      <c r="C7072" t="s">
        <v>10</v>
      </c>
    </row>
    <row r="7073" spans="1:6" x14ac:dyDescent="0.25">
      <c r="A7073" t="s">
        <v>6837</v>
      </c>
      <c r="B7073" t="s">
        <v>5505</v>
      </c>
      <c r="C7073" t="s">
        <v>5506</v>
      </c>
      <c r="D7073" t="str">
        <f>HYPERLINK("http://service.sap.com/sap/support/notes/1792404","1792404")</f>
        <v>1792404</v>
      </c>
      <c r="E7073">
        <v>1</v>
      </c>
      <c r="F7073" t="s">
        <v>6767</v>
      </c>
    </row>
    <row r="7074" spans="1:6" x14ac:dyDescent="0.25">
      <c r="A7074" t="s">
        <v>6837</v>
      </c>
      <c r="B7074" t="s">
        <v>5505</v>
      </c>
      <c r="C7074" t="s">
        <v>5506</v>
      </c>
      <c r="D7074" t="str">
        <f>HYPERLINK("http://service.sap.com/sap/support/notes/1799692","1799692")</f>
        <v>1799692</v>
      </c>
      <c r="E7074">
        <v>1</v>
      </c>
      <c r="F7074" t="s">
        <v>747</v>
      </c>
    </row>
    <row r="7075" spans="1:6" x14ac:dyDescent="0.25">
      <c r="A7075" t="s">
        <v>6837</v>
      </c>
      <c r="B7075" t="s">
        <v>5505</v>
      </c>
      <c r="C7075" t="s">
        <v>5506</v>
      </c>
      <c r="D7075" t="str">
        <f>HYPERLINK("http://service.sap.com/sap/support/notes/1804687","1804687")</f>
        <v>1804687</v>
      </c>
      <c r="E7075">
        <v>3</v>
      </c>
      <c r="F7075" t="s">
        <v>6768</v>
      </c>
    </row>
    <row r="7076" spans="1:6" x14ac:dyDescent="0.25">
      <c r="A7076" t="s">
        <v>6837</v>
      </c>
      <c r="B7076" t="s">
        <v>503</v>
      </c>
      <c r="C7076" t="s">
        <v>504</v>
      </c>
    </row>
    <row r="7077" spans="1:6" x14ac:dyDescent="0.25">
      <c r="A7077" t="s">
        <v>6837</v>
      </c>
      <c r="B7077" t="s">
        <v>507</v>
      </c>
      <c r="C7077" t="s">
        <v>484</v>
      </c>
      <c r="D7077" t="str">
        <f>HYPERLINK("http://service.sap.com/sap/support/notes/1801679","1801679")</f>
        <v>1801679</v>
      </c>
      <c r="E7077">
        <v>1</v>
      </c>
      <c r="F7077" t="s">
        <v>6769</v>
      </c>
    </row>
    <row r="7078" spans="1:6" x14ac:dyDescent="0.25">
      <c r="A7078" t="s">
        <v>6837</v>
      </c>
      <c r="B7078" t="s">
        <v>5514</v>
      </c>
      <c r="C7078" t="s">
        <v>5515</v>
      </c>
      <c r="D7078" t="str">
        <f>HYPERLINK("http://service.sap.com/sap/support/notes/1788545","1788545")</f>
        <v>1788545</v>
      </c>
      <c r="E7078">
        <v>2</v>
      </c>
      <c r="F7078" t="s">
        <v>6770</v>
      </c>
    </row>
    <row r="7079" spans="1:6" x14ac:dyDescent="0.25">
      <c r="A7079" t="s">
        <v>6837</v>
      </c>
      <c r="B7079" t="s">
        <v>5514</v>
      </c>
      <c r="C7079" t="s">
        <v>5515</v>
      </c>
      <c r="D7079" t="str">
        <f>HYPERLINK("http://service.sap.com/sap/support/notes/1795730","1795730")</f>
        <v>1795730</v>
      </c>
      <c r="E7079">
        <v>2</v>
      </c>
      <c r="F7079" t="s">
        <v>6771</v>
      </c>
    </row>
    <row r="7080" spans="1:6" x14ac:dyDescent="0.25">
      <c r="A7080" t="s">
        <v>6837</v>
      </c>
      <c r="B7080" t="s">
        <v>5524</v>
      </c>
      <c r="C7080" t="s">
        <v>5525</v>
      </c>
      <c r="D7080" t="str">
        <f>HYPERLINK("http://service.sap.com/sap/support/notes/1791344","1791344")</f>
        <v>1791344</v>
      </c>
      <c r="E7080">
        <v>1</v>
      </c>
      <c r="F7080" t="s">
        <v>6772</v>
      </c>
    </row>
    <row r="7081" spans="1:6" x14ac:dyDescent="0.25">
      <c r="A7081" t="s">
        <v>6837</v>
      </c>
      <c r="B7081" t="s">
        <v>5524</v>
      </c>
      <c r="C7081" t="s">
        <v>5525</v>
      </c>
      <c r="D7081" t="str">
        <f>HYPERLINK("http://service.sap.com/sap/support/notes/1798830","1798830")</f>
        <v>1798830</v>
      </c>
      <c r="E7081">
        <v>4</v>
      </c>
      <c r="F7081" t="s">
        <v>6773</v>
      </c>
    </row>
    <row r="7082" spans="1:6" x14ac:dyDescent="0.25">
      <c r="A7082" t="s">
        <v>6837</v>
      </c>
      <c r="B7082" t="s">
        <v>5524</v>
      </c>
      <c r="C7082" t="s">
        <v>5525</v>
      </c>
      <c r="D7082" t="str">
        <f>HYPERLINK("http://service.sap.com/sap/support/notes/1799396","1799396")</f>
        <v>1799396</v>
      </c>
      <c r="E7082">
        <v>2</v>
      </c>
      <c r="F7082" t="s">
        <v>6774</v>
      </c>
    </row>
    <row r="7083" spans="1:6" x14ac:dyDescent="0.25">
      <c r="A7083" t="s">
        <v>6837</v>
      </c>
      <c r="B7083" t="s">
        <v>5536</v>
      </c>
      <c r="C7083" t="s">
        <v>5537</v>
      </c>
      <c r="D7083" t="str">
        <f>HYPERLINK("http://service.sap.com/sap/support/notes/1801375","1801375")</f>
        <v>1801375</v>
      </c>
      <c r="E7083">
        <v>1</v>
      </c>
      <c r="F7083" t="s">
        <v>6775</v>
      </c>
    </row>
    <row r="7084" spans="1:6" x14ac:dyDescent="0.25">
      <c r="A7084" t="s">
        <v>6837</v>
      </c>
      <c r="B7084" t="s">
        <v>512</v>
      </c>
      <c r="C7084" t="s">
        <v>513</v>
      </c>
      <c r="D7084" t="str">
        <f>HYPERLINK("http://service.sap.com/sap/support/notes/1773558","1773558")</f>
        <v>1773558</v>
      </c>
      <c r="E7084">
        <v>1</v>
      </c>
      <c r="F7084" t="s">
        <v>6776</v>
      </c>
    </row>
    <row r="7085" spans="1:6" x14ac:dyDescent="0.25">
      <c r="A7085" t="s">
        <v>6837</v>
      </c>
      <c r="B7085" t="s">
        <v>25</v>
      </c>
      <c r="C7085" t="s">
        <v>26</v>
      </c>
    </row>
    <row r="7086" spans="1:6" x14ac:dyDescent="0.25">
      <c r="A7086" t="s">
        <v>6837</v>
      </c>
      <c r="B7086" t="s">
        <v>33</v>
      </c>
      <c r="C7086" t="s">
        <v>34</v>
      </c>
      <c r="D7086" t="str">
        <f>HYPERLINK("http://service.sap.com/sap/support/notes/1797209","1797209")</f>
        <v>1797209</v>
      </c>
      <c r="E7086">
        <v>1</v>
      </c>
      <c r="F7086" t="s">
        <v>1572</v>
      </c>
    </row>
    <row r="7087" spans="1:6" x14ac:dyDescent="0.25">
      <c r="A7087" t="s">
        <v>6837</v>
      </c>
      <c r="B7087" t="s">
        <v>520</v>
      </c>
      <c r="C7087" t="s">
        <v>176</v>
      </c>
      <c r="D7087" t="str">
        <f>HYPERLINK("http://service.sap.com/sap/support/notes/1794858","1794858")</f>
        <v>1794858</v>
      </c>
      <c r="E7087">
        <v>2</v>
      </c>
      <c r="F7087" t="s">
        <v>6777</v>
      </c>
    </row>
    <row r="7088" spans="1:6" x14ac:dyDescent="0.25">
      <c r="A7088" t="s">
        <v>6837</v>
      </c>
      <c r="B7088" t="s">
        <v>40</v>
      </c>
      <c r="C7088" t="s">
        <v>41</v>
      </c>
    </row>
    <row r="7089" spans="1:6" x14ac:dyDescent="0.25">
      <c r="A7089" t="s">
        <v>6837</v>
      </c>
      <c r="B7089" t="s">
        <v>43</v>
      </c>
      <c r="C7089" t="s">
        <v>44</v>
      </c>
      <c r="D7089" t="str">
        <f>HYPERLINK("http://service.sap.com/sap/support/notes/1801037","1801037")</f>
        <v>1801037</v>
      </c>
      <c r="E7089">
        <v>4</v>
      </c>
      <c r="F7089" t="s">
        <v>6778</v>
      </c>
    </row>
    <row r="7090" spans="1:6" x14ac:dyDescent="0.25">
      <c r="A7090" t="s">
        <v>6837</v>
      </c>
      <c r="B7090" t="s">
        <v>1580</v>
      </c>
      <c r="C7090" t="s">
        <v>307</v>
      </c>
      <c r="D7090" t="str">
        <f>HYPERLINK("http://service.sap.com/sap/support/notes/1797210","1797210")</f>
        <v>1797210</v>
      </c>
      <c r="E7090">
        <v>1</v>
      </c>
      <c r="F7090" t="s">
        <v>1581</v>
      </c>
    </row>
    <row r="7091" spans="1:6" x14ac:dyDescent="0.25">
      <c r="A7091" t="s">
        <v>6837</v>
      </c>
      <c r="B7091" t="s">
        <v>47</v>
      </c>
      <c r="C7091" t="s">
        <v>48</v>
      </c>
    </row>
    <row r="7092" spans="1:6" x14ac:dyDescent="0.25">
      <c r="A7092" t="s">
        <v>6837</v>
      </c>
      <c r="B7092" t="s">
        <v>6779</v>
      </c>
      <c r="C7092" t="s">
        <v>6780</v>
      </c>
      <c r="D7092" t="str">
        <f>HYPERLINK("http://service.sap.com/sap/support/notes/1804447","1804447")</f>
        <v>1804447</v>
      </c>
      <c r="E7092">
        <v>2</v>
      </c>
      <c r="F7092" t="s">
        <v>6781</v>
      </c>
    </row>
    <row r="7093" spans="1:6" x14ac:dyDescent="0.25">
      <c r="A7093" t="s">
        <v>6837</v>
      </c>
      <c r="B7093" t="s">
        <v>51</v>
      </c>
      <c r="C7093" t="s">
        <v>52</v>
      </c>
      <c r="D7093" t="str">
        <f>HYPERLINK("http://service.sap.com/sap/support/notes/1799064","1799064")</f>
        <v>1799064</v>
      </c>
      <c r="E7093">
        <v>4</v>
      </c>
      <c r="F7093" t="s">
        <v>1588</v>
      </c>
    </row>
    <row r="7094" spans="1:6" x14ac:dyDescent="0.25">
      <c r="A7094" t="s">
        <v>6837</v>
      </c>
      <c r="B7094" t="s">
        <v>54</v>
      </c>
      <c r="C7094" t="s">
        <v>55</v>
      </c>
      <c r="D7094" t="str">
        <f>HYPERLINK("http://service.sap.com/sap/support/notes/1797939","1797939")</f>
        <v>1797939</v>
      </c>
      <c r="E7094">
        <v>1</v>
      </c>
      <c r="F7094" t="s">
        <v>1592</v>
      </c>
    </row>
    <row r="7095" spans="1:6" x14ac:dyDescent="0.25">
      <c r="A7095" t="s">
        <v>6837</v>
      </c>
      <c r="B7095" t="s">
        <v>63</v>
      </c>
      <c r="C7095" t="s">
        <v>64</v>
      </c>
      <c r="D7095" t="str">
        <f>HYPERLINK("http://service.sap.com/sap/support/notes/1744322","1744322")</f>
        <v>1744322</v>
      </c>
      <c r="E7095">
        <v>1</v>
      </c>
      <c r="F7095" t="s">
        <v>66</v>
      </c>
    </row>
    <row r="7096" spans="1:6" x14ac:dyDescent="0.25">
      <c r="A7096" t="s">
        <v>6837</v>
      </c>
      <c r="B7096" t="s">
        <v>63</v>
      </c>
      <c r="C7096" t="s">
        <v>64</v>
      </c>
      <c r="D7096" t="str">
        <f>HYPERLINK("http://service.sap.com/sap/support/notes/1791793","1791793")</f>
        <v>1791793</v>
      </c>
      <c r="E7096">
        <v>2</v>
      </c>
      <c r="F7096" t="s">
        <v>1598</v>
      </c>
    </row>
    <row r="7097" spans="1:6" x14ac:dyDescent="0.25">
      <c r="A7097" t="s">
        <v>6837</v>
      </c>
      <c r="B7097" t="s">
        <v>63</v>
      </c>
      <c r="C7097" t="s">
        <v>64</v>
      </c>
      <c r="D7097" t="str">
        <f>HYPERLINK("http://service.sap.com/sap/support/notes/1793104","1793104")</f>
        <v>1793104</v>
      </c>
      <c r="E7097">
        <v>1</v>
      </c>
      <c r="F7097" t="s">
        <v>6782</v>
      </c>
    </row>
    <row r="7098" spans="1:6" x14ac:dyDescent="0.25">
      <c r="A7098" t="s">
        <v>6837</v>
      </c>
      <c r="B7098" t="s">
        <v>63</v>
      </c>
      <c r="C7098" t="s">
        <v>64</v>
      </c>
      <c r="D7098" t="str">
        <f>HYPERLINK("http://service.sap.com/sap/support/notes/1799148","1799148")</f>
        <v>1799148</v>
      </c>
      <c r="E7098">
        <v>1</v>
      </c>
      <c r="F7098" t="s">
        <v>6783</v>
      </c>
    </row>
    <row r="7099" spans="1:6" x14ac:dyDescent="0.25">
      <c r="A7099" t="s">
        <v>6837</v>
      </c>
      <c r="B7099" t="s">
        <v>528</v>
      </c>
      <c r="C7099" t="s">
        <v>444</v>
      </c>
      <c r="D7099" t="str">
        <f>HYPERLINK("http://service.sap.com/sap/support/notes/1803282","1803282")</f>
        <v>1803282</v>
      </c>
      <c r="E7099">
        <v>1</v>
      </c>
      <c r="F7099" t="s">
        <v>6784</v>
      </c>
    </row>
    <row r="7100" spans="1:6" x14ac:dyDescent="0.25">
      <c r="A7100" t="s">
        <v>6837</v>
      </c>
      <c r="B7100" t="s">
        <v>6018</v>
      </c>
      <c r="C7100" t="s">
        <v>6019</v>
      </c>
      <c r="D7100" t="str">
        <f>HYPERLINK("http://service.sap.com/sap/support/notes/1749159","1749159")</f>
        <v>1749159</v>
      </c>
      <c r="E7100">
        <v>1</v>
      </c>
      <c r="F7100" t="s">
        <v>6024</v>
      </c>
    </row>
    <row r="7101" spans="1:6" x14ac:dyDescent="0.25">
      <c r="A7101" t="s">
        <v>6837</v>
      </c>
      <c r="B7101" t="s">
        <v>6018</v>
      </c>
      <c r="C7101" t="s">
        <v>6019</v>
      </c>
      <c r="D7101" t="str">
        <f>HYPERLINK("http://service.sap.com/sap/support/notes/1781757","1781757")</f>
        <v>1781757</v>
      </c>
      <c r="E7101">
        <v>3</v>
      </c>
      <c r="F7101" t="s">
        <v>6785</v>
      </c>
    </row>
    <row r="7102" spans="1:6" x14ac:dyDescent="0.25">
      <c r="A7102" t="s">
        <v>6837</v>
      </c>
      <c r="B7102" t="s">
        <v>6018</v>
      </c>
      <c r="C7102" t="s">
        <v>6019</v>
      </c>
      <c r="D7102" t="str">
        <f>HYPERLINK("http://service.sap.com/sap/support/notes/1790970","1790970")</f>
        <v>1790970</v>
      </c>
      <c r="E7102">
        <v>1</v>
      </c>
      <c r="F7102" t="s">
        <v>6786</v>
      </c>
    </row>
    <row r="7103" spans="1:6" x14ac:dyDescent="0.25">
      <c r="A7103" t="s">
        <v>6837</v>
      </c>
      <c r="B7103" t="s">
        <v>6018</v>
      </c>
      <c r="C7103" t="s">
        <v>6019</v>
      </c>
      <c r="D7103" t="str">
        <f>HYPERLINK("http://service.sap.com/sap/support/notes/1791532","1791532")</f>
        <v>1791532</v>
      </c>
      <c r="E7103">
        <v>1</v>
      </c>
      <c r="F7103" t="s">
        <v>6787</v>
      </c>
    </row>
    <row r="7104" spans="1:6" x14ac:dyDescent="0.25">
      <c r="A7104" t="s">
        <v>6837</v>
      </c>
      <c r="B7104" t="s">
        <v>6018</v>
      </c>
      <c r="C7104" t="s">
        <v>6019</v>
      </c>
      <c r="D7104" t="str">
        <f>HYPERLINK("http://service.sap.com/sap/support/notes/1796624","1796624")</f>
        <v>1796624</v>
      </c>
      <c r="E7104">
        <v>1</v>
      </c>
      <c r="F7104" t="s">
        <v>6788</v>
      </c>
    </row>
    <row r="7105" spans="1:6" x14ac:dyDescent="0.25">
      <c r="A7105" t="s">
        <v>6837</v>
      </c>
      <c r="B7105" t="s">
        <v>6018</v>
      </c>
      <c r="C7105" t="s">
        <v>6019</v>
      </c>
      <c r="D7105" t="str">
        <f>HYPERLINK("http://service.sap.com/sap/support/notes/1797391","1797391")</f>
        <v>1797391</v>
      </c>
      <c r="E7105">
        <v>1</v>
      </c>
      <c r="F7105" t="s">
        <v>6789</v>
      </c>
    </row>
    <row r="7106" spans="1:6" x14ac:dyDescent="0.25">
      <c r="A7106" t="s">
        <v>6837</v>
      </c>
      <c r="B7106" t="s">
        <v>6018</v>
      </c>
      <c r="C7106" t="s">
        <v>6019</v>
      </c>
      <c r="D7106" t="str">
        <f>HYPERLINK("http://service.sap.com/sap/support/notes/1800402","1800402")</f>
        <v>1800402</v>
      </c>
      <c r="E7106">
        <v>1</v>
      </c>
      <c r="F7106" t="s">
        <v>6790</v>
      </c>
    </row>
    <row r="7107" spans="1:6" x14ac:dyDescent="0.25">
      <c r="A7107" t="s">
        <v>6837</v>
      </c>
      <c r="B7107" t="s">
        <v>536</v>
      </c>
      <c r="C7107" t="s">
        <v>537</v>
      </c>
    </row>
    <row r="7108" spans="1:6" x14ac:dyDescent="0.25">
      <c r="A7108" t="s">
        <v>6837</v>
      </c>
      <c r="B7108" t="s">
        <v>5594</v>
      </c>
      <c r="C7108" t="s">
        <v>5595</v>
      </c>
      <c r="D7108" t="str">
        <f>HYPERLINK("http://service.sap.com/sap/support/notes/1796463","1796463")</f>
        <v>1796463</v>
      </c>
      <c r="E7108">
        <v>1</v>
      </c>
      <c r="F7108" t="s">
        <v>6791</v>
      </c>
    </row>
    <row r="7109" spans="1:6" x14ac:dyDescent="0.25">
      <c r="A7109" t="s">
        <v>6837</v>
      </c>
      <c r="B7109" t="s">
        <v>5594</v>
      </c>
      <c r="C7109" t="s">
        <v>5595</v>
      </c>
      <c r="D7109" t="str">
        <f>HYPERLINK("http://service.sap.com/sap/support/notes/1801953","1801953")</f>
        <v>1801953</v>
      </c>
      <c r="E7109">
        <v>1</v>
      </c>
      <c r="F7109" t="s">
        <v>6792</v>
      </c>
    </row>
    <row r="7110" spans="1:6" x14ac:dyDescent="0.25">
      <c r="A7110" t="s">
        <v>6837</v>
      </c>
      <c r="B7110" t="s">
        <v>540</v>
      </c>
      <c r="C7110" t="s">
        <v>541</v>
      </c>
    </row>
    <row r="7111" spans="1:6" x14ac:dyDescent="0.25">
      <c r="A7111" t="s">
        <v>6837</v>
      </c>
      <c r="B7111" t="s">
        <v>542</v>
      </c>
      <c r="C7111" t="s">
        <v>5604</v>
      </c>
      <c r="D7111" t="str">
        <f>HYPERLINK("http://service.sap.com/sap/support/notes/1647210","1647210")</f>
        <v>1647210</v>
      </c>
      <c r="E7111">
        <v>13</v>
      </c>
      <c r="F7111" t="s">
        <v>3372</v>
      </c>
    </row>
    <row r="7112" spans="1:6" x14ac:dyDescent="0.25">
      <c r="A7112" t="s">
        <v>6837</v>
      </c>
      <c r="B7112" t="s">
        <v>542</v>
      </c>
      <c r="C7112" t="s">
        <v>5604</v>
      </c>
      <c r="D7112" t="str">
        <f>HYPERLINK("http://service.sap.com/sap/support/notes/1763713","1763713")</f>
        <v>1763713</v>
      </c>
      <c r="E7112">
        <v>6</v>
      </c>
      <c r="F7112" t="s">
        <v>6465</v>
      </c>
    </row>
    <row r="7113" spans="1:6" x14ac:dyDescent="0.25">
      <c r="A7113" t="s">
        <v>6837</v>
      </c>
      <c r="B7113" t="s">
        <v>542</v>
      </c>
      <c r="C7113" t="s">
        <v>5604</v>
      </c>
      <c r="D7113" t="str">
        <f>HYPERLINK("http://service.sap.com/sap/support/notes/1772421","1772421")</f>
        <v>1772421</v>
      </c>
      <c r="E7113">
        <v>3</v>
      </c>
      <c r="F7113" t="s">
        <v>6793</v>
      </c>
    </row>
    <row r="7114" spans="1:6" x14ac:dyDescent="0.25">
      <c r="A7114" t="s">
        <v>6837</v>
      </c>
      <c r="B7114" t="s">
        <v>544</v>
      </c>
      <c r="C7114" t="s">
        <v>5610</v>
      </c>
      <c r="D7114" t="str">
        <f>HYPERLINK("http://service.sap.com/sap/support/notes/1623236","1623236")</f>
        <v>1623236</v>
      </c>
      <c r="E7114">
        <v>7</v>
      </c>
      <c r="F7114" t="s">
        <v>6794</v>
      </c>
    </row>
    <row r="7115" spans="1:6" x14ac:dyDescent="0.25">
      <c r="A7115" t="s">
        <v>6837</v>
      </c>
      <c r="B7115" t="s">
        <v>5615</v>
      </c>
      <c r="C7115" t="s">
        <v>5616</v>
      </c>
      <c r="D7115" t="str">
        <f>HYPERLINK("http://service.sap.com/sap/support/notes/1767302","1767302")</f>
        <v>1767302</v>
      </c>
      <c r="E7115">
        <v>1</v>
      </c>
      <c r="F7115" t="s">
        <v>6795</v>
      </c>
    </row>
    <row r="7116" spans="1:6" x14ac:dyDescent="0.25">
      <c r="A7116" t="s">
        <v>6837</v>
      </c>
      <c r="B7116" t="s">
        <v>5615</v>
      </c>
      <c r="C7116" t="s">
        <v>5616</v>
      </c>
      <c r="D7116" t="str">
        <f>HYPERLINK("http://service.sap.com/sap/support/notes/1790132","1790132")</f>
        <v>1790132</v>
      </c>
      <c r="E7116">
        <v>1</v>
      </c>
      <c r="F7116" t="s">
        <v>6796</v>
      </c>
    </row>
    <row r="7117" spans="1:6" x14ac:dyDescent="0.25">
      <c r="A7117" t="s">
        <v>6837</v>
      </c>
      <c r="B7117" t="s">
        <v>5615</v>
      </c>
      <c r="C7117" t="s">
        <v>5616</v>
      </c>
      <c r="D7117" t="str">
        <f>HYPERLINK("http://service.sap.com/sap/support/notes/1791356","1791356")</f>
        <v>1791356</v>
      </c>
      <c r="E7117">
        <v>1</v>
      </c>
      <c r="F7117" t="s">
        <v>6797</v>
      </c>
    </row>
    <row r="7118" spans="1:6" x14ac:dyDescent="0.25">
      <c r="A7118" t="s">
        <v>6837</v>
      </c>
      <c r="B7118" t="s">
        <v>5615</v>
      </c>
      <c r="C7118" t="s">
        <v>5616</v>
      </c>
      <c r="D7118" t="str">
        <f>HYPERLINK("http://service.sap.com/sap/support/notes/1792449","1792449")</f>
        <v>1792449</v>
      </c>
      <c r="E7118">
        <v>2</v>
      </c>
      <c r="F7118" t="s">
        <v>6798</v>
      </c>
    </row>
    <row r="7119" spans="1:6" x14ac:dyDescent="0.25">
      <c r="A7119" t="s">
        <v>6837</v>
      </c>
      <c r="B7119" t="s">
        <v>5615</v>
      </c>
      <c r="C7119" t="s">
        <v>5616</v>
      </c>
      <c r="D7119" t="str">
        <f>HYPERLINK("http://service.sap.com/sap/support/notes/1795081","1795081")</f>
        <v>1795081</v>
      </c>
      <c r="E7119">
        <v>2</v>
      </c>
      <c r="F7119" t="s">
        <v>6799</v>
      </c>
    </row>
    <row r="7120" spans="1:6" x14ac:dyDescent="0.25">
      <c r="A7120" t="s">
        <v>6837</v>
      </c>
      <c r="B7120" t="s">
        <v>5615</v>
      </c>
      <c r="C7120" t="s">
        <v>5616</v>
      </c>
      <c r="D7120" t="str">
        <f>HYPERLINK("http://service.sap.com/sap/support/notes/1796303","1796303")</f>
        <v>1796303</v>
      </c>
      <c r="E7120">
        <v>2</v>
      </c>
      <c r="F7120" t="s">
        <v>6800</v>
      </c>
    </row>
    <row r="7121" spans="1:6" x14ac:dyDescent="0.25">
      <c r="A7121" t="s">
        <v>6837</v>
      </c>
      <c r="B7121" t="s">
        <v>5615</v>
      </c>
      <c r="C7121" t="s">
        <v>5616</v>
      </c>
      <c r="D7121" t="str">
        <f>HYPERLINK("http://service.sap.com/sap/support/notes/1797632","1797632")</f>
        <v>1797632</v>
      </c>
      <c r="E7121">
        <v>2</v>
      </c>
      <c r="F7121" t="s">
        <v>6801</v>
      </c>
    </row>
    <row r="7122" spans="1:6" x14ac:dyDescent="0.25">
      <c r="A7122" t="s">
        <v>6837</v>
      </c>
      <c r="B7122" t="s">
        <v>5615</v>
      </c>
      <c r="C7122" t="s">
        <v>5616</v>
      </c>
      <c r="D7122" t="str">
        <f>HYPERLINK("http://service.sap.com/sap/support/notes/1800119","1800119")</f>
        <v>1800119</v>
      </c>
      <c r="E7122">
        <v>1</v>
      </c>
      <c r="F7122" t="s">
        <v>6802</v>
      </c>
    </row>
    <row r="7123" spans="1:6" x14ac:dyDescent="0.25">
      <c r="A7123" t="s">
        <v>6837</v>
      </c>
      <c r="B7123" t="s">
        <v>5615</v>
      </c>
      <c r="C7123" t="s">
        <v>5616</v>
      </c>
      <c r="D7123" t="str">
        <f>HYPERLINK("http://service.sap.com/sap/support/notes/1800550","1800550")</f>
        <v>1800550</v>
      </c>
      <c r="E7123">
        <v>1</v>
      </c>
      <c r="F7123" t="s">
        <v>6803</v>
      </c>
    </row>
    <row r="7124" spans="1:6" x14ac:dyDescent="0.25">
      <c r="A7124" t="s">
        <v>6837</v>
      </c>
      <c r="B7124" t="s">
        <v>5615</v>
      </c>
      <c r="C7124" t="s">
        <v>5616</v>
      </c>
      <c r="D7124" t="str">
        <f>HYPERLINK("http://service.sap.com/sap/support/notes/1802830","1802830")</f>
        <v>1802830</v>
      </c>
      <c r="E7124">
        <v>1</v>
      </c>
      <c r="F7124" t="s">
        <v>6804</v>
      </c>
    </row>
    <row r="7125" spans="1:6" x14ac:dyDescent="0.25">
      <c r="A7125" t="s">
        <v>6837</v>
      </c>
      <c r="B7125" t="s">
        <v>5615</v>
      </c>
      <c r="C7125" t="s">
        <v>5616</v>
      </c>
      <c r="D7125" t="str">
        <f>HYPERLINK("http://service.sap.com/sap/support/notes/1803336","1803336")</f>
        <v>1803336</v>
      </c>
      <c r="E7125">
        <v>2</v>
      </c>
      <c r="F7125" t="s">
        <v>6805</v>
      </c>
    </row>
    <row r="7126" spans="1:6" x14ac:dyDescent="0.25">
      <c r="A7126" t="s">
        <v>6837</v>
      </c>
      <c r="B7126" t="s">
        <v>85</v>
      </c>
      <c r="C7126" t="s">
        <v>86</v>
      </c>
    </row>
    <row r="7127" spans="1:6" x14ac:dyDescent="0.25">
      <c r="A7127" t="s">
        <v>6837</v>
      </c>
      <c r="B7127" t="s">
        <v>696</v>
      </c>
      <c r="C7127" t="s">
        <v>697</v>
      </c>
    </row>
    <row r="7128" spans="1:6" x14ac:dyDescent="0.25">
      <c r="A7128" t="s">
        <v>6837</v>
      </c>
      <c r="B7128" t="s">
        <v>3380</v>
      </c>
      <c r="C7128" t="s">
        <v>3381</v>
      </c>
      <c r="D7128" t="str">
        <f>HYPERLINK("http://service.sap.com/sap/support/notes/1750124","1750124")</f>
        <v>1750124</v>
      </c>
      <c r="E7128">
        <v>1</v>
      </c>
      <c r="F7128" t="s">
        <v>6064</v>
      </c>
    </row>
    <row r="7129" spans="1:6" x14ac:dyDescent="0.25">
      <c r="A7129" t="s">
        <v>6837</v>
      </c>
      <c r="B7129" t="s">
        <v>3380</v>
      </c>
      <c r="C7129" t="s">
        <v>3381</v>
      </c>
      <c r="D7129" t="str">
        <f>HYPERLINK("http://service.sap.com/sap/support/notes/1767925","1767925")</f>
        <v>1767925</v>
      </c>
      <c r="E7129">
        <v>1</v>
      </c>
      <c r="F7129" t="s">
        <v>6806</v>
      </c>
    </row>
    <row r="7130" spans="1:6" x14ac:dyDescent="0.25">
      <c r="A7130" t="s">
        <v>6837</v>
      </c>
      <c r="B7130" t="s">
        <v>3380</v>
      </c>
      <c r="C7130" t="s">
        <v>3381</v>
      </c>
      <c r="D7130" t="str">
        <f>HYPERLINK("http://service.sap.com/sap/support/notes/1791327","1791327")</f>
        <v>1791327</v>
      </c>
      <c r="E7130">
        <v>2</v>
      </c>
      <c r="F7130" t="s">
        <v>6807</v>
      </c>
    </row>
    <row r="7131" spans="1:6" x14ac:dyDescent="0.25">
      <c r="A7131" t="s">
        <v>6837</v>
      </c>
      <c r="B7131" t="s">
        <v>3380</v>
      </c>
      <c r="C7131" t="s">
        <v>3381</v>
      </c>
      <c r="D7131" t="str">
        <f>HYPERLINK("http://service.sap.com/sap/support/notes/1794191","1794191")</f>
        <v>1794191</v>
      </c>
      <c r="E7131">
        <v>1</v>
      </c>
      <c r="F7131" t="s">
        <v>6808</v>
      </c>
    </row>
    <row r="7132" spans="1:6" x14ac:dyDescent="0.25">
      <c r="A7132" t="s">
        <v>6837</v>
      </c>
      <c r="B7132" t="s">
        <v>698</v>
      </c>
      <c r="C7132" t="s">
        <v>699</v>
      </c>
      <c r="D7132" t="str">
        <f>HYPERLINK("http://service.sap.com/sap/support/notes/1754003","1754003")</f>
        <v>1754003</v>
      </c>
      <c r="E7132">
        <v>1</v>
      </c>
      <c r="F7132" t="s">
        <v>6809</v>
      </c>
    </row>
    <row r="7133" spans="1:6" x14ac:dyDescent="0.25">
      <c r="A7133" t="s">
        <v>6837</v>
      </c>
      <c r="B7133" t="s">
        <v>698</v>
      </c>
      <c r="C7133" t="s">
        <v>699</v>
      </c>
      <c r="D7133" t="str">
        <f>HYPERLINK("http://service.sap.com/sap/support/notes/1778285","1778285")</f>
        <v>1778285</v>
      </c>
      <c r="E7133">
        <v>1</v>
      </c>
      <c r="F7133" t="s">
        <v>6810</v>
      </c>
    </row>
    <row r="7134" spans="1:6" x14ac:dyDescent="0.25">
      <c r="A7134" t="s">
        <v>6837</v>
      </c>
      <c r="B7134" t="s">
        <v>698</v>
      </c>
      <c r="C7134" t="s">
        <v>699</v>
      </c>
      <c r="D7134" t="str">
        <f>HYPERLINK("http://service.sap.com/sap/support/notes/1790786","1790786")</f>
        <v>1790786</v>
      </c>
      <c r="E7134">
        <v>1</v>
      </c>
      <c r="F7134" t="s">
        <v>6811</v>
      </c>
    </row>
    <row r="7135" spans="1:6" x14ac:dyDescent="0.25">
      <c r="A7135" t="s">
        <v>6837</v>
      </c>
      <c r="B7135" t="s">
        <v>698</v>
      </c>
      <c r="C7135" t="s">
        <v>699</v>
      </c>
      <c r="D7135" t="str">
        <f>HYPERLINK("http://service.sap.com/sap/support/notes/1791071","1791071")</f>
        <v>1791071</v>
      </c>
      <c r="E7135">
        <v>1</v>
      </c>
      <c r="F7135" t="s">
        <v>6812</v>
      </c>
    </row>
    <row r="7136" spans="1:6" x14ac:dyDescent="0.25">
      <c r="A7136" t="s">
        <v>6837</v>
      </c>
      <c r="B7136" t="s">
        <v>698</v>
      </c>
      <c r="C7136" t="s">
        <v>699</v>
      </c>
      <c r="D7136" t="str">
        <f>HYPERLINK("http://service.sap.com/sap/support/notes/1799733","1799733")</f>
        <v>1799733</v>
      </c>
      <c r="E7136">
        <v>1</v>
      </c>
      <c r="F7136" t="s">
        <v>6813</v>
      </c>
    </row>
    <row r="7137" spans="1:6" x14ac:dyDescent="0.25">
      <c r="A7137" t="s">
        <v>6837</v>
      </c>
      <c r="B7137" t="s">
        <v>6077</v>
      </c>
      <c r="C7137" t="s">
        <v>645</v>
      </c>
      <c r="D7137" t="str">
        <f>HYPERLINK("http://service.sap.com/sap/support/notes/1795545","1795545")</f>
        <v>1795545</v>
      </c>
      <c r="E7137">
        <v>1</v>
      </c>
      <c r="F7137" t="s">
        <v>6814</v>
      </c>
    </row>
    <row r="7138" spans="1:6" x14ac:dyDescent="0.25">
      <c r="A7138" t="s">
        <v>6837</v>
      </c>
      <c r="B7138" t="s">
        <v>90</v>
      </c>
      <c r="C7138" t="s">
        <v>13</v>
      </c>
    </row>
    <row r="7139" spans="1:6" x14ac:dyDescent="0.25">
      <c r="A7139" t="s">
        <v>6837</v>
      </c>
      <c r="B7139" t="s">
        <v>557</v>
      </c>
      <c r="C7139" t="s">
        <v>646</v>
      </c>
    </row>
    <row r="7140" spans="1:6" x14ac:dyDescent="0.25">
      <c r="A7140" t="s">
        <v>6837</v>
      </c>
      <c r="B7140" t="s">
        <v>563</v>
      </c>
      <c r="C7140" t="s">
        <v>564</v>
      </c>
    </row>
    <row r="7141" spans="1:6" x14ac:dyDescent="0.25">
      <c r="A7141" t="s">
        <v>6837</v>
      </c>
      <c r="B7141" t="s">
        <v>647</v>
      </c>
      <c r="C7141" t="s">
        <v>648</v>
      </c>
      <c r="D7141" t="str">
        <f>HYPERLINK("http://service.sap.com/sap/support/notes/1759162","1759162")</f>
        <v>1759162</v>
      </c>
      <c r="E7141">
        <v>2</v>
      </c>
      <c r="F7141" t="s">
        <v>6815</v>
      </c>
    </row>
    <row r="7142" spans="1:6" x14ac:dyDescent="0.25">
      <c r="A7142" t="s">
        <v>6837</v>
      </c>
      <c r="B7142" t="s">
        <v>647</v>
      </c>
      <c r="C7142" t="s">
        <v>648</v>
      </c>
      <c r="D7142" t="str">
        <f>HYPERLINK("http://service.sap.com/sap/support/notes/1772727","1772727")</f>
        <v>1772727</v>
      </c>
      <c r="E7142">
        <v>3</v>
      </c>
      <c r="F7142" t="s">
        <v>6816</v>
      </c>
    </row>
    <row r="7143" spans="1:6" x14ac:dyDescent="0.25">
      <c r="A7143" t="s">
        <v>6837</v>
      </c>
      <c r="B7143" t="s">
        <v>647</v>
      </c>
      <c r="C7143" t="s">
        <v>648</v>
      </c>
      <c r="D7143" t="str">
        <f>HYPERLINK("http://service.sap.com/sap/support/notes/1792864","1792864")</f>
        <v>1792864</v>
      </c>
      <c r="E7143">
        <v>1</v>
      </c>
      <c r="F7143" t="s">
        <v>6817</v>
      </c>
    </row>
    <row r="7144" spans="1:6" x14ac:dyDescent="0.25">
      <c r="A7144" t="s">
        <v>6837</v>
      </c>
      <c r="B7144" t="s">
        <v>647</v>
      </c>
      <c r="C7144" t="s">
        <v>648</v>
      </c>
      <c r="D7144" t="str">
        <f>HYPERLINK("http://service.sap.com/sap/support/notes/1793030","1793030")</f>
        <v>1793030</v>
      </c>
      <c r="E7144">
        <v>4</v>
      </c>
      <c r="F7144" t="s">
        <v>6818</v>
      </c>
    </row>
    <row r="7145" spans="1:6" x14ac:dyDescent="0.25">
      <c r="A7145" t="s">
        <v>6837</v>
      </c>
      <c r="B7145" t="s">
        <v>95</v>
      </c>
      <c r="C7145" t="s">
        <v>96</v>
      </c>
    </row>
    <row r="7146" spans="1:6" x14ac:dyDescent="0.25">
      <c r="A7146" t="s">
        <v>6837</v>
      </c>
      <c r="B7146" t="s">
        <v>97</v>
      </c>
      <c r="C7146" t="s">
        <v>98</v>
      </c>
      <c r="D7146" t="str">
        <f>HYPERLINK("http://service.sap.com/sap/support/notes/1800135","1800135")</f>
        <v>1800135</v>
      </c>
      <c r="E7146">
        <v>1</v>
      </c>
      <c r="F7146" t="s">
        <v>1632</v>
      </c>
    </row>
    <row r="7147" spans="1:6" x14ac:dyDescent="0.25">
      <c r="A7147" t="s">
        <v>6837</v>
      </c>
      <c r="B7147" t="s">
        <v>114</v>
      </c>
      <c r="C7147" t="s">
        <v>115</v>
      </c>
      <c r="D7147" t="str">
        <f>HYPERLINK("http://service.sap.com/sap/support/notes/1798537","1798537")</f>
        <v>1798537</v>
      </c>
      <c r="E7147">
        <v>1</v>
      </c>
      <c r="F7147" t="s">
        <v>1642</v>
      </c>
    </row>
    <row r="7148" spans="1:6" x14ac:dyDescent="0.25">
      <c r="A7148" t="s">
        <v>6837</v>
      </c>
      <c r="B7148" t="s">
        <v>114</v>
      </c>
      <c r="C7148" t="s">
        <v>115</v>
      </c>
      <c r="D7148" t="str">
        <f>HYPERLINK("http://service.sap.com/sap/support/notes/1799122","1799122")</f>
        <v>1799122</v>
      </c>
      <c r="E7148">
        <v>1</v>
      </c>
      <c r="F7148" t="s">
        <v>1643</v>
      </c>
    </row>
    <row r="7149" spans="1:6" x14ac:dyDescent="0.25">
      <c r="A7149" t="s">
        <v>6837</v>
      </c>
      <c r="B7149" t="s">
        <v>114</v>
      </c>
      <c r="C7149" t="s">
        <v>115</v>
      </c>
      <c r="D7149" t="str">
        <f>HYPERLINK("http://service.sap.com/sap/support/notes/1799263","1799263")</f>
        <v>1799263</v>
      </c>
      <c r="E7149">
        <v>1</v>
      </c>
      <c r="F7149" t="s">
        <v>1645</v>
      </c>
    </row>
    <row r="7150" spans="1:6" x14ac:dyDescent="0.25">
      <c r="A7150" t="s">
        <v>6837</v>
      </c>
      <c r="B7150" t="s">
        <v>685</v>
      </c>
      <c r="C7150" t="s">
        <v>686</v>
      </c>
      <c r="D7150" t="str">
        <f>HYPERLINK("http://service.sap.com/sap/support/notes/1781147","1781147")</f>
        <v>1781147</v>
      </c>
      <c r="E7150">
        <v>4</v>
      </c>
      <c r="F7150" t="s">
        <v>1649</v>
      </c>
    </row>
    <row r="7151" spans="1:6" x14ac:dyDescent="0.25">
      <c r="A7151" t="s">
        <v>6837</v>
      </c>
      <c r="B7151" t="s">
        <v>685</v>
      </c>
      <c r="C7151" t="s">
        <v>686</v>
      </c>
      <c r="D7151" t="str">
        <f>HYPERLINK("http://service.sap.com/sap/support/notes/1791259","1791259")</f>
        <v>1791259</v>
      </c>
      <c r="E7151">
        <v>1</v>
      </c>
      <c r="F7151" t="s">
        <v>6819</v>
      </c>
    </row>
    <row r="7152" spans="1:6" x14ac:dyDescent="0.25">
      <c r="A7152" t="s">
        <v>6837</v>
      </c>
      <c r="B7152" t="s">
        <v>685</v>
      </c>
      <c r="C7152" t="s">
        <v>686</v>
      </c>
      <c r="D7152" t="str">
        <f>HYPERLINK("http://service.sap.com/sap/support/notes/1793447","1793447")</f>
        <v>1793447</v>
      </c>
      <c r="E7152">
        <v>1</v>
      </c>
      <c r="F7152" t="s">
        <v>6820</v>
      </c>
    </row>
    <row r="7153" spans="1:6" x14ac:dyDescent="0.25">
      <c r="A7153" t="s">
        <v>6837</v>
      </c>
      <c r="B7153" t="s">
        <v>685</v>
      </c>
      <c r="C7153" t="s">
        <v>686</v>
      </c>
      <c r="D7153" t="str">
        <f>HYPERLINK("http://service.sap.com/sap/support/notes/1797425","1797425")</f>
        <v>1797425</v>
      </c>
      <c r="E7153">
        <v>1</v>
      </c>
      <c r="F7153" t="s">
        <v>6821</v>
      </c>
    </row>
    <row r="7154" spans="1:6" x14ac:dyDescent="0.25">
      <c r="A7154" t="s">
        <v>6837</v>
      </c>
      <c r="B7154" t="s">
        <v>685</v>
      </c>
      <c r="C7154" t="s">
        <v>686</v>
      </c>
      <c r="D7154" t="str">
        <f>HYPERLINK("http://service.sap.com/sap/support/notes/1797613","1797613")</f>
        <v>1797613</v>
      </c>
      <c r="E7154">
        <v>1</v>
      </c>
      <c r="F7154" t="s">
        <v>6822</v>
      </c>
    </row>
    <row r="7155" spans="1:6" x14ac:dyDescent="0.25">
      <c r="A7155" t="s">
        <v>6837</v>
      </c>
      <c r="B7155" t="s">
        <v>150</v>
      </c>
      <c r="C7155" t="s">
        <v>151</v>
      </c>
      <c r="D7155" t="str">
        <f>HYPERLINK("http://service.sap.com/sap/support/notes/1799040","1799040")</f>
        <v>1799040</v>
      </c>
      <c r="E7155">
        <v>4</v>
      </c>
      <c r="F7155" t="s">
        <v>1682</v>
      </c>
    </row>
    <row r="7156" spans="1:6" x14ac:dyDescent="0.25">
      <c r="A7156" t="s">
        <v>6837</v>
      </c>
      <c r="B7156" t="s">
        <v>155</v>
      </c>
      <c r="C7156" t="s">
        <v>156</v>
      </c>
      <c r="D7156" t="str">
        <f>HYPERLINK("http://service.sap.com/sap/support/notes/1776599","1776599")</f>
        <v>1776599</v>
      </c>
      <c r="E7156">
        <v>5</v>
      </c>
      <c r="F7156" t="s">
        <v>1685</v>
      </c>
    </row>
    <row r="7157" spans="1:6" x14ac:dyDescent="0.25">
      <c r="A7157" t="s">
        <v>6837</v>
      </c>
      <c r="B7157" t="s">
        <v>159</v>
      </c>
      <c r="C7157" t="s">
        <v>160</v>
      </c>
      <c r="D7157" t="str">
        <f>HYPERLINK("http://service.sap.com/sap/support/notes/1799140","1799140")</f>
        <v>1799140</v>
      </c>
      <c r="E7157">
        <v>1</v>
      </c>
      <c r="F7157" t="s">
        <v>6823</v>
      </c>
    </row>
    <row r="7158" spans="1:6" x14ac:dyDescent="0.25">
      <c r="A7158" t="s">
        <v>6837</v>
      </c>
      <c r="B7158" t="s">
        <v>159</v>
      </c>
      <c r="C7158" t="s">
        <v>160</v>
      </c>
      <c r="D7158" t="str">
        <f>HYPERLINK("http://service.sap.com/sap/support/notes/1803004","1803004")</f>
        <v>1803004</v>
      </c>
      <c r="E7158">
        <v>1</v>
      </c>
      <c r="F7158" t="s">
        <v>6824</v>
      </c>
    </row>
    <row r="7159" spans="1:6" x14ac:dyDescent="0.25">
      <c r="A7159" t="s">
        <v>6837</v>
      </c>
      <c r="B7159" t="s">
        <v>175</v>
      </c>
      <c r="C7159" t="s">
        <v>176</v>
      </c>
      <c r="D7159" t="str">
        <f>HYPERLINK("http://service.sap.com/sap/support/notes/1794490","1794490")</f>
        <v>1794490</v>
      </c>
      <c r="E7159">
        <v>1</v>
      </c>
      <c r="F7159" t="s">
        <v>1705</v>
      </c>
    </row>
    <row r="7160" spans="1:6" x14ac:dyDescent="0.25">
      <c r="A7160" t="s">
        <v>6837</v>
      </c>
      <c r="B7160" t="s">
        <v>183</v>
      </c>
      <c r="C7160" t="s">
        <v>184</v>
      </c>
    </row>
    <row r="7161" spans="1:6" x14ac:dyDescent="0.25">
      <c r="A7161" t="s">
        <v>6837</v>
      </c>
      <c r="B7161" t="s">
        <v>578</v>
      </c>
      <c r="C7161" t="s">
        <v>4485</v>
      </c>
      <c r="D7161" t="str">
        <f>HYPERLINK("http://service.sap.com/sap/support/notes/1798837","1798837")</f>
        <v>1798837</v>
      </c>
      <c r="E7161">
        <v>3</v>
      </c>
      <c r="F7161" t="s">
        <v>6825</v>
      </c>
    </row>
    <row r="7162" spans="1:6" x14ac:dyDescent="0.25">
      <c r="A7162" t="s">
        <v>6837</v>
      </c>
      <c r="B7162" t="s">
        <v>578</v>
      </c>
      <c r="C7162" t="s">
        <v>4485</v>
      </c>
      <c r="D7162" t="str">
        <f>HYPERLINK("http://service.sap.com/sap/support/notes/1801060","1801060")</f>
        <v>1801060</v>
      </c>
      <c r="E7162">
        <v>4</v>
      </c>
      <c r="F7162" t="s">
        <v>6826</v>
      </c>
    </row>
    <row r="7163" spans="1:6" x14ac:dyDescent="0.25">
      <c r="A7163" t="s">
        <v>6837</v>
      </c>
      <c r="B7163" t="s">
        <v>337</v>
      </c>
      <c r="C7163" t="s">
        <v>48</v>
      </c>
      <c r="D7163" t="str">
        <f>HYPERLINK("http://service.sap.com/sap/support/notes/1778857","1778857")</f>
        <v>1778857</v>
      </c>
      <c r="E7163">
        <v>3</v>
      </c>
      <c r="F7163" t="s">
        <v>1878</v>
      </c>
    </row>
    <row r="7164" spans="1:6" x14ac:dyDescent="0.25">
      <c r="A7164" t="s">
        <v>6837</v>
      </c>
      <c r="B7164" t="s">
        <v>344</v>
      </c>
      <c r="C7164" t="s">
        <v>345</v>
      </c>
    </row>
    <row r="7165" spans="1:6" x14ac:dyDescent="0.25">
      <c r="A7165" t="s">
        <v>6837</v>
      </c>
      <c r="B7165" t="s">
        <v>1902</v>
      </c>
      <c r="C7165" t="s">
        <v>1903</v>
      </c>
      <c r="D7165" t="str">
        <f>HYPERLINK("http://service.sap.com/sap/support/notes/1787263","1787263")</f>
        <v>1787263</v>
      </c>
      <c r="E7165">
        <v>2</v>
      </c>
      <c r="F7165" t="s">
        <v>6827</v>
      </c>
    </row>
    <row r="7166" spans="1:6" x14ac:dyDescent="0.25">
      <c r="A7166" t="s">
        <v>6837</v>
      </c>
      <c r="B7166" t="s">
        <v>1902</v>
      </c>
      <c r="C7166" t="s">
        <v>1903</v>
      </c>
      <c r="D7166" t="str">
        <f>HYPERLINK("http://service.sap.com/sap/support/notes/1794698","1794698")</f>
        <v>1794698</v>
      </c>
      <c r="E7166">
        <v>3</v>
      </c>
      <c r="F7166" t="s">
        <v>1904</v>
      </c>
    </row>
    <row r="7167" spans="1:6" x14ac:dyDescent="0.25">
      <c r="A7167" t="s">
        <v>6837</v>
      </c>
      <c r="B7167" t="s">
        <v>356</v>
      </c>
      <c r="C7167" t="s">
        <v>55</v>
      </c>
      <c r="D7167" t="str">
        <f>HYPERLINK("http://service.sap.com/sap/support/notes/1792466","1792466")</f>
        <v>1792466</v>
      </c>
      <c r="E7167">
        <v>3</v>
      </c>
      <c r="F7167" t="s">
        <v>1547</v>
      </c>
    </row>
    <row r="7168" spans="1:6" x14ac:dyDescent="0.25">
      <c r="A7168" t="s">
        <v>6837</v>
      </c>
      <c r="B7168" t="s">
        <v>356</v>
      </c>
      <c r="C7168" t="s">
        <v>55</v>
      </c>
      <c r="D7168" t="str">
        <f>HYPERLINK("http://service.sap.com/sap/support/notes/1801304","1801304")</f>
        <v>1801304</v>
      </c>
      <c r="E7168">
        <v>1</v>
      </c>
      <c r="F7168" t="s">
        <v>6828</v>
      </c>
    </row>
    <row r="7169" spans="1:6" x14ac:dyDescent="0.25">
      <c r="A7169" t="s">
        <v>6837</v>
      </c>
      <c r="B7169" t="s">
        <v>423</v>
      </c>
      <c r="C7169" t="s">
        <v>424</v>
      </c>
      <c r="D7169" t="str">
        <f>HYPERLINK("http://service.sap.com/sap/support/notes/1772490","1772490")</f>
        <v>1772490</v>
      </c>
      <c r="E7169">
        <v>3</v>
      </c>
      <c r="F7169" t="s">
        <v>1969</v>
      </c>
    </row>
    <row r="7170" spans="1:6" x14ac:dyDescent="0.25">
      <c r="A7170" t="s">
        <v>6837</v>
      </c>
      <c r="B7170" t="s">
        <v>423</v>
      </c>
      <c r="C7170" t="s">
        <v>424</v>
      </c>
      <c r="D7170" t="str">
        <f>HYPERLINK("http://service.sap.com/sap/support/notes/1792440","1792440")</f>
        <v>1792440</v>
      </c>
      <c r="E7170">
        <v>1</v>
      </c>
      <c r="F7170" t="s">
        <v>1972</v>
      </c>
    </row>
    <row r="7171" spans="1:6" x14ac:dyDescent="0.25">
      <c r="A7171" t="s">
        <v>6837</v>
      </c>
      <c r="B7171" t="s">
        <v>423</v>
      </c>
      <c r="C7171" t="s">
        <v>424</v>
      </c>
      <c r="D7171" t="str">
        <f>HYPERLINK("http://service.sap.com/sap/support/notes/1803274","1803274")</f>
        <v>1803274</v>
      </c>
      <c r="E7171">
        <v>2</v>
      </c>
      <c r="F7171" t="s">
        <v>1978</v>
      </c>
    </row>
    <row r="7172" spans="1:6" x14ac:dyDescent="0.25">
      <c r="A7172" t="s">
        <v>6837</v>
      </c>
      <c r="B7172" t="s">
        <v>430</v>
      </c>
      <c r="C7172" t="s">
        <v>431</v>
      </c>
    </row>
    <row r="7173" spans="1:6" x14ac:dyDescent="0.25">
      <c r="A7173" t="s">
        <v>6837</v>
      </c>
      <c r="B7173" t="s">
        <v>5678</v>
      </c>
      <c r="C7173" t="s">
        <v>5679</v>
      </c>
      <c r="D7173" t="str">
        <f>HYPERLINK("http://service.sap.com/sap/support/notes/1799548","1799548")</f>
        <v>1799548</v>
      </c>
      <c r="E7173">
        <v>1</v>
      </c>
      <c r="F7173" t="s">
        <v>6829</v>
      </c>
    </row>
    <row r="7174" spans="1:6" x14ac:dyDescent="0.25">
      <c r="A7174" t="s">
        <v>6837</v>
      </c>
      <c r="B7174" t="s">
        <v>437</v>
      </c>
      <c r="C7174" t="s">
        <v>438</v>
      </c>
      <c r="D7174" t="str">
        <f>HYPERLINK("http://service.sap.com/sap/support/notes/1799224","1799224")</f>
        <v>1799224</v>
      </c>
      <c r="E7174">
        <v>1</v>
      </c>
      <c r="F7174" t="s">
        <v>1988</v>
      </c>
    </row>
    <row r="7175" spans="1:6" x14ac:dyDescent="0.25">
      <c r="A7175" t="s">
        <v>6837</v>
      </c>
      <c r="B7175" t="s">
        <v>610</v>
      </c>
      <c r="C7175" t="s">
        <v>635</v>
      </c>
    </row>
    <row r="7176" spans="1:6" x14ac:dyDescent="0.25">
      <c r="A7176" t="s">
        <v>6837</v>
      </c>
      <c r="B7176" t="s">
        <v>622</v>
      </c>
      <c r="C7176" t="s">
        <v>623</v>
      </c>
      <c r="D7176" t="str">
        <f>HYPERLINK("http://service.sap.com/sap/support/notes/1802241","1802241")</f>
        <v>1802241</v>
      </c>
      <c r="E7176">
        <v>2</v>
      </c>
      <c r="F7176" t="s">
        <v>6830</v>
      </c>
    </row>
    <row r="7177" spans="1:6" x14ac:dyDescent="0.25">
      <c r="A7177" t="s">
        <v>6837</v>
      </c>
      <c r="B7177" t="s">
        <v>670</v>
      </c>
      <c r="C7177" t="s">
        <v>671</v>
      </c>
    </row>
    <row r="7178" spans="1:6" x14ac:dyDescent="0.25">
      <c r="A7178" t="s">
        <v>6837</v>
      </c>
      <c r="B7178" t="s">
        <v>672</v>
      </c>
      <c r="C7178" t="s">
        <v>673</v>
      </c>
    </row>
    <row r="7179" spans="1:6" x14ac:dyDescent="0.25">
      <c r="A7179" t="s">
        <v>6837</v>
      </c>
      <c r="B7179" t="s">
        <v>5713</v>
      </c>
      <c r="C7179" t="s">
        <v>5714</v>
      </c>
    </row>
    <row r="7180" spans="1:6" x14ac:dyDescent="0.25">
      <c r="A7180" t="s">
        <v>6837</v>
      </c>
      <c r="B7180" t="s">
        <v>5715</v>
      </c>
      <c r="C7180" t="s">
        <v>5710</v>
      </c>
      <c r="D7180" t="str">
        <f>HYPERLINK("http://service.sap.com/sap/support/notes/1782266","1782266")</f>
        <v>1782266</v>
      </c>
      <c r="E7180">
        <v>3</v>
      </c>
      <c r="F7180" t="s">
        <v>6831</v>
      </c>
    </row>
    <row r="7181" spans="1:6" x14ac:dyDescent="0.25">
      <c r="A7181" t="s">
        <v>6837</v>
      </c>
      <c r="B7181" t="s">
        <v>5715</v>
      </c>
      <c r="C7181" t="s">
        <v>5710</v>
      </c>
      <c r="D7181" t="str">
        <f>HYPERLINK("http://service.sap.com/sap/support/notes/1792743","1792743")</f>
        <v>1792743</v>
      </c>
      <c r="E7181">
        <v>3</v>
      </c>
      <c r="F7181" t="s">
        <v>6832</v>
      </c>
    </row>
    <row r="7182" spans="1:6" x14ac:dyDescent="0.25">
      <c r="A7182" t="s">
        <v>6837</v>
      </c>
      <c r="B7182" t="s">
        <v>5718</v>
      </c>
      <c r="C7182" t="s">
        <v>5719</v>
      </c>
    </row>
    <row r="7183" spans="1:6" x14ac:dyDescent="0.25">
      <c r="A7183" t="s">
        <v>6837</v>
      </c>
      <c r="B7183" t="s">
        <v>5720</v>
      </c>
      <c r="C7183" t="s">
        <v>5710</v>
      </c>
      <c r="D7183" t="str">
        <f>HYPERLINK("http://service.sap.com/sap/support/notes/1794849","1794849")</f>
        <v>1794849</v>
      </c>
      <c r="E7183">
        <v>3</v>
      </c>
      <c r="F7183" t="s">
        <v>6833</v>
      </c>
    </row>
    <row r="7184" spans="1:6" x14ac:dyDescent="0.25">
      <c r="A7184" t="s">
        <v>6837</v>
      </c>
      <c r="B7184" t="s">
        <v>692</v>
      </c>
      <c r="C7184" t="s">
        <v>693</v>
      </c>
    </row>
    <row r="7185" spans="1:6" x14ac:dyDescent="0.25">
      <c r="A7185" t="s">
        <v>6837</v>
      </c>
      <c r="B7185" t="s">
        <v>6834</v>
      </c>
      <c r="C7185" t="s">
        <v>6835</v>
      </c>
      <c r="D7185" t="str">
        <f>HYPERLINK("http://service.sap.com/sap/support/notes/1799907","1799907")</f>
        <v>1799907</v>
      </c>
      <c r="E7185">
        <v>1</v>
      </c>
      <c r="F7185" t="s">
        <v>6836</v>
      </c>
    </row>
    <row r="7186" spans="1:6" x14ac:dyDescent="0.25">
      <c r="A7186" t="s">
        <v>6838</v>
      </c>
      <c r="B7186" t="s">
        <v>481</v>
      </c>
      <c r="C7186" t="s">
        <v>482</v>
      </c>
    </row>
    <row r="7187" spans="1:6" x14ac:dyDescent="0.25">
      <c r="A7187" t="s">
        <v>6838</v>
      </c>
      <c r="B7187" t="s">
        <v>487</v>
      </c>
      <c r="C7187" t="s">
        <v>488</v>
      </c>
    </row>
    <row r="7188" spans="1:6" x14ac:dyDescent="0.25">
      <c r="A7188" t="s">
        <v>6838</v>
      </c>
      <c r="B7188" t="s">
        <v>489</v>
      </c>
      <c r="C7188" t="s">
        <v>641</v>
      </c>
      <c r="D7188" t="str">
        <f>HYPERLINK("http://service.sap.com/sap/support/notes/1770673","1770673")</f>
        <v>1770673</v>
      </c>
      <c r="E7188">
        <v>4</v>
      </c>
      <c r="F7188" t="s">
        <v>6839</v>
      </c>
    </row>
    <row r="7189" spans="1:6" x14ac:dyDescent="0.25">
      <c r="A7189" t="s">
        <v>6838</v>
      </c>
      <c r="B7189" t="s">
        <v>489</v>
      </c>
      <c r="C7189" t="s">
        <v>641</v>
      </c>
      <c r="D7189" t="str">
        <f>HYPERLINK("http://service.sap.com/sap/support/notes/1812912","1812912")</f>
        <v>1812912</v>
      </c>
      <c r="E7189">
        <v>1</v>
      </c>
      <c r="F7189" t="s">
        <v>6840</v>
      </c>
    </row>
    <row r="7190" spans="1:6" x14ac:dyDescent="0.25">
      <c r="A7190" t="s">
        <v>6838</v>
      </c>
      <c r="B7190" t="s">
        <v>490</v>
      </c>
      <c r="C7190" t="s">
        <v>491</v>
      </c>
    </row>
    <row r="7191" spans="1:6" x14ac:dyDescent="0.25">
      <c r="A7191" t="s">
        <v>6838</v>
      </c>
      <c r="B7191" t="s">
        <v>722</v>
      </c>
      <c r="C7191" t="s">
        <v>723</v>
      </c>
    </row>
    <row r="7192" spans="1:6" x14ac:dyDescent="0.25">
      <c r="A7192" t="s">
        <v>6838</v>
      </c>
      <c r="B7192" t="s">
        <v>724</v>
      </c>
      <c r="C7192" t="s">
        <v>648</v>
      </c>
      <c r="D7192" t="str">
        <f>HYPERLINK("http://service.sap.com/sap/support/notes/1759565","1759565")</f>
        <v>1759565</v>
      </c>
      <c r="E7192">
        <v>2</v>
      </c>
      <c r="F7192" t="s">
        <v>6841</v>
      </c>
    </row>
    <row r="7193" spans="1:6" x14ac:dyDescent="0.25">
      <c r="A7193" t="s">
        <v>6838</v>
      </c>
      <c r="B7193" t="s">
        <v>724</v>
      </c>
      <c r="C7193" t="s">
        <v>648</v>
      </c>
      <c r="D7193" t="str">
        <f>HYPERLINK("http://service.sap.com/sap/support/notes/1804147","1804147")</f>
        <v>1804147</v>
      </c>
      <c r="E7193">
        <v>2</v>
      </c>
      <c r="F7193" t="s">
        <v>6842</v>
      </c>
    </row>
    <row r="7194" spans="1:6" x14ac:dyDescent="0.25">
      <c r="A7194" t="s">
        <v>6838</v>
      </c>
      <c r="B7194" t="s">
        <v>724</v>
      </c>
      <c r="C7194" t="s">
        <v>648</v>
      </c>
      <c r="D7194" t="str">
        <f>HYPERLINK("http://service.sap.com/sap/support/notes/1812557","1812557")</f>
        <v>1812557</v>
      </c>
      <c r="E7194">
        <v>1</v>
      </c>
      <c r="F7194" t="s">
        <v>6843</v>
      </c>
    </row>
    <row r="7195" spans="1:6" x14ac:dyDescent="0.25">
      <c r="A7195" t="s">
        <v>6838</v>
      </c>
      <c r="B7195" t="s">
        <v>15</v>
      </c>
      <c r="C7195" t="s">
        <v>16</v>
      </c>
    </row>
    <row r="7196" spans="1:6" x14ac:dyDescent="0.25">
      <c r="A7196" t="s">
        <v>6838</v>
      </c>
      <c r="B7196" t="s">
        <v>17</v>
      </c>
      <c r="C7196" t="s">
        <v>18</v>
      </c>
    </row>
    <row r="7197" spans="1:6" x14ac:dyDescent="0.25">
      <c r="A7197" t="s">
        <v>6838</v>
      </c>
      <c r="B7197" t="s">
        <v>19</v>
      </c>
      <c r="C7197" t="s">
        <v>20</v>
      </c>
    </row>
    <row r="7198" spans="1:6" x14ac:dyDescent="0.25">
      <c r="A7198" t="s">
        <v>6838</v>
      </c>
      <c r="B7198" t="s">
        <v>21</v>
      </c>
      <c r="C7198" t="s">
        <v>22</v>
      </c>
      <c r="D7198" t="str">
        <f>HYPERLINK("http://service.sap.com/sap/support/notes/1811702","1811702")</f>
        <v>1811702</v>
      </c>
      <c r="E7198">
        <v>1</v>
      </c>
      <c r="F7198" t="s">
        <v>6844</v>
      </c>
    </row>
    <row r="7199" spans="1:6" x14ac:dyDescent="0.25">
      <c r="A7199" t="s">
        <v>6838</v>
      </c>
      <c r="B7199" t="s">
        <v>493</v>
      </c>
      <c r="C7199" t="s">
        <v>494</v>
      </c>
    </row>
    <row r="7200" spans="1:6" x14ac:dyDescent="0.25">
      <c r="A7200" t="s">
        <v>6838</v>
      </c>
      <c r="B7200" t="s">
        <v>495</v>
      </c>
      <c r="C7200" t="s">
        <v>655</v>
      </c>
      <c r="D7200" t="str">
        <f>HYPERLINK("http://service.sap.com/sap/support/notes/1548683","1548683")</f>
        <v>1548683</v>
      </c>
      <c r="E7200">
        <v>3</v>
      </c>
      <c r="F7200" t="s">
        <v>6845</v>
      </c>
    </row>
    <row r="7201" spans="1:6" x14ac:dyDescent="0.25">
      <c r="A7201" t="s">
        <v>6838</v>
      </c>
      <c r="B7201" t="s">
        <v>495</v>
      </c>
      <c r="C7201" t="s">
        <v>655</v>
      </c>
      <c r="D7201" t="str">
        <f>HYPERLINK("http://service.sap.com/sap/support/notes/1807162","1807162")</f>
        <v>1807162</v>
      </c>
      <c r="E7201">
        <v>1</v>
      </c>
      <c r="F7201" t="s">
        <v>6846</v>
      </c>
    </row>
    <row r="7202" spans="1:6" x14ac:dyDescent="0.25">
      <c r="A7202" t="s">
        <v>6838</v>
      </c>
      <c r="B7202" t="s">
        <v>495</v>
      </c>
      <c r="C7202" t="s">
        <v>655</v>
      </c>
      <c r="D7202" t="str">
        <f>HYPERLINK("http://service.sap.com/sap/support/notes/1808506","1808506")</f>
        <v>1808506</v>
      </c>
      <c r="E7202">
        <v>2</v>
      </c>
      <c r="F7202" t="s">
        <v>6847</v>
      </c>
    </row>
    <row r="7203" spans="1:6" x14ac:dyDescent="0.25">
      <c r="A7203" t="s">
        <v>6838</v>
      </c>
      <c r="B7203" t="s">
        <v>497</v>
      </c>
      <c r="C7203" t="s">
        <v>498</v>
      </c>
      <c r="D7203" t="str">
        <f>HYPERLINK("http://service.sap.com/sap/support/notes/1685792","1685792")</f>
        <v>1685792</v>
      </c>
      <c r="E7203">
        <v>2</v>
      </c>
      <c r="F7203" t="s">
        <v>6708</v>
      </c>
    </row>
    <row r="7204" spans="1:6" x14ac:dyDescent="0.25">
      <c r="A7204" t="s">
        <v>6838</v>
      </c>
      <c r="B7204" t="s">
        <v>497</v>
      </c>
      <c r="C7204" t="s">
        <v>498</v>
      </c>
      <c r="D7204" t="str">
        <f>HYPERLINK("http://service.sap.com/sap/support/notes/1778514","1778514")</f>
        <v>1778514</v>
      </c>
      <c r="E7204">
        <v>2</v>
      </c>
      <c r="F7204" t="s">
        <v>6848</v>
      </c>
    </row>
    <row r="7205" spans="1:6" x14ac:dyDescent="0.25">
      <c r="A7205" t="s">
        <v>6838</v>
      </c>
      <c r="B7205" t="s">
        <v>497</v>
      </c>
      <c r="C7205" t="s">
        <v>498</v>
      </c>
      <c r="D7205" t="str">
        <f>HYPERLINK("http://service.sap.com/sap/support/notes/1788049","1788049")</f>
        <v>1788049</v>
      </c>
      <c r="E7205">
        <v>3</v>
      </c>
      <c r="F7205" t="s">
        <v>6849</v>
      </c>
    </row>
    <row r="7206" spans="1:6" x14ac:dyDescent="0.25">
      <c r="A7206" t="s">
        <v>6838</v>
      </c>
      <c r="B7206" t="s">
        <v>497</v>
      </c>
      <c r="C7206" t="s">
        <v>498</v>
      </c>
      <c r="D7206" t="str">
        <f>HYPERLINK("http://service.sap.com/sap/support/notes/1794953","1794953")</f>
        <v>1794953</v>
      </c>
      <c r="E7206">
        <v>2</v>
      </c>
      <c r="F7206" t="s">
        <v>6850</v>
      </c>
    </row>
    <row r="7207" spans="1:6" x14ac:dyDescent="0.25">
      <c r="A7207" t="s">
        <v>6838</v>
      </c>
      <c r="B7207" t="s">
        <v>497</v>
      </c>
      <c r="C7207" t="s">
        <v>498</v>
      </c>
      <c r="D7207" t="str">
        <f>HYPERLINK("http://service.sap.com/sap/support/notes/1800189","1800189")</f>
        <v>1800189</v>
      </c>
      <c r="E7207">
        <v>1</v>
      </c>
      <c r="F7207" t="s">
        <v>6851</v>
      </c>
    </row>
    <row r="7208" spans="1:6" x14ac:dyDescent="0.25">
      <c r="A7208" t="s">
        <v>6838</v>
      </c>
      <c r="B7208" t="s">
        <v>497</v>
      </c>
      <c r="C7208" t="s">
        <v>498</v>
      </c>
      <c r="D7208" t="str">
        <f>HYPERLINK("http://service.sap.com/sap/support/notes/1800705","1800705")</f>
        <v>1800705</v>
      </c>
      <c r="E7208">
        <v>5</v>
      </c>
      <c r="F7208" t="s">
        <v>6730</v>
      </c>
    </row>
    <row r="7209" spans="1:6" x14ac:dyDescent="0.25">
      <c r="A7209" t="s">
        <v>6838</v>
      </c>
      <c r="B7209" t="s">
        <v>497</v>
      </c>
      <c r="C7209" t="s">
        <v>498</v>
      </c>
      <c r="D7209" t="str">
        <f>HYPERLINK("http://service.sap.com/sap/support/notes/1802742","1802742")</f>
        <v>1802742</v>
      </c>
      <c r="E7209">
        <v>6</v>
      </c>
      <c r="F7209" t="s">
        <v>6734</v>
      </c>
    </row>
    <row r="7210" spans="1:6" x14ac:dyDescent="0.25">
      <c r="A7210" t="s">
        <v>6838</v>
      </c>
      <c r="B7210" t="s">
        <v>497</v>
      </c>
      <c r="C7210" t="s">
        <v>498</v>
      </c>
      <c r="D7210" t="str">
        <f>HYPERLINK("http://service.sap.com/sap/support/notes/1806020","1806020")</f>
        <v>1806020</v>
      </c>
      <c r="E7210">
        <v>1</v>
      </c>
      <c r="F7210" t="s">
        <v>6852</v>
      </c>
    </row>
    <row r="7211" spans="1:6" x14ac:dyDescent="0.25">
      <c r="A7211" t="s">
        <v>6838</v>
      </c>
      <c r="B7211" t="s">
        <v>497</v>
      </c>
      <c r="C7211" t="s">
        <v>498</v>
      </c>
      <c r="D7211" t="str">
        <f>HYPERLINK("http://service.sap.com/sap/support/notes/1806736","1806736")</f>
        <v>1806736</v>
      </c>
      <c r="E7211">
        <v>1</v>
      </c>
      <c r="F7211" t="s">
        <v>6853</v>
      </c>
    </row>
    <row r="7212" spans="1:6" x14ac:dyDescent="0.25">
      <c r="A7212" t="s">
        <v>6838</v>
      </c>
      <c r="B7212" t="s">
        <v>497</v>
      </c>
      <c r="C7212" t="s">
        <v>498</v>
      </c>
      <c r="D7212" t="str">
        <f>HYPERLINK("http://service.sap.com/sap/support/notes/1806794","1806794")</f>
        <v>1806794</v>
      </c>
      <c r="E7212">
        <v>1</v>
      </c>
      <c r="F7212" t="s">
        <v>6854</v>
      </c>
    </row>
    <row r="7213" spans="1:6" x14ac:dyDescent="0.25">
      <c r="A7213" t="s">
        <v>6838</v>
      </c>
      <c r="B7213" t="s">
        <v>497</v>
      </c>
      <c r="C7213" t="s">
        <v>498</v>
      </c>
      <c r="D7213" t="str">
        <f>HYPERLINK("http://service.sap.com/sap/support/notes/1807281","1807281")</f>
        <v>1807281</v>
      </c>
      <c r="E7213">
        <v>2</v>
      </c>
      <c r="F7213" t="s">
        <v>6855</v>
      </c>
    </row>
    <row r="7214" spans="1:6" x14ac:dyDescent="0.25">
      <c r="A7214" t="s">
        <v>6838</v>
      </c>
      <c r="B7214" t="s">
        <v>497</v>
      </c>
      <c r="C7214" t="s">
        <v>498</v>
      </c>
      <c r="D7214" t="str">
        <f>HYPERLINK("http://service.sap.com/sap/support/notes/1808014","1808014")</f>
        <v>1808014</v>
      </c>
      <c r="E7214">
        <v>1</v>
      </c>
      <c r="F7214" t="s">
        <v>6856</v>
      </c>
    </row>
    <row r="7215" spans="1:6" x14ac:dyDescent="0.25">
      <c r="A7215" t="s">
        <v>6838</v>
      </c>
      <c r="B7215" t="s">
        <v>497</v>
      </c>
      <c r="C7215" t="s">
        <v>498</v>
      </c>
      <c r="D7215" t="str">
        <f>HYPERLINK("http://service.sap.com/sap/support/notes/1808477","1808477")</f>
        <v>1808477</v>
      </c>
      <c r="E7215">
        <v>2</v>
      </c>
      <c r="F7215" t="s">
        <v>6857</v>
      </c>
    </row>
    <row r="7216" spans="1:6" x14ac:dyDescent="0.25">
      <c r="A7216" t="s">
        <v>6838</v>
      </c>
      <c r="B7216" t="s">
        <v>497</v>
      </c>
      <c r="C7216" t="s">
        <v>498</v>
      </c>
      <c r="D7216" t="str">
        <f>HYPERLINK("http://service.sap.com/sap/support/notes/1808511","1808511")</f>
        <v>1808511</v>
      </c>
      <c r="E7216">
        <v>2</v>
      </c>
      <c r="F7216" t="s">
        <v>6858</v>
      </c>
    </row>
    <row r="7217" spans="1:6" x14ac:dyDescent="0.25">
      <c r="A7217" t="s">
        <v>6838</v>
      </c>
      <c r="B7217" t="s">
        <v>497</v>
      </c>
      <c r="C7217" t="s">
        <v>498</v>
      </c>
      <c r="D7217" t="str">
        <f>HYPERLINK("http://service.sap.com/sap/support/notes/1808587","1808587")</f>
        <v>1808587</v>
      </c>
      <c r="E7217">
        <v>1</v>
      </c>
      <c r="F7217" t="s">
        <v>6859</v>
      </c>
    </row>
    <row r="7218" spans="1:6" x14ac:dyDescent="0.25">
      <c r="A7218" t="s">
        <v>6838</v>
      </c>
      <c r="B7218" t="s">
        <v>497</v>
      </c>
      <c r="C7218" t="s">
        <v>498</v>
      </c>
      <c r="D7218" t="str">
        <f>HYPERLINK("http://service.sap.com/sap/support/notes/1809603","1809603")</f>
        <v>1809603</v>
      </c>
      <c r="E7218">
        <v>1</v>
      </c>
      <c r="F7218" t="s">
        <v>6860</v>
      </c>
    </row>
    <row r="7219" spans="1:6" x14ac:dyDescent="0.25">
      <c r="A7219" t="s">
        <v>6838</v>
      </c>
      <c r="B7219" t="s">
        <v>497</v>
      </c>
      <c r="C7219" t="s">
        <v>498</v>
      </c>
      <c r="D7219" t="str">
        <f>HYPERLINK("http://service.sap.com/sap/support/notes/1810206","1810206")</f>
        <v>1810206</v>
      </c>
      <c r="E7219">
        <v>1</v>
      </c>
      <c r="F7219" t="s">
        <v>6861</v>
      </c>
    </row>
    <row r="7220" spans="1:6" x14ac:dyDescent="0.25">
      <c r="A7220" t="s">
        <v>6838</v>
      </c>
      <c r="B7220" t="s">
        <v>497</v>
      </c>
      <c r="C7220" t="s">
        <v>498</v>
      </c>
      <c r="D7220" t="str">
        <f>HYPERLINK("http://service.sap.com/sap/support/notes/1810606","1810606")</f>
        <v>1810606</v>
      </c>
      <c r="E7220">
        <v>1</v>
      </c>
      <c r="F7220" t="s">
        <v>6862</v>
      </c>
    </row>
    <row r="7221" spans="1:6" x14ac:dyDescent="0.25">
      <c r="A7221" t="s">
        <v>6838</v>
      </c>
      <c r="B7221" t="s">
        <v>497</v>
      </c>
      <c r="C7221" t="s">
        <v>498</v>
      </c>
      <c r="D7221" t="str">
        <f>HYPERLINK("http://service.sap.com/sap/support/notes/1811021","1811021")</f>
        <v>1811021</v>
      </c>
      <c r="E7221">
        <v>1</v>
      </c>
      <c r="F7221" t="s">
        <v>6863</v>
      </c>
    </row>
    <row r="7222" spans="1:6" x14ac:dyDescent="0.25">
      <c r="A7222" t="s">
        <v>6838</v>
      </c>
      <c r="B7222" t="s">
        <v>497</v>
      </c>
      <c r="C7222" t="s">
        <v>498</v>
      </c>
      <c r="D7222" t="str">
        <f>HYPERLINK("http://service.sap.com/sap/support/notes/1811737","1811737")</f>
        <v>1811737</v>
      </c>
      <c r="E7222">
        <v>1</v>
      </c>
      <c r="F7222" t="s">
        <v>6864</v>
      </c>
    </row>
    <row r="7223" spans="1:6" x14ac:dyDescent="0.25">
      <c r="A7223" t="s">
        <v>6838</v>
      </c>
      <c r="B7223" t="s">
        <v>497</v>
      </c>
      <c r="C7223" t="s">
        <v>498</v>
      </c>
      <c r="D7223" t="str">
        <f>HYPERLINK("http://service.sap.com/sap/support/notes/1812589","1812589")</f>
        <v>1812589</v>
      </c>
      <c r="E7223">
        <v>2</v>
      </c>
      <c r="F7223" t="s">
        <v>6865</v>
      </c>
    </row>
    <row r="7224" spans="1:6" x14ac:dyDescent="0.25">
      <c r="A7224" t="s">
        <v>6838</v>
      </c>
      <c r="B7224" t="s">
        <v>497</v>
      </c>
      <c r="C7224" t="s">
        <v>498</v>
      </c>
      <c r="D7224" t="str">
        <f>HYPERLINK("http://service.sap.com/sap/support/notes/1812944","1812944")</f>
        <v>1812944</v>
      </c>
      <c r="E7224">
        <v>1</v>
      </c>
      <c r="F7224" t="s">
        <v>6866</v>
      </c>
    </row>
    <row r="7225" spans="1:6" x14ac:dyDescent="0.25">
      <c r="A7225" t="s">
        <v>6838</v>
      </c>
      <c r="B7225" t="s">
        <v>656</v>
      </c>
      <c r="C7225" t="s">
        <v>657</v>
      </c>
      <c r="D7225" t="str">
        <f>HYPERLINK("http://service.sap.com/sap/support/notes/1785144","1785144")</f>
        <v>1785144</v>
      </c>
      <c r="E7225">
        <v>2</v>
      </c>
      <c r="F7225" t="s">
        <v>6867</v>
      </c>
    </row>
    <row r="7226" spans="1:6" x14ac:dyDescent="0.25">
      <c r="A7226" t="s">
        <v>6838</v>
      </c>
      <c r="B7226" t="s">
        <v>656</v>
      </c>
      <c r="C7226" t="s">
        <v>657</v>
      </c>
      <c r="D7226" t="str">
        <f>HYPERLINK("http://service.sap.com/sap/support/notes/1795044","1795044")</f>
        <v>1795044</v>
      </c>
      <c r="E7226">
        <v>5</v>
      </c>
      <c r="F7226" t="s">
        <v>6868</v>
      </c>
    </row>
    <row r="7227" spans="1:6" x14ac:dyDescent="0.25">
      <c r="A7227" t="s">
        <v>6838</v>
      </c>
      <c r="B7227" t="s">
        <v>656</v>
      </c>
      <c r="C7227" t="s">
        <v>657</v>
      </c>
      <c r="D7227" t="str">
        <f>HYPERLINK("http://service.sap.com/sap/support/notes/1805657","1805657")</f>
        <v>1805657</v>
      </c>
      <c r="E7227">
        <v>1</v>
      </c>
      <c r="F7227" t="s">
        <v>6869</v>
      </c>
    </row>
    <row r="7228" spans="1:6" x14ac:dyDescent="0.25">
      <c r="A7228" t="s">
        <v>6838</v>
      </c>
      <c r="B7228" t="s">
        <v>656</v>
      </c>
      <c r="C7228" t="s">
        <v>657</v>
      </c>
      <c r="D7228" t="str">
        <f>HYPERLINK("http://service.sap.com/sap/support/notes/1806726","1806726")</f>
        <v>1806726</v>
      </c>
      <c r="E7228">
        <v>1</v>
      </c>
      <c r="F7228" t="s">
        <v>6870</v>
      </c>
    </row>
    <row r="7229" spans="1:6" x14ac:dyDescent="0.25">
      <c r="A7229" t="s">
        <v>6838</v>
      </c>
      <c r="B7229" t="s">
        <v>656</v>
      </c>
      <c r="C7229" t="s">
        <v>657</v>
      </c>
      <c r="D7229" t="str">
        <f>HYPERLINK("http://service.sap.com/sap/support/notes/1807179","1807179")</f>
        <v>1807179</v>
      </c>
      <c r="E7229">
        <v>1</v>
      </c>
      <c r="F7229" t="s">
        <v>6871</v>
      </c>
    </row>
    <row r="7230" spans="1:6" x14ac:dyDescent="0.25">
      <c r="A7230" t="s">
        <v>6838</v>
      </c>
      <c r="B7230" t="s">
        <v>656</v>
      </c>
      <c r="C7230" t="s">
        <v>657</v>
      </c>
      <c r="D7230" t="str">
        <f>HYPERLINK("http://service.sap.com/sap/support/notes/1807420","1807420")</f>
        <v>1807420</v>
      </c>
      <c r="E7230">
        <v>1</v>
      </c>
      <c r="F7230" t="s">
        <v>6872</v>
      </c>
    </row>
    <row r="7231" spans="1:6" x14ac:dyDescent="0.25">
      <c r="A7231" t="s">
        <v>6838</v>
      </c>
      <c r="B7231" t="s">
        <v>656</v>
      </c>
      <c r="C7231" t="s">
        <v>657</v>
      </c>
      <c r="D7231" t="str">
        <f>HYPERLINK("http://service.sap.com/sap/support/notes/1808275","1808275")</f>
        <v>1808275</v>
      </c>
      <c r="E7231">
        <v>2</v>
      </c>
      <c r="F7231" t="s">
        <v>6873</v>
      </c>
    </row>
    <row r="7232" spans="1:6" x14ac:dyDescent="0.25">
      <c r="A7232" t="s">
        <v>6838</v>
      </c>
      <c r="B7232" t="s">
        <v>656</v>
      </c>
      <c r="C7232" t="s">
        <v>657</v>
      </c>
      <c r="D7232" t="str">
        <f>HYPERLINK("http://service.sap.com/sap/support/notes/1809006","1809006")</f>
        <v>1809006</v>
      </c>
      <c r="E7232">
        <v>1</v>
      </c>
      <c r="F7232" t="s">
        <v>6874</v>
      </c>
    </row>
    <row r="7233" spans="1:6" x14ac:dyDescent="0.25">
      <c r="A7233" t="s">
        <v>6838</v>
      </c>
      <c r="B7233" t="s">
        <v>656</v>
      </c>
      <c r="C7233" t="s">
        <v>657</v>
      </c>
      <c r="D7233" t="str">
        <f>HYPERLINK("http://service.sap.com/sap/support/notes/1809395","1809395")</f>
        <v>1809395</v>
      </c>
      <c r="E7233">
        <v>1</v>
      </c>
      <c r="F7233" t="s">
        <v>6875</v>
      </c>
    </row>
    <row r="7234" spans="1:6" x14ac:dyDescent="0.25">
      <c r="A7234" t="s">
        <v>6838</v>
      </c>
      <c r="B7234" t="s">
        <v>656</v>
      </c>
      <c r="C7234" t="s">
        <v>657</v>
      </c>
      <c r="D7234" t="str">
        <f>HYPERLINK("http://service.sap.com/sap/support/notes/1810028","1810028")</f>
        <v>1810028</v>
      </c>
      <c r="E7234">
        <v>2</v>
      </c>
      <c r="F7234" t="s">
        <v>6876</v>
      </c>
    </row>
    <row r="7235" spans="1:6" x14ac:dyDescent="0.25">
      <c r="A7235" t="s">
        <v>6838</v>
      </c>
      <c r="B7235" t="s">
        <v>656</v>
      </c>
      <c r="C7235" t="s">
        <v>657</v>
      </c>
      <c r="D7235" t="str">
        <f>HYPERLINK("http://service.sap.com/sap/support/notes/1810081","1810081")</f>
        <v>1810081</v>
      </c>
      <c r="E7235">
        <v>1</v>
      </c>
      <c r="F7235" t="s">
        <v>6877</v>
      </c>
    </row>
    <row r="7236" spans="1:6" x14ac:dyDescent="0.25">
      <c r="A7236" t="s">
        <v>6838</v>
      </c>
      <c r="B7236" t="s">
        <v>656</v>
      </c>
      <c r="C7236" t="s">
        <v>657</v>
      </c>
      <c r="D7236" t="str">
        <f>HYPERLINK("http://service.sap.com/sap/support/notes/1810951","1810951")</f>
        <v>1810951</v>
      </c>
      <c r="E7236">
        <v>2</v>
      </c>
      <c r="F7236" t="s">
        <v>6878</v>
      </c>
    </row>
    <row r="7237" spans="1:6" x14ac:dyDescent="0.25">
      <c r="A7237" t="s">
        <v>6838</v>
      </c>
      <c r="B7237" t="s">
        <v>656</v>
      </c>
      <c r="C7237" t="s">
        <v>657</v>
      </c>
      <c r="D7237" t="str">
        <f>HYPERLINK("http://service.sap.com/sap/support/notes/1811313","1811313")</f>
        <v>1811313</v>
      </c>
      <c r="E7237">
        <v>1</v>
      </c>
      <c r="F7237" t="s">
        <v>6879</v>
      </c>
    </row>
    <row r="7238" spans="1:6" x14ac:dyDescent="0.25">
      <c r="A7238" t="s">
        <v>6838</v>
      </c>
      <c r="B7238" t="s">
        <v>656</v>
      </c>
      <c r="C7238" t="s">
        <v>657</v>
      </c>
      <c r="D7238" t="str">
        <f>HYPERLINK("http://service.sap.com/sap/support/notes/1811526","1811526")</f>
        <v>1811526</v>
      </c>
      <c r="E7238">
        <v>2</v>
      </c>
      <c r="F7238" t="s">
        <v>6880</v>
      </c>
    </row>
    <row r="7239" spans="1:6" x14ac:dyDescent="0.25">
      <c r="A7239" t="s">
        <v>6838</v>
      </c>
      <c r="B7239" t="s">
        <v>656</v>
      </c>
      <c r="C7239" t="s">
        <v>657</v>
      </c>
      <c r="D7239" t="str">
        <f>HYPERLINK("http://service.sap.com/sap/support/notes/1811562","1811562")</f>
        <v>1811562</v>
      </c>
      <c r="E7239">
        <v>2</v>
      </c>
      <c r="F7239" t="s">
        <v>6881</v>
      </c>
    </row>
    <row r="7240" spans="1:6" x14ac:dyDescent="0.25">
      <c r="A7240" t="s">
        <v>6838</v>
      </c>
      <c r="B7240" t="s">
        <v>656</v>
      </c>
      <c r="C7240" t="s">
        <v>657</v>
      </c>
      <c r="D7240" t="str">
        <f>HYPERLINK("http://service.sap.com/sap/support/notes/1813786","1813786")</f>
        <v>1813786</v>
      </c>
      <c r="E7240">
        <v>2</v>
      </c>
      <c r="F7240" t="s">
        <v>6882</v>
      </c>
    </row>
    <row r="7241" spans="1:6" x14ac:dyDescent="0.25">
      <c r="A7241" t="s">
        <v>6838</v>
      </c>
      <c r="B7241" t="s">
        <v>656</v>
      </c>
      <c r="C7241" t="s">
        <v>657</v>
      </c>
      <c r="D7241" t="str">
        <f>HYPERLINK("http://service.sap.com/sap/support/notes/1814539","1814539")</f>
        <v>1814539</v>
      </c>
      <c r="E7241">
        <v>1</v>
      </c>
      <c r="F7241" t="s">
        <v>6883</v>
      </c>
    </row>
    <row r="7242" spans="1:6" x14ac:dyDescent="0.25">
      <c r="A7242" t="s">
        <v>6838</v>
      </c>
      <c r="B7242" t="s">
        <v>694</v>
      </c>
      <c r="C7242" t="s">
        <v>695</v>
      </c>
    </row>
    <row r="7243" spans="1:6" x14ac:dyDescent="0.25">
      <c r="A7243" t="s">
        <v>6838</v>
      </c>
      <c r="B7243" t="s">
        <v>5795</v>
      </c>
      <c r="C7243" t="s">
        <v>5796</v>
      </c>
      <c r="D7243" t="str">
        <f>HYPERLINK("http://service.sap.com/sap/support/notes/1805970","1805970")</f>
        <v>1805970</v>
      </c>
      <c r="E7243">
        <v>2</v>
      </c>
      <c r="F7243" t="s">
        <v>6762</v>
      </c>
    </row>
    <row r="7244" spans="1:6" x14ac:dyDescent="0.25">
      <c r="A7244" t="s">
        <v>6838</v>
      </c>
      <c r="B7244" t="s">
        <v>5795</v>
      </c>
      <c r="C7244" t="s">
        <v>5796</v>
      </c>
      <c r="D7244" t="str">
        <f>HYPERLINK("http://service.sap.com/sap/support/notes/1807943","1807943")</f>
        <v>1807943</v>
      </c>
      <c r="E7244">
        <v>2</v>
      </c>
      <c r="F7244" t="s">
        <v>6884</v>
      </c>
    </row>
    <row r="7245" spans="1:6" x14ac:dyDescent="0.25">
      <c r="A7245" t="s">
        <v>6838</v>
      </c>
      <c r="B7245" t="s">
        <v>5798</v>
      </c>
      <c r="C7245" t="s">
        <v>5799</v>
      </c>
      <c r="D7245" t="str">
        <f>HYPERLINK("http://service.sap.com/sap/support/notes/1805622","1805622")</f>
        <v>1805622</v>
      </c>
      <c r="E7245">
        <v>3</v>
      </c>
      <c r="F7245" t="s">
        <v>6765</v>
      </c>
    </row>
    <row r="7246" spans="1:6" x14ac:dyDescent="0.25">
      <c r="A7246" t="s">
        <v>6838</v>
      </c>
      <c r="B7246" t="s">
        <v>5798</v>
      </c>
      <c r="C7246" t="s">
        <v>5799</v>
      </c>
      <c r="D7246" t="str">
        <f>HYPERLINK("http://service.sap.com/sap/support/notes/1809436","1809436")</f>
        <v>1809436</v>
      </c>
      <c r="E7246">
        <v>2</v>
      </c>
      <c r="F7246" t="s">
        <v>6885</v>
      </c>
    </row>
    <row r="7247" spans="1:6" x14ac:dyDescent="0.25">
      <c r="A7247" t="s">
        <v>6838</v>
      </c>
      <c r="B7247" t="s">
        <v>5798</v>
      </c>
      <c r="C7247" t="s">
        <v>5799</v>
      </c>
      <c r="D7247" t="str">
        <f>HYPERLINK("http://service.sap.com/sap/support/notes/1810728","1810728")</f>
        <v>1810728</v>
      </c>
      <c r="E7247">
        <v>2</v>
      </c>
      <c r="F7247" t="s">
        <v>6886</v>
      </c>
    </row>
    <row r="7248" spans="1:6" x14ac:dyDescent="0.25">
      <c r="A7248" t="s">
        <v>6838</v>
      </c>
      <c r="B7248" t="s">
        <v>6887</v>
      </c>
      <c r="C7248" t="s">
        <v>6888</v>
      </c>
    </row>
    <row r="7249" spans="1:6" x14ac:dyDescent="0.25">
      <c r="A7249" t="s">
        <v>6838</v>
      </c>
      <c r="B7249" t="s">
        <v>6889</v>
      </c>
      <c r="C7249" t="s">
        <v>6890</v>
      </c>
    </row>
    <row r="7250" spans="1:6" x14ac:dyDescent="0.25">
      <c r="A7250" t="s">
        <v>6838</v>
      </c>
      <c r="B7250" t="s">
        <v>6891</v>
      </c>
      <c r="C7250" t="s">
        <v>6892</v>
      </c>
    </row>
    <row r="7251" spans="1:6" x14ac:dyDescent="0.25">
      <c r="A7251" t="s">
        <v>6838</v>
      </c>
      <c r="B7251" t="s">
        <v>6893</v>
      </c>
      <c r="C7251" t="s">
        <v>6894</v>
      </c>
      <c r="D7251" t="str">
        <f>HYPERLINK("http://service.sap.com/sap/support/notes/1813276","1813276")</f>
        <v>1813276</v>
      </c>
      <c r="E7251">
        <v>1</v>
      </c>
      <c r="F7251" t="s">
        <v>6895</v>
      </c>
    </row>
    <row r="7252" spans="1:6" x14ac:dyDescent="0.25">
      <c r="A7252" t="s">
        <v>6838</v>
      </c>
      <c r="B7252" t="s">
        <v>24</v>
      </c>
      <c r="C7252" t="s">
        <v>10</v>
      </c>
    </row>
    <row r="7253" spans="1:6" x14ac:dyDescent="0.25">
      <c r="A7253" t="s">
        <v>6838</v>
      </c>
      <c r="B7253" t="s">
        <v>5505</v>
      </c>
      <c r="C7253" t="s">
        <v>5506</v>
      </c>
      <c r="D7253" t="str">
        <f>HYPERLINK("http://service.sap.com/sap/support/notes/1703213","1703213")</f>
        <v>1703213</v>
      </c>
      <c r="E7253">
        <v>2</v>
      </c>
      <c r="F7253" t="s">
        <v>6896</v>
      </c>
    </row>
    <row r="7254" spans="1:6" x14ac:dyDescent="0.25">
      <c r="A7254" t="s">
        <v>6838</v>
      </c>
      <c r="B7254" t="s">
        <v>5505</v>
      </c>
      <c r="C7254" t="s">
        <v>5506</v>
      </c>
      <c r="D7254" t="str">
        <f>HYPERLINK("http://service.sap.com/sap/support/notes/1790510","1790510")</f>
        <v>1790510</v>
      </c>
      <c r="E7254">
        <v>1</v>
      </c>
      <c r="F7254" t="s">
        <v>6897</v>
      </c>
    </row>
    <row r="7255" spans="1:6" x14ac:dyDescent="0.25">
      <c r="A7255" t="s">
        <v>6838</v>
      </c>
      <c r="B7255" t="s">
        <v>5505</v>
      </c>
      <c r="C7255" t="s">
        <v>5506</v>
      </c>
      <c r="D7255" t="str">
        <f>HYPERLINK("http://service.sap.com/sap/support/notes/1790745","1790745")</f>
        <v>1790745</v>
      </c>
      <c r="E7255">
        <v>1</v>
      </c>
      <c r="F7255" t="s">
        <v>6898</v>
      </c>
    </row>
    <row r="7256" spans="1:6" x14ac:dyDescent="0.25">
      <c r="A7256" t="s">
        <v>6838</v>
      </c>
      <c r="B7256" t="s">
        <v>5505</v>
      </c>
      <c r="C7256" t="s">
        <v>5506</v>
      </c>
      <c r="D7256" t="str">
        <f>HYPERLINK("http://service.sap.com/sap/support/notes/1796162","1796162")</f>
        <v>1796162</v>
      </c>
      <c r="E7256">
        <v>1</v>
      </c>
      <c r="F7256" t="s">
        <v>6899</v>
      </c>
    </row>
    <row r="7257" spans="1:6" x14ac:dyDescent="0.25">
      <c r="A7257" t="s">
        <v>6838</v>
      </c>
      <c r="B7257" t="s">
        <v>5505</v>
      </c>
      <c r="C7257" t="s">
        <v>5506</v>
      </c>
      <c r="D7257" t="str">
        <f>HYPERLINK("http://service.sap.com/sap/support/notes/1799036","1799036")</f>
        <v>1799036</v>
      </c>
      <c r="E7257">
        <v>1</v>
      </c>
      <c r="F7257" t="s">
        <v>6900</v>
      </c>
    </row>
    <row r="7258" spans="1:6" x14ac:dyDescent="0.25">
      <c r="A7258" t="s">
        <v>6838</v>
      </c>
      <c r="B7258" t="s">
        <v>5505</v>
      </c>
      <c r="C7258" t="s">
        <v>5506</v>
      </c>
      <c r="D7258" t="str">
        <f>HYPERLINK("http://service.sap.com/sap/support/notes/1803149","1803149")</f>
        <v>1803149</v>
      </c>
      <c r="E7258">
        <v>2</v>
      </c>
      <c r="F7258" t="s">
        <v>6901</v>
      </c>
    </row>
    <row r="7259" spans="1:6" x14ac:dyDescent="0.25">
      <c r="A7259" t="s">
        <v>6838</v>
      </c>
      <c r="B7259" t="s">
        <v>5505</v>
      </c>
      <c r="C7259" t="s">
        <v>5506</v>
      </c>
      <c r="D7259" t="str">
        <f>HYPERLINK("http://service.sap.com/sap/support/notes/1806614","1806614")</f>
        <v>1806614</v>
      </c>
      <c r="E7259">
        <v>1</v>
      </c>
      <c r="F7259" t="s">
        <v>6902</v>
      </c>
    </row>
    <row r="7260" spans="1:6" x14ac:dyDescent="0.25">
      <c r="A7260" t="s">
        <v>6838</v>
      </c>
      <c r="B7260" t="s">
        <v>5505</v>
      </c>
      <c r="C7260" t="s">
        <v>5506</v>
      </c>
      <c r="D7260" t="str">
        <f>HYPERLINK("http://service.sap.com/sap/support/notes/1811438","1811438")</f>
        <v>1811438</v>
      </c>
      <c r="E7260">
        <v>1</v>
      </c>
      <c r="F7260" t="s">
        <v>6903</v>
      </c>
    </row>
    <row r="7261" spans="1:6" x14ac:dyDescent="0.25">
      <c r="A7261" t="s">
        <v>6838</v>
      </c>
      <c r="B7261" t="s">
        <v>5524</v>
      </c>
      <c r="C7261" t="s">
        <v>5525</v>
      </c>
      <c r="D7261" t="str">
        <f>HYPERLINK("http://service.sap.com/sap/support/notes/1807329","1807329")</f>
        <v>1807329</v>
      </c>
      <c r="E7261">
        <v>1</v>
      </c>
      <c r="F7261" t="s">
        <v>6904</v>
      </c>
    </row>
    <row r="7262" spans="1:6" x14ac:dyDescent="0.25">
      <c r="A7262" t="s">
        <v>6838</v>
      </c>
      <c r="B7262" t="s">
        <v>5524</v>
      </c>
      <c r="C7262" t="s">
        <v>5525</v>
      </c>
      <c r="D7262" t="str">
        <f>HYPERLINK("http://service.sap.com/sap/support/notes/1811054","1811054")</f>
        <v>1811054</v>
      </c>
      <c r="E7262">
        <v>1</v>
      </c>
      <c r="F7262" t="s">
        <v>6905</v>
      </c>
    </row>
    <row r="7263" spans="1:6" x14ac:dyDescent="0.25">
      <c r="A7263" t="s">
        <v>6838</v>
      </c>
      <c r="B7263" t="s">
        <v>5524</v>
      </c>
      <c r="C7263" t="s">
        <v>5525</v>
      </c>
      <c r="D7263" t="str">
        <f>HYPERLINK("http://service.sap.com/sap/support/notes/1812328","1812328")</f>
        <v>1812328</v>
      </c>
      <c r="E7263">
        <v>2</v>
      </c>
      <c r="F7263" t="s">
        <v>6906</v>
      </c>
    </row>
    <row r="7264" spans="1:6" x14ac:dyDescent="0.25">
      <c r="A7264" t="s">
        <v>6838</v>
      </c>
      <c r="B7264" t="s">
        <v>5539</v>
      </c>
      <c r="C7264" t="s">
        <v>5540</v>
      </c>
    </row>
    <row r="7265" spans="1:6" x14ac:dyDescent="0.25">
      <c r="A7265" t="s">
        <v>6838</v>
      </c>
      <c r="B7265" t="s">
        <v>5541</v>
      </c>
      <c r="C7265" t="s">
        <v>5542</v>
      </c>
    </row>
    <row r="7266" spans="1:6" x14ac:dyDescent="0.25">
      <c r="A7266" t="s">
        <v>6838</v>
      </c>
      <c r="B7266" t="s">
        <v>5546</v>
      </c>
      <c r="C7266" t="s">
        <v>5547</v>
      </c>
      <c r="D7266" t="str">
        <f>HYPERLINK("http://service.sap.com/sap/support/notes/1811925","1811925")</f>
        <v>1811925</v>
      </c>
      <c r="E7266">
        <v>1</v>
      </c>
      <c r="F7266" t="s">
        <v>6907</v>
      </c>
    </row>
    <row r="7267" spans="1:6" x14ac:dyDescent="0.25">
      <c r="A7267" t="s">
        <v>6838</v>
      </c>
      <c r="B7267" t="s">
        <v>5546</v>
      </c>
      <c r="C7267" t="s">
        <v>5547</v>
      </c>
      <c r="D7267" t="str">
        <f>HYPERLINK("http://service.sap.com/sap/support/notes/1814092","1814092")</f>
        <v>1814092</v>
      </c>
      <c r="E7267">
        <v>1</v>
      </c>
      <c r="F7267" t="s">
        <v>6209</v>
      </c>
    </row>
    <row r="7268" spans="1:6" x14ac:dyDescent="0.25">
      <c r="A7268" t="s">
        <v>6838</v>
      </c>
      <c r="B7268" t="s">
        <v>25</v>
      </c>
      <c r="C7268" t="s">
        <v>26</v>
      </c>
    </row>
    <row r="7269" spans="1:6" x14ac:dyDescent="0.25">
      <c r="A7269" t="s">
        <v>6838</v>
      </c>
      <c r="B7269" t="s">
        <v>519</v>
      </c>
      <c r="C7269" t="s">
        <v>132</v>
      </c>
      <c r="D7269" t="str">
        <f>HYPERLINK("http://service.sap.com/sap/support/notes/1812056","1812056")</f>
        <v>1812056</v>
      </c>
      <c r="E7269">
        <v>1</v>
      </c>
      <c r="F7269" t="s">
        <v>6908</v>
      </c>
    </row>
    <row r="7270" spans="1:6" x14ac:dyDescent="0.25">
      <c r="A7270" t="s">
        <v>6838</v>
      </c>
      <c r="B7270" t="s">
        <v>33</v>
      </c>
      <c r="C7270" t="s">
        <v>34</v>
      </c>
      <c r="D7270" t="str">
        <f>HYPERLINK("http://service.sap.com/sap/support/notes/1790489","1790489")</f>
        <v>1790489</v>
      </c>
      <c r="E7270">
        <v>1</v>
      </c>
      <c r="F7270" t="s">
        <v>1571</v>
      </c>
    </row>
    <row r="7271" spans="1:6" x14ac:dyDescent="0.25">
      <c r="A7271" t="s">
        <v>6838</v>
      </c>
      <c r="B7271" t="s">
        <v>33</v>
      </c>
      <c r="C7271" t="s">
        <v>34</v>
      </c>
      <c r="D7271" t="str">
        <f>HYPERLINK("http://service.sap.com/sap/support/notes/1809326","1809326")</f>
        <v>1809326</v>
      </c>
      <c r="E7271">
        <v>1</v>
      </c>
      <c r="F7271" t="s">
        <v>6909</v>
      </c>
    </row>
    <row r="7272" spans="1:6" x14ac:dyDescent="0.25">
      <c r="A7272" t="s">
        <v>6838</v>
      </c>
      <c r="B7272" t="s">
        <v>40</v>
      </c>
      <c r="C7272" t="s">
        <v>41</v>
      </c>
    </row>
    <row r="7273" spans="1:6" x14ac:dyDescent="0.25">
      <c r="A7273" t="s">
        <v>6838</v>
      </c>
      <c r="B7273" t="s">
        <v>43</v>
      </c>
      <c r="C7273" t="s">
        <v>44</v>
      </c>
      <c r="D7273" t="str">
        <f>HYPERLINK("http://service.sap.com/sap/support/notes/1809345","1809345")</f>
        <v>1809345</v>
      </c>
      <c r="E7273">
        <v>4</v>
      </c>
      <c r="F7273" t="s">
        <v>6910</v>
      </c>
    </row>
    <row r="7274" spans="1:6" x14ac:dyDescent="0.25">
      <c r="A7274" t="s">
        <v>6838</v>
      </c>
      <c r="B7274" t="s">
        <v>525</v>
      </c>
      <c r="C7274" t="s">
        <v>351</v>
      </c>
      <c r="D7274" t="str">
        <f>HYPERLINK("http://service.sap.com/sap/support/notes/1810880","1810880")</f>
        <v>1810880</v>
      </c>
      <c r="E7274">
        <v>1</v>
      </c>
      <c r="F7274" t="s">
        <v>6911</v>
      </c>
    </row>
    <row r="7275" spans="1:6" x14ac:dyDescent="0.25">
      <c r="A7275" t="s">
        <v>6838</v>
      </c>
      <c r="B7275" t="s">
        <v>525</v>
      </c>
      <c r="C7275" t="s">
        <v>351</v>
      </c>
      <c r="D7275" t="str">
        <f>HYPERLINK("http://service.sap.com/sap/support/notes/1814177","1814177")</f>
        <v>1814177</v>
      </c>
      <c r="E7275">
        <v>1</v>
      </c>
      <c r="F7275" t="s">
        <v>6912</v>
      </c>
    </row>
    <row r="7276" spans="1:6" x14ac:dyDescent="0.25">
      <c r="A7276" t="s">
        <v>6838</v>
      </c>
      <c r="B7276" t="s">
        <v>63</v>
      </c>
      <c r="C7276" t="s">
        <v>64</v>
      </c>
      <c r="D7276" t="str">
        <f>HYPERLINK("http://service.sap.com/sap/support/notes/1744322","1744322")</f>
        <v>1744322</v>
      </c>
      <c r="E7276">
        <v>1</v>
      </c>
      <c r="F7276" t="s">
        <v>66</v>
      </c>
    </row>
    <row r="7277" spans="1:6" x14ac:dyDescent="0.25">
      <c r="A7277" t="s">
        <v>6838</v>
      </c>
      <c r="B7277" t="s">
        <v>63</v>
      </c>
      <c r="C7277" t="s">
        <v>64</v>
      </c>
      <c r="D7277" t="str">
        <f>HYPERLINK("http://service.sap.com/sap/support/notes/1793062","1793062")</f>
        <v>1793062</v>
      </c>
      <c r="E7277">
        <v>2</v>
      </c>
      <c r="F7277" t="s">
        <v>1599</v>
      </c>
    </row>
    <row r="7278" spans="1:6" x14ac:dyDescent="0.25">
      <c r="A7278" t="s">
        <v>6838</v>
      </c>
      <c r="B7278" t="s">
        <v>63</v>
      </c>
      <c r="C7278" t="s">
        <v>64</v>
      </c>
      <c r="D7278" t="str">
        <f>HYPERLINK("http://service.sap.com/sap/support/notes/1809013","1809013")</f>
        <v>1809013</v>
      </c>
      <c r="E7278">
        <v>3</v>
      </c>
      <c r="F7278" t="s">
        <v>2036</v>
      </c>
    </row>
    <row r="7279" spans="1:6" x14ac:dyDescent="0.25">
      <c r="A7279" t="s">
        <v>6838</v>
      </c>
      <c r="B7279" t="s">
        <v>63</v>
      </c>
      <c r="C7279" t="s">
        <v>64</v>
      </c>
      <c r="D7279" t="str">
        <f>HYPERLINK("http://service.sap.com/sap/support/notes/1810622","1810622")</f>
        <v>1810622</v>
      </c>
      <c r="E7279">
        <v>1</v>
      </c>
      <c r="F7279" t="s">
        <v>2037</v>
      </c>
    </row>
    <row r="7280" spans="1:6" x14ac:dyDescent="0.25">
      <c r="A7280" t="s">
        <v>6838</v>
      </c>
      <c r="B7280" t="s">
        <v>528</v>
      </c>
      <c r="C7280" t="s">
        <v>444</v>
      </c>
      <c r="D7280" t="str">
        <f>HYPERLINK("http://service.sap.com/sap/support/notes/1813010","1813010")</f>
        <v>1813010</v>
      </c>
      <c r="E7280">
        <v>1</v>
      </c>
      <c r="F7280" t="s">
        <v>6913</v>
      </c>
    </row>
    <row r="7281" spans="1:6" x14ac:dyDescent="0.25">
      <c r="A7281" t="s">
        <v>6838</v>
      </c>
      <c r="B7281" t="s">
        <v>73</v>
      </c>
      <c r="C7281" t="s">
        <v>74</v>
      </c>
    </row>
    <row r="7282" spans="1:6" x14ac:dyDescent="0.25">
      <c r="A7282" t="s">
        <v>6838</v>
      </c>
      <c r="B7282" t="s">
        <v>5580</v>
      </c>
      <c r="C7282" t="s">
        <v>5581</v>
      </c>
      <c r="D7282" t="str">
        <f>HYPERLINK("http://service.sap.com/sap/support/notes/1536237","1536237")</f>
        <v>1536237</v>
      </c>
      <c r="E7282">
        <v>4</v>
      </c>
      <c r="F7282" t="s">
        <v>6914</v>
      </c>
    </row>
    <row r="7283" spans="1:6" x14ac:dyDescent="0.25">
      <c r="A7283" t="s">
        <v>6838</v>
      </c>
      <c r="B7283" t="s">
        <v>531</v>
      </c>
      <c r="C7283" t="s">
        <v>532</v>
      </c>
      <c r="D7283" t="str">
        <f>HYPERLINK("http://service.sap.com/sap/support/notes/1792658","1792658")</f>
        <v>1792658</v>
      </c>
      <c r="E7283">
        <v>1</v>
      </c>
      <c r="F7283" t="s">
        <v>6915</v>
      </c>
    </row>
    <row r="7284" spans="1:6" x14ac:dyDescent="0.25">
      <c r="A7284" t="s">
        <v>6838</v>
      </c>
      <c r="B7284" t="s">
        <v>531</v>
      </c>
      <c r="C7284" t="s">
        <v>532</v>
      </c>
      <c r="D7284" t="str">
        <f>HYPERLINK("http://service.sap.com/sap/support/notes/1795641","1795641")</f>
        <v>1795641</v>
      </c>
      <c r="E7284">
        <v>1</v>
      </c>
      <c r="F7284" t="s">
        <v>6916</v>
      </c>
    </row>
    <row r="7285" spans="1:6" x14ac:dyDescent="0.25">
      <c r="A7285" t="s">
        <v>6838</v>
      </c>
      <c r="B7285" t="s">
        <v>531</v>
      </c>
      <c r="C7285" t="s">
        <v>532</v>
      </c>
      <c r="D7285" t="str">
        <f>HYPERLINK("http://service.sap.com/sap/support/notes/1802449","1802449")</f>
        <v>1802449</v>
      </c>
      <c r="E7285">
        <v>1</v>
      </c>
      <c r="F7285" t="s">
        <v>6917</v>
      </c>
    </row>
    <row r="7286" spans="1:6" x14ac:dyDescent="0.25">
      <c r="A7286" t="s">
        <v>6838</v>
      </c>
      <c r="B7286" t="s">
        <v>6018</v>
      </c>
      <c r="C7286" t="s">
        <v>6019</v>
      </c>
      <c r="D7286" t="str">
        <f>HYPERLINK("http://service.sap.com/sap/support/notes/1781757","1781757")</f>
        <v>1781757</v>
      </c>
      <c r="E7286">
        <v>3</v>
      </c>
      <c r="F7286" t="s">
        <v>6785</v>
      </c>
    </row>
    <row r="7287" spans="1:6" x14ac:dyDescent="0.25">
      <c r="A7287" t="s">
        <v>6838</v>
      </c>
      <c r="B7287" t="s">
        <v>6018</v>
      </c>
      <c r="C7287" t="s">
        <v>6019</v>
      </c>
      <c r="D7287" t="str">
        <f>HYPERLINK("http://service.sap.com/sap/support/notes/1799778","1799778")</f>
        <v>1799778</v>
      </c>
      <c r="E7287">
        <v>1</v>
      </c>
      <c r="F7287" t="s">
        <v>6918</v>
      </c>
    </row>
    <row r="7288" spans="1:6" x14ac:dyDescent="0.25">
      <c r="A7288" t="s">
        <v>6838</v>
      </c>
      <c r="B7288" t="s">
        <v>6018</v>
      </c>
      <c r="C7288" t="s">
        <v>6019</v>
      </c>
      <c r="D7288" t="str">
        <f>HYPERLINK("http://service.sap.com/sap/support/notes/1803591","1803591")</f>
        <v>1803591</v>
      </c>
      <c r="E7288">
        <v>2</v>
      </c>
      <c r="F7288" t="s">
        <v>6919</v>
      </c>
    </row>
    <row r="7289" spans="1:6" x14ac:dyDescent="0.25">
      <c r="A7289" t="s">
        <v>6838</v>
      </c>
      <c r="B7289" t="s">
        <v>536</v>
      </c>
      <c r="C7289" t="s">
        <v>537</v>
      </c>
    </row>
    <row r="7290" spans="1:6" x14ac:dyDescent="0.25">
      <c r="A7290" t="s">
        <v>6838</v>
      </c>
      <c r="B7290" t="s">
        <v>5594</v>
      </c>
      <c r="C7290" t="s">
        <v>5595</v>
      </c>
      <c r="D7290" t="str">
        <f>HYPERLINK("http://service.sap.com/sap/support/notes/1800137","1800137")</f>
        <v>1800137</v>
      </c>
      <c r="E7290">
        <v>1</v>
      </c>
      <c r="F7290" t="s">
        <v>6920</v>
      </c>
    </row>
    <row r="7291" spans="1:6" x14ac:dyDescent="0.25">
      <c r="A7291" t="s">
        <v>6838</v>
      </c>
      <c r="B7291" t="s">
        <v>5594</v>
      </c>
      <c r="C7291" t="s">
        <v>5595</v>
      </c>
      <c r="D7291" t="str">
        <f>HYPERLINK("http://service.sap.com/sap/support/notes/1807285","1807285")</f>
        <v>1807285</v>
      </c>
      <c r="E7291">
        <v>1</v>
      </c>
      <c r="F7291" t="s">
        <v>6921</v>
      </c>
    </row>
    <row r="7292" spans="1:6" x14ac:dyDescent="0.25">
      <c r="A7292" t="s">
        <v>6838</v>
      </c>
      <c r="B7292" t="s">
        <v>5594</v>
      </c>
      <c r="C7292" t="s">
        <v>5595</v>
      </c>
      <c r="D7292" t="str">
        <f>HYPERLINK("http://service.sap.com/sap/support/notes/1809529","1809529")</f>
        <v>1809529</v>
      </c>
      <c r="E7292">
        <v>1</v>
      </c>
      <c r="F7292" t="s">
        <v>6922</v>
      </c>
    </row>
    <row r="7293" spans="1:6" x14ac:dyDescent="0.25">
      <c r="A7293" t="s">
        <v>6838</v>
      </c>
      <c r="B7293" t="s">
        <v>5594</v>
      </c>
      <c r="C7293" t="s">
        <v>5595</v>
      </c>
      <c r="D7293" t="str">
        <f>HYPERLINK("http://service.sap.com/sap/support/notes/1811261","1811261")</f>
        <v>1811261</v>
      </c>
      <c r="E7293">
        <v>1</v>
      </c>
      <c r="F7293" t="s">
        <v>6923</v>
      </c>
    </row>
    <row r="7294" spans="1:6" x14ac:dyDescent="0.25">
      <c r="A7294" t="s">
        <v>6838</v>
      </c>
      <c r="B7294" t="s">
        <v>540</v>
      </c>
      <c r="C7294" t="s">
        <v>541</v>
      </c>
    </row>
    <row r="7295" spans="1:6" x14ac:dyDescent="0.25">
      <c r="A7295" t="s">
        <v>6838</v>
      </c>
      <c r="B7295" t="s">
        <v>544</v>
      </c>
      <c r="C7295" t="s">
        <v>5610</v>
      </c>
      <c r="D7295" t="str">
        <f>HYPERLINK("http://service.sap.com/sap/support/notes/1755998","1755998")</f>
        <v>1755998</v>
      </c>
      <c r="E7295">
        <v>7</v>
      </c>
      <c r="F7295" t="s">
        <v>6924</v>
      </c>
    </row>
    <row r="7296" spans="1:6" x14ac:dyDescent="0.25">
      <c r="A7296" t="s">
        <v>6838</v>
      </c>
      <c r="B7296" t="s">
        <v>544</v>
      </c>
      <c r="C7296" t="s">
        <v>5610</v>
      </c>
      <c r="D7296" t="str">
        <f>HYPERLINK("http://service.sap.com/sap/support/notes/1812151","1812151")</f>
        <v>1812151</v>
      </c>
      <c r="E7296">
        <v>2</v>
      </c>
      <c r="F7296" t="s">
        <v>6925</v>
      </c>
    </row>
    <row r="7297" spans="1:6" x14ac:dyDescent="0.25">
      <c r="A7297" t="s">
        <v>6838</v>
      </c>
      <c r="B7297" t="s">
        <v>5612</v>
      </c>
      <c r="C7297" t="s">
        <v>707</v>
      </c>
      <c r="D7297" t="str">
        <f>HYPERLINK("http://service.sap.com/sap/support/notes/1112459","1112459")</f>
        <v>1112459</v>
      </c>
      <c r="E7297">
        <v>6</v>
      </c>
      <c r="F7297" t="s">
        <v>6926</v>
      </c>
    </row>
    <row r="7298" spans="1:6" x14ac:dyDescent="0.25">
      <c r="A7298" t="s">
        <v>6838</v>
      </c>
      <c r="B7298" t="s">
        <v>5612</v>
      </c>
      <c r="C7298" t="s">
        <v>707</v>
      </c>
      <c r="D7298" t="str">
        <f>HYPERLINK("http://service.sap.com/sap/support/notes/1797193","1797193")</f>
        <v>1797193</v>
      </c>
      <c r="E7298">
        <v>3</v>
      </c>
      <c r="F7298" t="s">
        <v>6927</v>
      </c>
    </row>
    <row r="7299" spans="1:6" x14ac:dyDescent="0.25">
      <c r="A7299" t="s">
        <v>6838</v>
      </c>
      <c r="B7299" t="s">
        <v>5615</v>
      </c>
      <c r="C7299" t="s">
        <v>5616</v>
      </c>
      <c r="D7299" t="str">
        <f>HYPERLINK("http://service.sap.com/sap/support/notes/1802082","1802082")</f>
        <v>1802082</v>
      </c>
      <c r="E7299">
        <v>1</v>
      </c>
      <c r="F7299" t="s">
        <v>6928</v>
      </c>
    </row>
    <row r="7300" spans="1:6" x14ac:dyDescent="0.25">
      <c r="A7300" t="s">
        <v>6838</v>
      </c>
      <c r="B7300" t="s">
        <v>5615</v>
      </c>
      <c r="C7300" t="s">
        <v>5616</v>
      </c>
      <c r="D7300" t="str">
        <f>HYPERLINK("http://service.sap.com/sap/support/notes/1804928","1804928")</f>
        <v>1804928</v>
      </c>
      <c r="E7300">
        <v>1</v>
      </c>
      <c r="F7300" t="s">
        <v>6929</v>
      </c>
    </row>
    <row r="7301" spans="1:6" x14ac:dyDescent="0.25">
      <c r="A7301" t="s">
        <v>6838</v>
      </c>
      <c r="B7301" t="s">
        <v>5615</v>
      </c>
      <c r="C7301" t="s">
        <v>5616</v>
      </c>
      <c r="D7301" t="str">
        <f>HYPERLINK("http://service.sap.com/sap/support/notes/1806419","1806419")</f>
        <v>1806419</v>
      </c>
      <c r="E7301">
        <v>3</v>
      </c>
      <c r="F7301" t="s">
        <v>6930</v>
      </c>
    </row>
    <row r="7302" spans="1:6" x14ac:dyDescent="0.25">
      <c r="A7302" t="s">
        <v>6838</v>
      </c>
      <c r="B7302" t="s">
        <v>5615</v>
      </c>
      <c r="C7302" t="s">
        <v>5616</v>
      </c>
      <c r="D7302" t="str">
        <f>HYPERLINK("http://service.sap.com/sap/support/notes/1806843","1806843")</f>
        <v>1806843</v>
      </c>
      <c r="E7302">
        <v>1</v>
      </c>
      <c r="F7302" t="s">
        <v>6931</v>
      </c>
    </row>
    <row r="7303" spans="1:6" x14ac:dyDescent="0.25">
      <c r="A7303" t="s">
        <v>6838</v>
      </c>
      <c r="B7303" t="s">
        <v>5615</v>
      </c>
      <c r="C7303" t="s">
        <v>5616</v>
      </c>
      <c r="D7303" t="str">
        <f>HYPERLINK("http://service.sap.com/sap/support/notes/1807945","1807945")</f>
        <v>1807945</v>
      </c>
      <c r="E7303">
        <v>2</v>
      </c>
      <c r="F7303" t="s">
        <v>6932</v>
      </c>
    </row>
    <row r="7304" spans="1:6" x14ac:dyDescent="0.25">
      <c r="A7304" t="s">
        <v>6838</v>
      </c>
      <c r="B7304" t="s">
        <v>5615</v>
      </c>
      <c r="C7304" t="s">
        <v>5616</v>
      </c>
      <c r="D7304" t="str">
        <f>HYPERLINK("http://service.sap.com/sap/support/notes/1808840","1808840")</f>
        <v>1808840</v>
      </c>
      <c r="E7304">
        <v>1</v>
      </c>
      <c r="F7304" t="s">
        <v>6933</v>
      </c>
    </row>
    <row r="7305" spans="1:6" x14ac:dyDescent="0.25">
      <c r="A7305" t="s">
        <v>6838</v>
      </c>
      <c r="B7305" t="s">
        <v>5615</v>
      </c>
      <c r="C7305" t="s">
        <v>5616</v>
      </c>
      <c r="D7305" t="str">
        <f>HYPERLINK("http://service.sap.com/sap/support/notes/1809414","1809414")</f>
        <v>1809414</v>
      </c>
      <c r="E7305">
        <v>1</v>
      </c>
      <c r="F7305" t="s">
        <v>6934</v>
      </c>
    </row>
    <row r="7306" spans="1:6" x14ac:dyDescent="0.25">
      <c r="A7306" t="s">
        <v>6838</v>
      </c>
      <c r="B7306" t="s">
        <v>5615</v>
      </c>
      <c r="C7306" t="s">
        <v>5616</v>
      </c>
      <c r="D7306" t="str">
        <f>HYPERLINK("http://service.sap.com/sap/support/notes/1811646","1811646")</f>
        <v>1811646</v>
      </c>
      <c r="E7306">
        <v>1</v>
      </c>
      <c r="F7306" t="s">
        <v>6935</v>
      </c>
    </row>
    <row r="7307" spans="1:6" x14ac:dyDescent="0.25">
      <c r="A7307" t="s">
        <v>6838</v>
      </c>
      <c r="B7307" t="s">
        <v>5615</v>
      </c>
      <c r="C7307" t="s">
        <v>5616</v>
      </c>
      <c r="D7307" t="str">
        <f>HYPERLINK("http://service.sap.com/sap/support/notes/1813515","1813515")</f>
        <v>1813515</v>
      </c>
      <c r="E7307">
        <v>1</v>
      </c>
      <c r="F7307" t="s">
        <v>6936</v>
      </c>
    </row>
    <row r="7308" spans="1:6" x14ac:dyDescent="0.25">
      <c r="A7308" t="s">
        <v>6838</v>
      </c>
      <c r="B7308" t="s">
        <v>5615</v>
      </c>
      <c r="C7308" t="s">
        <v>5616</v>
      </c>
      <c r="D7308" t="str">
        <f>HYPERLINK("http://service.sap.com/sap/support/notes/1813833","1813833")</f>
        <v>1813833</v>
      </c>
      <c r="E7308">
        <v>1</v>
      </c>
      <c r="F7308" t="s">
        <v>6937</v>
      </c>
    </row>
    <row r="7309" spans="1:6" x14ac:dyDescent="0.25">
      <c r="A7309" t="s">
        <v>6838</v>
      </c>
      <c r="B7309" t="s">
        <v>90</v>
      </c>
      <c r="C7309" t="s">
        <v>13</v>
      </c>
    </row>
    <row r="7310" spans="1:6" x14ac:dyDescent="0.25">
      <c r="A7310" t="s">
        <v>6838</v>
      </c>
      <c r="B7310" t="s">
        <v>557</v>
      </c>
      <c r="C7310" t="s">
        <v>646</v>
      </c>
    </row>
    <row r="7311" spans="1:6" x14ac:dyDescent="0.25">
      <c r="A7311" t="s">
        <v>6838</v>
      </c>
      <c r="B7311" t="s">
        <v>563</v>
      </c>
      <c r="C7311" t="s">
        <v>564</v>
      </c>
    </row>
    <row r="7312" spans="1:6" x14ac:dyDescent="0.25">
      <c r="A7312" t="s">
        <v>6838</v>
      </c>
      <c r="B7312" t="s">
        <v>647</v>
      </c>
      <c r="C7312" t="s">
        <v>648</v>
      </c>
      <c r="D7312" t="str">
        <f>HYPERLINK("http://service.sap.com/sap/support/notes/1802506","1802506")</f>
        <v>1802506</v>
      </c>
      <c r="E7312">
        <v>2</v>
      </c>
      <c r="F7312" t="s">
        <v>6938</v>
      </c>
    </row>
    <row r="7313" spans="1:6" x14ac:dyDescent="0.25">
      <c r="A7313" t="s">
        <v>6838</v>
      </c>
      <c r="B7313" t="s">
        <v>647</v>
      </c>
      <c r="C7313" t="s">
        <v>648</v>
      </c>
      <c r="D7313" t="str">
        <f>HYPERLINK("http://service.sap.com/sap/support/notes/1804738","1804738")</f>
        <v>1804738</v>
      </c>
      <c r="E7313">
        <v>2</v>
      </c>
      <c r="F7313" t="s">
        <v>6939</v>
      </c>
    </row>
    <row r="7314" spans="1:6" x14ac:dyDescent="0.25">
      <c r="A7314" t="s">
        <v>6838</v>
      </c>
      <c r="B7314" t="s">
        <v>647</v>
      </c>
      <c r="C7314" t="s">
        <v>648</v>
      </c>
      <c r="D7314" t="str">
        <f>HYPERLINK("http://service.sap.com/sap/support/notes/1806748","1806748")</f>
        <v>1806748</v>
      </c>
      <c r="E7314">
        <v>3</v>
      </c>
      <c r="F7314" t="s">
        <v>6940</v>
      </c>
    </row>
    <row r="7315" spans="1:6" x14ac:dyDescent="0.25">
      <c r="A7315" t="s">
        <v>6838</v>
      </c>
      <c r="B7315" t="s">
        <v>95</v>
      </c>
      <c r="C7315" t="s">
        <v>96</v>
      </c>
    </row>
    <row r="7316" spans="1:6" x14ac:dyDescent="0.25">
      <c r="A7316" t="s">
        <v>6838</v>
      </c>
      <c r="B7316" t="s">
        <v>114</v>
      </c>
      <c r="C7316" t="s">
        <v>115</v>
      </c>
      <c r="D7316" t="str">
        <f>HYPERLINK("http://service.sap.com/sap/support/notes/1035928","1035928")</f>
        <v>1035928</v>
      </c>
      <c r="E7316">
        <v>2</v>
      </c>
      <c r="F7316" t="s">
        <v>6941</v>
      </c>
    </row>
    <row r="7317" spans="1:6" x14ac:dyDescent="0.25">
      <c r="A7317" t="s">
        <v>6838</v>
      </c>
      <c r="B7317" t="s">
        <v>114</v>
      </c>
      <c r="C7317" t="s">
        <v>115</v>
      </c>
      <c r="D7317" t="str">
        <f>HYPERLINK("http://service.sap.com/sap/support/notes/1065890","1065890")</f>
        <v>1065890</v>
      </c>
      <c r="E7317">
        <v>5</v>
      </c>
      <c r="F7317" t="s">
        <v>6942</v>
      </c>
    </row>
    <row r="7318" spans="1:6" x14ac:dyDescent="0.25">
      <c r="A7318" t="s">
        <v>6838</v>
      </c>
      <c r="B7318" t="s">
        <v>114</v>
      </c>
      <c r="C7318" t="s">
        <v>115</v>
      </c>
      <c r="D7318" t="str">
        <f>HYPERLINK("http://service.sap.com/sap/support/notes/1807133","1807133")</f>
        <v>1807133</v>
      </c>
      <c r="E7318">
        <v>1</v>
      </c>
      <c r="F7318" t="s">
        <v>2441</v>
      </c>
    </row>
    <row r="7319" spans="1:6" x14ac:dyDescent="0.25">
      <c r="A7319" t="s">
        <v>6838</v>
      </c>
      <c r="B7319" t="s">
        <v>685</v>
      </c>
      <c r="C7319" t="s">
        <v>686</v>
      </c>
      <c r="D7319" t="str">
        <f>HYPERLINK("http://service.sap.com/sap/support/notes/1792372","1792372")</f>
        <v>1792372</v>
      </c>
      <c r="E7319">
        <v>1</v>
      </c>
      <c r="F7319" t="s">
        <v>2070</v>
      </c>
    </row>
    <row r="7320" spans="1:6" x14ac:dyDescent="0.25">
      <c r="A7320" t="s">
        <v>6838</v>
      </c>
      <c r="B7320" t="s">
        <v>685</v>
      </c>
      <c r="C7320" t="s">
        <v>686</v>
      </c>
      <c r="D7320" t="str">
        <f>HYPERLINK("http://service.sap.com/sap/support/notes/1809493","1809493")</f>
        <v>1809493</v>
      </c>
      <c r="E7320">
        <v>1</v>
      </c>
      <c r="F7320" t="s">
        <v>6943</v>
      </c>
    </row>
    <row r="7321" spans="1:6" x14ac:dyDescent="0.25">
      <c r="A7321" t="s">
        <v>6838</v>
      </c>
      <c r="B7321" t="s">
        <v>685</v>
      </c>
      <c r="C7321" t="s">
        <v>686</v>
      </c>
      <c r="D7321" t="str">
        <f>HYPERLINK("http://service.sap.com/sap/support/notes/1810525","1810525")</f>
        <v>1810525</v>
      </c>
      <c r="E7321">
        <v>1</v>
      </c>
      <c r="F7321" t="s">
        <v>6944</v>
      </c>
    </row>
    <row r="7322" spans="1:6" x14ac:dyDescent="0.25">
      <c r="A7322" t="s">
        <v>6838</v>
      </c>
      <c r="B7322" t="s">
        <v>685</v>
      </c>
      <c r="C7322" t="s">
        <v>686</v>
      </c>
      <c r="D7322" t="str">
        <f>HYPERLINK("http://service.sap.com/sap/support/notes/1811923","1811923")</f>
        <v>1811923</v>
      </c>
      <c r="E7322">
        <v>1</v>
      </c>
      <c r="F7322" t="s">
        <v>6945</v>
      </c>
    </row>
    <row r="7323" spans="1:6" x14ac:dyDescent="0.25">
      <c r="A7323" t="s">
        <v>6838</v>
      </c>
      <c r="B7323" t="s">
        <v>127</v>
      </c>
      <c r="C7323" t="s">
        <v>128</v>
      </c>
      <c r="D7323" t="str">
        <f>HYPERLINK("http://service.sap.com/sap/support/notes/1792452","1792452")</f>
        <v>1792452</v>
      </c>
      <c r="E7323">
        <v>1</v>
      </c>
      <c r="F7323" t="s">
        <v>6946</v>
      </c>
    </row>
    <row r="7324" spans="1:6" x14ac:dyDescent="0.25">
      <c r="A7324" t="s">
        <v>6838</v>
      </c>
      <c r="B7324" t="s">
        <v>4426</v>
      </c>
      <c r="C7324" t="s">
        <v>4427</v>
      </c>
      <c r="D7324" t="str">
        <f>HYPERLINK("http://service.sap.com/sap/support/notes/1805319","1805319")</f>
        <v>1805319</v>
      </c>
      <c r="E7324">
        <v>2</v>
      </c>
      <c r="F7324" t="s">
        <v>6947</v>
      </c>
    </row>
    <row r="7325" spans="1:6" x14ac:dyDescent="0.25">
      <c r="A7325" t="s">
        <v>6838</v>
      </c>
      <c r="B7325" t="s">
        <v>150</v>
      </c>
      <c r="C7325" t="s">
        <v>151</v>
      </c>
    </row>
    <row r="7326" spans="1:6" x14ac:dyDescent="0.25">
      <c r="A7326" t="s">
        <v>6838</v>
      </c>
      <c r="B7326" t="s">
        <v>155</v>
      </c>
      <c r="C7326" t="s">
        <v>156</v>
      </c>
      <c r="D7326" t="str">
        <f>HYPERLINK("http://service.sap.com/sap/support/notes/1791860","1791860")</f>
        <v>1791860</v>
      </c>
      <c r="E7326">
        <v>2</v>
      </c>
      <c r="F7326" t="s">
        <v>2100</v>
      </c>
    </row>
    <row r="7327" spans="1:6" x14ac:dyDescent="0.25">
      <c r="A7327" t="s">
        <v>6838</v>
      </c>
      <c r="B7327" t="s">
        <v>319</v>
      </c>
      <c r="C7327" t="s">
        <v>320</v>
      </c>
    </row>
    <row r="7328" spans="1:6" x14ac:dyDescent="0.25">
      <c r="A7328" t="s">
        <v>6838</v>
      </c>
      <c r="B7328" t="s">
        <v>2263</v>
      </c>
      <c r="C7328" t="s">
        <v>2264</v>
      </c>
      <c r="D7328" t="str">
        <f>HYPERLINK("http://service.sap.com/sap/support/notes/1766013","1766013")</f>
        <v>1766013</v>
      </c>
      <c r="E7328">
        <v>3</v>
      </c>
      <c r="F7328" t="s">
        <v>6948</v>
      </c>
    </row>
    <row r="7329" spans="1:6" x14ac:dyDescent="0.25">
      <c r="A7329" t="s">
        <v>6838</v>
      </c>
      <c r="B7329" t="s">
        <v>2263</v>
      </c>
      <c r="C7329" t="s">
        <v>2264</v>
      </c>
      <c r="D7329" t="str">
        <f>HYPERLINK("http://service.sap.com/sap/support/notes/1799751","1799751")</f>
        <v>1799751</v>
      </c>
      <c r="E7329">
        <v>3</v>
      </c>
      <c r="F7329" t="s">
        <v>6949</v>
      </c>
    </row>
    <row r="7330" spans="1:6" x14ac:dyDescent="0.25">
      <c r="A7330" t="s">
        <v>6838</v>
      </c>
      <c r="B7330" t="s">
        <v>2263</v>
      </c>
      <c r="C7330" t="s">
        <v>2264</v>
      </c>
      <c r="D7330" t="str">
        <f>HYPERLINK("http://service.sap.com/sap/support/notes/1812201","1812201")</f>
        <v>1812201</v>
      </c>
      <c r="E7330">
        <v>3</v>
      </c>
      <c r="F7330" t="s">
        <v>2265</v>
      </c>
    </row>
    <row r="7331" spans="1:6" x14ac:dyDescent="0.25">
      <c r="A7331" t="s">
        <v>6838</v>
      </c>
      <c r="B7331" t="s">
        <v>356</v>
      </c>
      <c r="C7331" t="s">
        <v>55</v>
      </c>
      <c r="D7331" t="str">
        <f>HYPERLINK("http://service.sap.com/sap/support/notes/1809505","1809505")</f>
        <v>1809505</v>
      </c>
      <c r="E7331">
        <v>3</v>
      </c>
      <c r="F7331" t="s">
        <v>2296</v>
      </c>
    </row>
    <row r="7332" spans="1:6" x14ac:dyDescent="0.25">
      <c r="A7332" t="s">
        <v>6838</v>
      </c>
      <c r="B7332" t="s">
        <v>395</v>
      </c>
      <c r="C7332" t="s">
        <v>396</v>
      </c>
      <c r="D7332" t="str">
        <f>HYPERLINK("http://service.sap.com/sap/support/notes/1799199","1799199")</f>
        <v>1799199</v>
      </c>
      <c r="E7332">
        <v>1</v>
      </c>
      <c r="F7332" t="s">
        <v>2314</v>
      </c>
    </row>
    <row r="7333" spans="1:6" x14ac:dyDescent="0.25">
      <c r="A7333" t="s">
        <v>6838</v>
      </c>
      <c r="B7333" t="s">
        <v>423</v>
      </c>
      <c r="C7333" t="s">
        <v>424</v>
      </c>
      <c r="D7333" t="str">
        <f>HYPERLINK("http://service.sap.com/sap/support/notes/1804813","1804813")</f>
        <v>1804813</v>
      </c>
      <c r="E7333">
        <v>3</v>
      </c>
      <c r="F7333" t="s">
        <v>1980</v>
      </c>
    </row>
    <row r="7334" spans="1:6" x14ac:dyDescent="0.25">
      <c r="A7334" t="s">
        <v>6838</v>
      </c>
      <c r="B7334" t="s">
        <v>423</v>
      </c>
      <c r="C7334" t="s">
        <v>424</v>
      </c>
      <c r="D7334" t="str">
        <f>HYPERLINK("http://service.sap.com/sap/support/notes/1808082","1808082")</f>
        <v>1808082</v>
      </c>
      <c r="E7334">
        <v>1</v>
      </c>
      <c r="F7334" t="s">
        <v>2330</v>
      </c>
    </row>
    <row r="7335" spans="1:6" x14ac:dyDescent="0.25">
      <c r="A7335" t="s">
        <v>6838</v>
      </c>
      <c r="B7335" t="s">
        <v>423</v>
      </c>
      <c r="C7335" t="s">
        <v>424</v>
      </c>
      <c r="D7335" t="str">
        <f>HYPERLINK("http://service.sap.com/sap/support/notes/1808178","1808178")</f>
        <v>1808178</v>
      </c>
      <c r="E7335">
        <v>3</v>
      </c>
      <c r="F7335" t="s">
        <v>6950</v>
      </c>
    </row>
    <row r="7336" spans="1:6" x14ac:dyDescent="0.25">
      <c r="A7336" t="s">
        <v>6838</v>
      </c>
      <c r="B7336" t="s">
        <v>423</v>
      </c>
      <c r="C7336" t="s">
        <v>424</v>
      </c>
      <c r="D7336" t="str">
        <f>HYPERLINK("http://service.sap.com/sap/support/notes/1808388","1808388")</f>
        <v>1808388</v>
      </c>
      <c r="E7336">
        <v>1</v>
      </c>
      <c r="F7336" t="s">
        <v>6951</v>
      </c>
    </row>
    <row r="7337" spans="1:6" x14ac:dyDescent="0.25">
      <c r="A7337" t="s">
        <v>6838</v>
      </c>
      <c r="B7337" t="s">
        <v>423</v>
      </c>
      <c r="C7337" t="s">
        <v>424</v>
      </c>
      <c r="D7337" t="str">
        <f>HYPERLINK("http://service.sap.com/sap/support/notes/1809558","1809558")</f>
        <v>1809558</v>
      </c>
      <c r="E7337">
        <v>3</v>
      </c>
      <c r="F7337" t="s">
        <v>6952</v>
      </c>
    </row>
    <row r="7338" spans="1:6" x14ac:dyDescent="0.25">
      <c r="A7338" t="s">
        <v>6838</v>
      </c>
      <c r="B7338" t="s">
        <v>423</v>
      </c>
      <c r="C7338" t="s">
        <v>424</v>
      </c>
      <c r="D7338" t="str">
        <f>HYPERLINK("http://service.sap.com/sap/support/notes/1810705","1810705")</f>
        <v>1810705</v>
      </c>
      <c r="E7338">
        <v>1</v>
      </c>
      <c r="F7338" t="s">
        <v>6953</v>
      </c>
    </row>
    <row r="7339" spans="1:6" x14ac:dyDescent="0.25">
      <c r="A7339" t="s">
        <v>6838</v>
      </c>
      <c r="B7339" t="s">
        <v>423</v>
      </c>
      <c r="C7339" t="s">
        <v>424</v>
      </c>
      <c r="D7339" t="str">
        <f>HYPERLINK("http://service.sap.com/sap/support/notes/1810892","1810892")</f>
        <v>1810892</v>
      </c>
      <c r="E7339">
        <v>3</v>
      </c>
      <c r="F7339" t="s">
        <v>6954</v>
      </c>
    </row>
    <row r="7340" spans="1:6" x14ac:dyDescent="0.25">
      <c r="A7340" t="s">
        <v>6838</v>
      </c>
      <c r="B7340" t="s">
        <v>423</v>
      </c>
      <c r="C7340" t="s">
        <v>424</v>
      </c>
      <c r="D7340" t="str">
        <f>HYPERLINK("http://service.sap.com/sap/support/notes/1812586","1812586")</f>
        <v>1812586</v>
      </c>
      <c r="E7340">
        <v>3</v>
      </c>
      <c r="F7340" t="s">
        <v>2333</v>
      </c>
    </row>
    <row r="7341" spans="1:6" x14ac:dyDescent="0.25">
      <c r="A7341" t="s">
        <v>6838</v>
      </c>
      <c r="B7341" t="s">
        <v>453</v>
      </c>
      <c r="C7341" t="s">
        <v>74</v>
      </c>
      <c r="D7341" t="str">
        <f>HYPERLINK("http://service.sap.com/sap/support/notes/1638819","1638819")</f>
        <v>1638819</v>
      </c>
      <c r="E7341">
        <v>2</v>
      </c>
      <c r="F7341" t="s">
        <v>2358</v>
      </c>
    </row>
    <row r="7342" spans="1:6" x14ac:dyDescent="0.25">
      <c r="A7342" t="s">
        <v>6838</v>
      </c>
      <c r="B7342" t="s">
        <v>610</v>
      </c>
      <c r="C7342" t="s">
        <v>635</v>
      </c>
    </row>
    <row r="7343" spans="1:6" x14ac:dyDescent="0.25">
      <c r="A7343" t="s">
        <v>6838</v>
      </c>
      <c r="B7343" t="s">
        <v>618</v>
      </c>
      <c r="C7343" t="s">
        <v>619</v>
      </c>
      <c r="D7343" t="str">
        <f>HYPERLINK("http://service.sap.com/sap/support/notes/1769788","1769788")</f>
        <v>1769788</v>
      </c>
      <c r="E7343">
        <v>4</v>
      </c>
      <c r="F7343" t="s">
        <v>6955</v>
      </c>
    </row>
    <row r="7344" spans="1:6" x14ac:dyDescent="0.25">
      <c r="A7344" t="s">
        <v>6838</v>
      </c>
      <c r="B7344" t="s">
        <v>670</v>
      </c>
      <c r="C7344" t="s">
        <v>671</v>
      </c>
    </row>
    <row r="7345" spans="1:6" x14ac:dyDescent="0.25">
      <c r="A7345" t="s">
        <v>6838</v>
      </c>
      <c r="B7345" t="s">
        <v>672</v>
      </c>
      <c r="C7345" t="s">
        <v>673</v>
      </c>
    </row>
    <row r="7346" spans="1:6" x14ac:dyDescent="0.25">
      <c r="A7346" t="s">
        <v>6838</v>
      </c>
      <c r="B7346" t="s">
        <v>5713</v>
      </c>
      <c r="C7346" t="s">
        <v>5714</v>
      </c>
    </row>
    <row r="7347" spans="1:6" x14ac:dyDescent="0.25">
      <c r="A7347" t="s">
        <v>6838</v>
      </c>
      <c r="B7347" t="s">
        <v>5715</v>
      </c>
      <c r="C7347" t="s">
        <v>5710</v>
      </c>
      <c r="D7347" t="str">
        <f>HYPERLINK("http://service.sap.com/sap/support/notes/1796423","1796423")</f>
        <v>1796423</v>
      </c>
      <c r="E7347">
        <v>2</v>
      </c>
      <c r="F7347" t="s">
        <v>6956</v>
      </c>
    </row>
    <row r="7348" spans="1:6" x14ac:dyDescent="0.25">
      <c r="A7348" t="s">
        <v>6838</v>
      </c>
      <c r="B7348" t="s">
        <v>5715</v>
      </c>
      <c r="C7348" t="s">
        <v>5710</v>
      </c>
      <c r="D7348" t="str">
        <f>HYPERLINK("http://service.sap.com/sap/support/notes/1806907","1806907")</f>
        <v>1806907</v>
      </c>
      <c r="E7348">
        <v>1</v>
      </c>
      <c r="F7348" t="s">
        <v>6957</v>
      </c>
    </row>
    <row r="7349" spans="1:6" x14ac:dyDescent="0.25">
      <c r="A7349" t="s">
        <v>6838</v>
      </c>
      <c r="B7349" t="s">
        <v>692</v>
      </c>
      <c r="C7349" t="s">
        <v>693</v>
      </c>
    </row>
    <row r="7350" spans="1:6" x14ac:dyDescent="0.25">
      <c r="A7350" t="s">
        <v>6838</v>
      </c>
      <c r="B7350" t="s">
        <v>6834</v>
      </c>
      <c r="C7350" t="s">
        <v>6835</v>
      </c>
      <c r="D7350" t="str">
        <f>HYPERLINK("http://service.sap.com/sap/support/notes/1811665","1811665")</f>
        <v>1811665</v>
      </c>
      <c r="E7350">
        <v>1</v>
      </c>
      <c r="F7350" t="s">
        <v>6958</v>
      </c>
    </row>
    <row r="7351" spans="1:6" x14ac:dyDescent="0.25">
      <c r="A7351" t="s">
        <v>6838</v>
      </c>
      <c r="B7351" t="s">
        <v>6834</v>
      </c>
      <c r="C7351" t="s">
        <v>6835</v>
      </c>
      <c r="D7351" t="str">
        <f>HYPERLINK("http://service.sap.com/sap/support/notes/1811667","1811667")</f>
        <v>1811667</v>
      </c>
      <c r="E7351">
        <v>1</v>
      </c>
      <c r="F7351" t="s">
        <v>6959</v>
      </c>
    </row>
    <row r="7352" spans="1:6" x14ac:dyDescent="0.25">
      <c r="A7352" t="s">
        <v>6960</v>
      </c>
      <c r="B7352" t="s">
        <v>481</v>
      </c>
      <c r="C7352" t="s">
        <v>482</v>
      </c>
    </row>
    <row r="7353" spans="1:6" x14ac:dyDescent="0.25">
      <c r="A7353" t="s">
        <v>6960</v>
      </c>
      <c r="B7353" t="s">
        <v>487</v>
      </c>
      <c r="C7353" t="s">
        <v>488</v>
      </c>
    </row>
    <row r="7354" spans="1:6" x14ac:dyDescent="0.25">
      <c r="A7354" t="s">
        <v>6960</v>
      </c>
      <c r="B7354" t="s">
        <v>489</v>
      </c>
      <c r="C7354" t="s">
        <v>641</v>
      </c>
      <c r="D7354" t="str">
        <f>HYPERLINK("http://service.sap.com/sap/support/notes/1805783","1805783")</f>
        <v>1805783</v>
      </c>
      <c r="E7354">
        <v>2</v>
      </c>
      <c r="F7354" t="s">
        <v>6961</v>
      </c>
    </row>
    <row r="7355" spans="1:6" x14ac:dyDescent="0.25">
      <c r="A7355" t="s">
        <v>6960</v>
      </c>
      <c r="B7355" t="s">
        <v>489</v>
      </c>
      <c r="C7355" t="s">
        <v>641</v>
      </c>
      <c r="D7355" t="str">
        <f>HYPERLINK("http://service.sap.com/sap/support/notes/1822814","1822814")</f>
        <v>1822814</v>
      </c>
      <c r="E7355">
        <v>1</v>
      </c>
      <c r="F7355" t="s">
        <v>6962</v>
      </c>
    </row>
    <row r="7356" spans="1:6" x14ac:dyDescent="0.25">
      <c r="A7356" t="s">
        <v>6960</v>
      </c>
      <c r="B7356" t="s">
        <v>490</v>
      </c>
      <c r="C7356" t="s">
        <v>491</v>
      </c>
    </row>
    <row r="7357" spans="1:6" x14ac:dyDescent="0.25">
      <c r="A7357" t="s">
        <v>6960</v>
      </c>
      <c r="B7357" t="s">
        <v>722</v>
      </c>
      <c r="C7357" t="s">
        <v>723</v>
      </c>
    </row>
    <row r="7358" spans="1:6" x14ac:dyDescent="0.25">
      <c r="A7358" t="s">
        <v>6960</v>
      </c>
      <c r="B7358" t="s">
        <v>724</v>
      </c>
      <c r="C7358" t="s">
        <v>648</v>
      </c>
      <c r="D7358" t="str">
        <f>HYPERLINK("http://service.sap.com/sap/support/notes/1691596","1691596")</f>
        <v>1691596</v>
      </c>
      <c r="E7358">
        <v>2</v>
      </c>
      <c r="F7358" t="s">
        <v>6963</v>
      </c>
    </row>
    <row r="7359" spans="1:6" x14ac:dyDescent="0.25">
      <c r="A7359" t="s">
        <v>6960</v>
      </c>
      <c r="B7359" t="s">
        <v>6519</v>
      </c>
      <c r="C7359" t="s">
        <v>6520</v>
      </c>
    </row>
    <row r="7360" spans="1:6" x14ac:dyDescent="0.25">
      <c r="A7360" t="s">
        <v>6960</v>
      </c>
      <c r="B7360" t="s">
        <v>6521</v>
      </c>
      <c r="C7360" t="s">
        <v>6522</v>
      </c>
    </row>
    <row r="7361" spans="1:6" x14ac:dyDescent="0.25">
      <c r="A7361" t="s">
        <v>6960</v>
      </c>
      <c r="B7361" t="s">
        <v>6523</v>
      </c>
      <c r="C7361" t="s">
        <v>26</v>
      </c>
    </row>
    <row r="7362" spans="1:6" x14ac:dyDescent="0.25">
      <c r="A7362" t="s">
        <v>6960</v>
      </c>
      <c r="B7362" t="s">
        <v>6524</v>
      </c>
      <c r="C7362" t="s">
        <v>6525</v>
      </c>
      <c r="D7362" t="str">
        <f>HYPERLINK("http://service.sap.com/sap/support/notes/1822237","1822237")</f>
        <v>1822237</v>
      </c>
      <c r="E7362">
        <v>1</v>
      </c>
      <c r="F7362" t="s">
        <v>6964</v>
      </c>
    </row>
    <row r="7363" spans="1:6" x14ac:dyDescent="0.25">
      <c r="A7363" t="s">
        <v>6960</v>
      </c>
      <c r="B7363" t="s">
        <v>15</v>
      </c>
      <c r="C7363" t="s">
        <v>16</v>
      </c>
    </row>
    <row r="7364" spans="1:6" x14ac:dyDescent="0.25">
      <c r="A7364" t="s">
        <v>6960</v>
      </c>
      <c r="B7364" t="s">
        <v>17</v>
      </c>
      <c r="C7364" t="s">
        <v>18</v>
      </c>
    </row>
    <row r="7365" spans="1:6" x14ac:dyDescent="0.25">
      <c r="A7365" t="s">
        <v>6960</v>
      </c>
      <c r="B7365" t="s">
        <v>19</v>
      </c>
      <c r="C7365" t="s">
        <v>20</v>
      </c>
    </row>
    <row r="7366" spans="1:6" x14ac:dyDescent="0.25">
      <c r="A7366" t="s">
        <v>6960</v>
      </c>
      <c r="B7366" t="s">
        <v>21</v>
      </c>
      <c r="C7366" t="s">
        <v>22</v>
      </c>
      <c r="D7366" t="str">
        <f>HYPERLINK("http://service.sap.com/sap/support/notes/1818283","1818283")</f>
        <v>1818283</v>
      </c>
      <c r="E7366">
        <v>1</v>
      </c>
      <c r="F7366" t="s">
        <v>6965</v>
      </c>
    </row>
    <row r="7367" spans="1:6" x14ac:dyDescent="0.25">
      <c r="A7367" t="s">
        <v>6960</v>
      </c>
      <c r="B7367" t="s">
        <v>21</v>
      </c>
      <c r="C7367" t="s">
        <v>22</v>
      </c>
      <c r="D7367" t="str">
        <f>HYPERLINK("http://service.sap.com/sap/support/notes/1824195","1824195")</f>
        <v>1824195</v>
      </c>
      <c r="E7367">
        <v>1</v>
      </c>
      <c r="F7367" t="s">
        <v>6966</v>
      </c>
    </row>
    <row r="7368" spans="1:6" x14ac:dyDescent="0.25">
      <c r="A7368" t="s">
        <v>6960</v>
      </c>
      <c r="B7368" t="s">
        <v>493</v>
      </c>
      <c r="C7368" t="s">
        <v>494</v>
      </c>
    </row>
    <row r="7369" spans="1:6" x14ac:dyDescent="0.25">
      <c r="A7369" t="s">
        <v>6960</v>
      </c>
      <c r="B7369" t="s">
        <v>495</v>
      </c>
      <c r="C7369" t="s">
        <v>655</v>
      </c>
      <c r="D7369" t="str">
        <f>HYPERLINK("http://service.sap.com/sap/support/notes/1706835","1706835")</f>
        <v>1706835</v>
      </c>
      <c r="E7369">
        <v>1</v>
      </c>
      <c r="F7369" t="s">
        <v>1567</v>
      </c>
    </row>
    <row r="7370" spans="1:6" x14ac:dyDescent="0.25">
      <c r="A7370" t="s">
        <v>6960</v>
      </c>
      <c r="B7370" t="s">
        <v>495</v>
      </c>
      <c r="C7370" t="s">
        <v>655</v>
      </c>
      <c r="D7370" t="str">
        <f>HYPERLINK("http://service.sap.com/sap/support/notes/1817653","1817653")</f>
        <v>1817653</v>
      </c>
      <c r="E7370">
        <v>2</v>
      </c>
      <c r="F7370" t="s">
        <v>6967</v>
      </c>
    </row>
    <row r="7371" spans="1:6" x14ac:dyDescent="0.25">
      <c r="A7371" t="s">
        <v>6960</v>
      </c>
      <c r="B7371" t="s">
        <v>495</v>
      </c>
      <c r="C7371" t="s">
        <v>655</v>
      </c>
      <c r="D7371" t="str">
        <f>HYPERLINK("http://service.sap.com/sap/support/notes/1822908","1822908")</f>
        <v>1822908</v>
      </c>
      <c r="E7371">
        <v>3</v>
      </c>
      <c r="F7371" t="s">
        <v>6968</v>
      </c>
    </row>
    <row r="7372" spans="1:6" x14ac:dyDescent="0.25">
      <c r="A7372" t="s">
        <v>6960</v>
      </c>
      <c r="B7372" t="s">
        <v>497</v>
      </c>
      <c r="C7372" t="s">
        <v>498</v>
      </c>
      <c r="D7372" t="str">
        <f>HYPERLINK("http://service.sap.com/sap/support/notes/1802742","1802742")</f>
        <v>1802742</v>
      </c>
      <c r="E7372">
        <v>8</v>
      </c>
      <c r="F7372" t="s">
        <v>6734</v>
      </c>
    </row>
    <row r="7373" spans="1:6" x14ac:dyDescent="0.25">
      <c r="A7373" t="s">
        <v>6960</v>
      </c>
      <c r="B7373" t="s">
        <v>497</v>
      </c>
      <c r="C7373" t="s">
        <v>498</v>
      </c>
      <c r="D7373" t="str">
        <f>HYPERLINK("http://service.sap.com/sap/support/notes/1811494","1811494")</f>
        <v>1811494</v>
      </c>
      <c r="E7373">
        <v>1</v>
      </c>
      <c r="F7373" t="s">
        <v>6969</v>
      </c>
    </row>
    <row r="7374" spans="1:6" x14ac:dyDescent="0.25">
      <c r="A7374" t="s">
        <v>6960</v>
      </c>
      <c r="B7374" t="s">
        <v>497</v>
      </c>
      <c r="C7374" t="s">
        <v>498</v>
      </c>
      <c r="D7374" t="str">
        <f>HYPERLINK("http://service.sap.com/sap/support/notes/1815083","1815083")</f>
        <v>1815083</v>
      </c>
      <c r="E7374">
        <v>2</v>
      </c>
      <c r="F7374" t="s">
        <v>6970</v>
      </c>
    </row>
    <row r="7375" spans="1:6" x14ac:dyDescent="0.25">
      <c r="A7375" t="s">
        <v>6960</v>
      </c>
      <c r="B7375" t="s">
        <v>497</v>
      </c>
      <c r="C7375" t="s">
        <v>498</v>
      </c>
      <c r="D7375" t="str">
        <f>HYPERLINK("http://service.sap.com/sap/support/notes/1815254","1815254")</f>
        <v>1815254</v>
      </c>
      <c r="E7375">
        <v>2</v>
      </c>
      <c r="F7375" t="s">
        <v>6971</v>
      </c>
    </row>
    <row r="7376" spans="1:6" x14ac:dyDescent="0.25">
      <c r="A7376" t="s">
        <v>6960</v>
      </c>
      <c r="B7376" t="s">
        <v>497</v>
      </c>
      <c r="C7376" t="s">
        <v>498</v>
      </c>
      <c r="D7376" t="str">
        <f>HYPERLINK("http://service.sap.com/sap/support/notes/1815520","1815520")</f>
        <v>1815520</v>
      </c>
      <c r="E7376">
        <v>3</v>
      </c>
      <c r="F7376" t="s">
        <v>6972</v>
      </c>
    </row>
    <row r="7377" spans="1:6" x14ac:dyDescent="0.25">
      <c r="A7377" t="s">
        <v>6960</v>
      </c>
      <c r="B7377" t="s">
        <v>497</v>
      </c>
      <c r="C7377" t="s">
        <v>498</v>
      </c>
      <c r="D7377" t="str">
        <f>HYPERLINK("http://service.sap.com/sap/support/notes/1815615","1815615")</f>
        <v>1815615</v>
      </c>
      <c r="E7377">
        <v>1</v>
      </c>
      <c r="F7377" t="s">
        <v>6973</v>
      </c>
    </row>
    <row r="7378" spans="1:6" x14ac:dyDescent="0.25">
      <c r="A7378" t="s">
        <v>6960</v>
      </c>
      <c r="B7378" t="s">
        <v>497</v>
      </c>
      <c r="C7378" t="s">
        <v>498</v>
      </c>
      <c r="D7378" t="str">
        <f>HYPERLINK("http://service.sap.com/sap/support/notes/1815644","1815644")</f>
        <v>1815644</v>
      </c>
      <c r="E7378">
        <v>3</v>
      </c>
      <c r="F7378" t="s">
        <v>6974</v>
      </c>
    </row>
    <row r="7379" spans="1:6" x14ac:dyDescent="0.25">
      <c r="A7379" t="s">
        <v>6960</v>
      </c>
      <c r="B7379" t="s">
        <v>497</v>
      </c>
      <c r="C7379" t="s">
        <v>498</v>
      </c>
      <c r="D7379" t="str">
        <f>HYPERLINK("http://service.sap.com/sap/support/notes/1815693","1815693")</f>
        <v>1815693</v>
      </c>
      <c r="E7379">
        <v>1</v>
      </c>
      <c r="F7379" t="s">
        <v>6975</v>
      </c>
    </row>
    <row r="7380" spans="1:6" x14ac:dyDescent="0.25">
      <c r="A7380" t="s">
        <v>6960</v>
      </c>
      <c r="B7380" t="s">
        <v>497</v>
      </c>
      <c r="C7380" t="s">
        <v>498</v>
      </c>
      <c r="D7380" t="str">
        <f>HYPERLINK("http://service.sap.com/sap/support/notes/1816295","1816295")</f>
        <v>1816295</v>
      </c>
      <c r="E7380">
        <v>1</v>
      </c>
      <c r="F7380" t="s">
        <v>6976</v>
      </c>
    </row>
    <row r="7381" spans="1:6" x14ac:dyDescent="0.25">
      <c r="A7381" t="s">
        <v>6960</v>
      </c>
      <c r="B7381" t="s">
        <v>497</v>
      </c>
      <c r="C7381" t="s">
        <v>498</v>
      </c>
      <c r="D7381" t="str">
        <f>HYPERLINK("http://service.sap.com/sap/support/notes/1816960","1816960")</f>
        <v>1816960</v>
      </c>
      <c r="E7381">
        <v>1</v>
      </c>
      <c r="F7381" t="s">
        <v>6977</v>
      </c>
    </row>
    <row r="7382" spans="1:6" x14ac:dyDescent="0.25">
      <c r="A7382" t="s">
        <v>6960</v>
      </c>
      <c r="B7382" t="s">
        <v>497</v>
      </c>
      <c r="C7382" t="s">
        <v>498</v>
      </c>
      <c r="D7382" t="str">
        <f>HYPERLINK("http://service.sap.com/sap/support/notes/1817367","1817367")</f>
        <v>1817367</v>
      </c>
      <c r="E7382">
        <v>1</v>
      </c>
      <c r="F7382" t="s">
        <v>6978</v>
      </c>
    </row>
    <row r="7383" spans="1:6" x14ac:dyDescent="0.25">
      <c r="A7383" t="s">
        <v>6960</v>
      </c>
      <c r="B7383" t="s">
        <v>497</v>
      </c>
      <c r="C7383" t="s">
        <v>498</v>
      </c>
      <c r="D7383" t="str">
        <f>HYPERLINK("http://service.sap.com/sap/support/notes/1817466","1817466")</f>
        <v>1817466</v>
      </c>
      <c r="E7383">
        <v>1</v>
      </c>
      <c r="F7383" t="s">
        <v>6979</v>
      </c>
    </row>
    <row r="7384" spans="1:6" x14ac:dyDescent="0.25">
      <c r="A7384" t="s">
        <v>6960</v>
      </c>
      <c r="B7384" t="s">
        <v>497</v>
      </c>
      <c r="C7384" t="s">
        <v>498</v>
      </c>
      <c r="D7384" t="str">
        <f>HYPERLINK("http://service.sap.com/sap/support/notes/1819047","1819047")</f>
        <v>1819047</v>
      </c>
      <c r="E7384">
        <v>2</v>
      </c>
      <c r="F7384" t="s">
        <v>2371</v>
      </c>
    </row>
    <row r="7385" spans="1:6" x14ac:dyDescent="0.25">
      <c r="A7385" t="s">
        <v>6960</v>
      </c>
      <c r="B7385" t="s">
        <v>497</v>
      </c>
      <c r="C7385" t="s">
        <v>498</v>
      </c>
      <c r="D7385" t="str">
        <f>HYPERLINK("http://service.sap.com/sap/support/notes/1819167","1819167")</f>
        <v>1819167</v>
      </c>
      <c r="E7385">
        <v>1</v>
      </c>
      <c r="F7385" t="s">
        <v>6980</v>
      </c>
    </row>
    <row r="7386" spans="1:6" x14ac:dyDescent="0.25">
      <c r="A7386" t="s">
        <v>6960</v>
      </c>
      <c r="B7386" t="s">
        <v>497</v>
      </c>
      <c r="C7386" t="s">
        <v>498</v>
      </c>
      <c r="D7386" t="str">
        <f>HYPERLINK("http://service.sap.com/sap/support/notes/1819847","1819847")</f>
        <v>1819847</v>
      </c>
      <c r="E7386">
        <v>1</v>
      </c>
      <c r="F7386" t="s">
        <v>6981</v>
      </c>
    </row>
    <row r="7387" spans="1:6" x14ac:dyDescent="0.25">
      <c r="A7387" t="s">
        <v>6960</v>
      </c>
      <c r="B7387" t="s">
        <v>497</v>
      </c>
      <c r="C7387" t="s">
        <v>498</v>
      </c>
      <c r="D7387" t="str">
        <f>HYPERLINK("http://service.sap.com/sap/support/notes/1820185","1820185")</f>
        <v>1820185</v>
      </c>
      <c r="E7387">
        <v>2</v>
      </c>
      <c r="F7387" t="s">
        <v>6982</v>
      </c>
    </row>
    <row r="7388" spans="1:6" x14ac:dyDescent="0.25">
      <c r="A7388" t="s">
        <v>6960</v>
      </c>
      <c r="B7388" t="s">
        <v>497</v>
      </c>
      <c r="C7388" t="s">
        <v>498</v>
      </c>
      <c r="D7388" t="str">
        <f>HYPERLINK("http://service.sap.com/sap/support/notes/1821295","1821295")</f>
        <v>1821295</v>
      </c>
      <c r="E7388">
        <v>1</v>
      </c>
      <c r="F7388" t="s">
        <v>6983</v>
      </c>
    </row>
    <row r="7389" spans="1:6" x14ac:dyDescent="0.25">
      <c r="A7389" t="s">
        <v>6960</v>
      </c>
      <c r="B7389" t="s">
        <v>497</v>
      </c>
      <c r="C7389" t="s">
        <v>498</v>
      </c>
      <c r="D7389" t="str">
        <f>HYPERLINK("http://service.sap.com/sap/support/notes/1821359","1821359")</f>
        <v>1821359</v>
      </c>
      <c r="E7389">
        <v>1</v>
      </c>
      <c r="F7389" t="s">
        <v>6984</v>
      </c>
    </row>
    <row r="7390" spans="1:6" x14ac:dyDescent="0.25">
      <c r="A7390" t="s">
        <v>6960</v>
      </c>
      <c r="B7390" t="s">
        <v>497</v>
      </c>
      <c r="C7390" t="s">
        <v>498</v>
      </c>
      <c r="D7390" t="str">
        <f>HYPERLINK("http://service.sap.com/sap/support/notes/1822889","1822889")</f>
        <v>1822889</v>
      </c>
      <c r="E7390">
        <v>2</v>
      </c>
      <c r="F7390" t="s">
        <v>6985</v>
      </c>
    </row>
    <row r="7391" spans="1:6" x14ac:dyDescent="0.25">
      <c r="A7391" t="s">
        <v>6960</v>
      </c>
      <c r="B7391" t="s">
        <v>497</v>
      </c>
      <c r="C7391" t="s">
        <v>498</v>
      </c>
      <c r="D7391" t="str">
        <f>HYPERLINK("http://service.sap.com/sap/support/notes/1823022","1823022")</f>
        <v>1823022</v>
      </c>
      <c r="E7391">
        <v>1</v>
      </c>
      <c r="F7391" t="s">
        <v>6986</v>
      </c>
    </row>
    <row r="7392" spans="1:6" x14ac:dyDescent="0.25">
      <c r="A7392" t="s">
        <v>6960</v>
      </c>
      <c r="B7392" t="s">
        <v>497</v>
      </c>
      <c r="C7392" t="s">
        <v>498</v>
      </c>
      <c r="D7392" t="str">
        <f>HYPERLINK("http://service.sap.com/sap/support/notes/1824109","1824109")</f>
        <v>1824109</v>
      </c>
      <c r="E7392">
        <v>1</v>
      </c>
      <c r="F7392" t="s">
        <v>6987</v>
      </c>
    </row>
    <row r="7393" spans="1:6" x14ac:dyDescent="0.25">
      <c r="A7393" t="s">
        <v>6960</v>
      </c>
      <c r="B7393" t="s">
        <v>497</v>
      </c>
      <c r="C7393" t="s">
        <v>498</v>
      </c>
      <c r="D7393" t="str">
        <f>HYPERLINK("http://service.sap.com/sap/support/notes/1824735","1824735")</f>
        <v>1824735</v>
      </c>
      <c r="E7393">
        <v>1</v>
      </c>
      <c r="F7393" t="s">
        <v>6988</v>
      </c>
    </row>
    <row r="7394" spans="1:6" x14ac:dyDescent="0.25">
      <c r="A7394" t="s">
        <v>6960</v>
      </c>
      <c r="B7394" t="s">
        <v>656</v>
      </c>
      <c r="C7394" t="s">
        <v>657</v>
      </c>
      <c r="D7394" t="str">
        <f>HYPERLINK("http://service.sap.com/sap/support/notes/1731527","1731527")</f>
        <v>1731527</v>
      </c>
      <c r="E7394">
        <v>5</v>
      </c>
      <c r="F7394" t="s">
        <v>6989</v>
      </c>
    </row>
    <row r="7395" spans="1:6" x14ac:dyDescent="0.25">
      <c r="A7395" t="s">
        <v>6960</v>
      </c>
      <c r="B7395" t="s">
        <v>656</v>
      </c>
      <c r="C7395" t="s">
        <v>657</v>
      </c>
      <c r="D7395" t="str">
        <f>HYPERLINK("http://service.sap.com/sap/support/notes/1792118","1792118")</f>
        <v>1792118</v>
      </c>
      <c r="E7395">
        <v>3</v>
      </c>
      <c r="F7395" t="s">
        <v>6990</v>
      </c>
    </row>
    <row r="7396" spans="1:6" x14ac:dyDescent="0.25">
      <c r="A7396" t="s">
        <v>6960</v>
      </c>
      <c r="B7396" t="s">
        <v>656</v>
      </c>
      <c r="C7396" t="s">
        <v>657</v>
      </c>
      <c r="D7396" t="str">
        <f>HYPERLINK("http://service.sap.com/sap/support/notes/1794409","1794409")</f>
        <v>1794409</v>
      </c>
      <c r="E7396">
        <v>3</v>
      </c>
      <c r="F7396" t="s">
        <v>6991</v>
      </c>
    </row>
    <row r="7397" spans="1:6" x14ac:dyDescent="0.25">
      <c r="A7397" t="s">
        <v>6960</v>
      </c>
      <c r="B7397" t="s">
        <v>656</v>
      </c>
      <c r="C7397" t="s">
        <v>657</v>
      </c>
      <c r="D7397" t="str">
        <f>HYPERLINK("http://service.sap.com/sap/support/notes/1795044","1795044")</f>
        <v>1795044</v>
      </c>
      <c r="E7397">
        <v>6</v>
      </c>
      <c r="F7397" t="s">
        <v>6868</v>
      </c>
    </row>
    <row r="7398" spans="1:6" x14ac:dyDescent="0.25">
      <c r="A7398" t="s">
        <v>6960</v>
      </c>
      <c r="B7398" t="s">
        <v>656</v>
      </c>
      <c r="C7398" t="s">
        <v>657</v>
      </c>
      <c r="D7398" t="str">
        <f>HYPERLINK("http://service.sap.com/sap/support/notes/1807454","1807454")</f>
        <v>1807454</v>
      </c>
      <c r="E7398">
        <v>1</v>
      </c>
      <c r="F7398" t="s">
        <v>6992</v>
      </c>
    </row>
    <row r="7399" spans="1:6" x14ac:dyDescent="0.25">
      <c r="A7399" t="s">
        <v>6960</v>
      </c>
      <c r="B7399" t="s">
        <v>656</v>
      </c>
      <c r="C7399" t="s">
        <v>657</v>
      </c>
      <c r="D7399" t="str">
        <f>HYPERLINK("http://service.sap.com/sap/support/notes/1809114","1809114")</f>
        <v>1809114</v>
      </c>
      <c r="E7399">
        <v>2</v>
      </c>
      <c r="F7399" t="s">
        <v>6993</v>
      </c>
    </row>
    <row r="7400" spans="1:6" x14ac:dyDescent="0.25">
      <c r="A7400" t="s">
        <v>6960</v>
      </c>
      <c r="B7400" t="s">
        <v>656</v>
      </c>
      <c r="C7400" t="s">
        <v>657</v>
      </c>
      <c r="D7400" t="str">
        <f>HYPERLINK("http://service.sap.com/sap/support/notes/1811559","1811559")</f>
        <v>1811559</v>
      </c>
      <c r="E7400">
        <v>2</v>
      </c>
      <c r="F7400" t="s">
        <v>6994</v>
      </c>
    </row>
    <row r="7401" spans="1:6" x14ac:dyDescent="0.25">
      <c r="A7401" t="s">
        <v>6960</v>
      </c>
      <c r="B7401" t="s">
        <v>656</v>
      </c>
      <c r="C7401" t="s">
        <v>657</v>
      </c>
      <c r="D7401" t="str">
        <f>HYPERLINK("http://service.sap.com/sap/support/notes/1811682","1811682")</f>
        <v>1811682</v>
      </c>
      <c r="E7401">
        <v>2</v>
      </c>
      <c r="F7401" t="s">
        <v>6995</v>
      </c>
    </row>
    <row r="7402" spans="1:6" x14ac:dyDescent="0.25">
      <c r="A7402" t="s">
        <v>6960</v>
      </c>
      <c r="B7402" t="s">
        <v>656</v>
      </c>
      <c r="C7402" t="s">
        <v>657</v>
      </c>
      <c r="D7402" t="str">
        <f>HYPERLINK("http://service.sap.com/sap/support/notes/1812891","1812891")</f>
        <v>1812891</v>
      </c>
      <c r="E7402">
        <v>1</v>
      </c>
      <c r="F7402" t="s">
        <v>6996</v>
      </c>
    </row>
    <row r="7403" spans="1:6" x14ac:dyDescent="0.25">
      <c r="A7403" t="s">
        <v>6960</v>
      </c>
      <c r="B7403" t="s">
        <v>656</v>
      </c>
      <c r="C7403" t="s">
        <v>657</v>
      </c>
      <c r="D7403" t="str">
        <f>HYPERLINK("http://service.sap.com/sap/support/notes/1814394","1814394")</f>
        <v>1814394</v>
      </c>
      <c r="E7403">
        <v>2</v>
      </c>
      <c r="F7403" t="s">
        <v>6997</v>
      </c>
    </row>
    <row r="7404" spans="1:6" x14ac:dyDescent="0.25">
      <c r="A7404" t="s">
        <v>6960</v>
      </c>
      <c r="B7404" t="s">
        <v>656</v>
      </c>
      <c r="C7404" t="s">
        <v>657</v>
      </c>
      <c r="D7404" t="str">
        <f>HYPERLINK("http://service.sap.com/sap/support/notes/1814479","1814479")</f>
        <v>1814479</v>
      </c>
      <c r="E7404">
        <v>1</v>
      </c>
      <c r="F7404" t="s">
        <v>6998</v>
      </c>
    </row>
    <row r="7405" spans="1:6" x14ac:dyDescent="0.25">
      <c r="A7405" t="s">
        <v>6960</v>
      </c>
      <c r="B7405" t="s">
        <v>656</v>
      </c>
      <c r="C7405" t="s">
        <v>657</v>
      </c>
      <c r="D7405" t="str">
        <f>HYPERLINK("http://service.sap.com/sap/support/notes/1814592","1814592")</f>
        <v>1814592</v>
      </c>
      <c r="E7405">
        <v>1</v>
      </c>
      <c r="F7405" t="s">
        <v>6999</v>
      </c>
    </row>
    <row r="7406" spans="1:6" x14ac:dyDescent="0.25">
      <c r="A7406" t="s">
        <v>6960</v>
      </c>
      <c r="B7406" t="s">
        <v>656</v>
      </c>
      <c r="C7406" t="s">
        <v>657</v>
      </c>
      <c r="D7406" t="str">
        <f>HYPERLINK("http://service.sap.com/sap/support/notes/1815597","1815597")</f>
        <v>1815597</v>
      </c>
      <c r="E7406">
        <v>1</v>
      </c>
      <c r="F7406" t="s">
        <v>7000</v>
      </c>
    </row>
    <row r="7407" spans="1:6" x14ac:dyDescent="0.25">
      <c r="A7407" t="s">
        <v>6960</v>
      </c>
      <c r="B7407" t="s">
        <v>656</v>
      </c>
      <c r="C7407" t="s">
        <v>657</v>
      </c>
      <c r="D7407" t="str">
        <f>HYPERLINK("http://service.sap.com/sap/support/notes/1816181","1816181")</f>
        <v>1816181</v>
      </c>
      <c r="E7407">
        <v>1</v>
      </c>
      <c r="F7407" t="s">
        <v>7001</v>
      </c>
    </row>
    <row r="7408" spans="1:6" x14ac:dyDescent="0.25">
      <c r="A7408" t="s">
        <v>6960</v>
      </c>
      <c r="B7408" t="s">
        <v>656</v>
      </c>
      <c r="C7408" t="s">
        <v>657</v>
      </c>
      <c r="D7408" t="str">
        <f>HYPERLINK("http://service.sap.com/sap/support/notes/1816323","1816323")</f>
        <v>1816323</v>
      </c>
      <c r="E7408">
        <v>1</v>
      </c>
      <c r="F7408" t="s">
        <v>7002</v>
      </c>
    </row>
    <row r="7409" spans="1:6" x14ac:dyDescent="0.25">
      <c r="A7409" t="s">
        <v>6960</v>
      </c>
      <c r="B7409" t="s">
        <v>656</v>
      </c>
      <c r="C7409" t="s">
        <v>657</v>
      </c>
      <c r="D7409" t="str">
        <f>HYPERLINK("http://service.sap.com/sap/support/notes/1816469","1816469")</f>
        <v>1816469</v>
      </c>
      <c r="E7409">
        <v>2</v>
      </c>
      <c r="F7409" t="s">
        <v>7003</v>
      </c>
    </row>
    <row r="7410" spans="1:6" x14ac:dyDescent="0.25">
      <c r="A7410" t="s">
        <v>6960</v>
      </c>
      <c r="B7410" t="s">
        <v>656</v>
      </c>
      <c r="C7410" t="s">
        <v>657</v>
      </c>
      <c r="D7410" t="str">
        <f>HYPERLINK("http://service.sap.com/sap/support/notes/1816701","1816701")</f>
        <v>1816701</v>
      </c>
      <c r="E7410">
        <v>2</v>
      </c>
      <c r="F7410" t="s">
        <v>7004</v>
      </c>
    </row>
    <row r="7411" spans="1:6" x14ac:dyDescent="0.25">
      <c r="A7411" t="s">
        <v>6960</v>
      </c>
      <c r="B7411" t="s">
        <v>656</v>
      </c>
      <c r="C7411" t="s">
        <v>657</v>
      </c>
      <c r="D7411" t="str">
        <f>HYPERLINK("http://service.sap.com/sap/support/notes/1816942","1816942")</f>
        <v>1816942</v>
      </c>
      <c r="E7411">
        <v>1</v>
      </c>
      <c r="F7411" t="s">
        <v>7005</v>
      </c>
    </row>
    <row r="7412" spans="1:6" x14ac:dyDescent="0.25">
      <c r="A7412" t="s">
        <v>6960</v>
      </c>
      <c r="B7412" t="s">
        <v>656</v>
      </c>
      <c r="C7412" t="s">
        <v>657</v>
      </c>
      <c r="D7412" t="str">
        <f>HYPERLINK("http://service.sap.com/sap/support/notes/1818734","1818734")</f>
        <v>1818734</v>
      </c>
      <c r="E7412">
        <v>1</v>
      </c>
      <c r="F7412" t="s">
        <v>7006</v>
      </c>
    </row>
    <row r="7413" spans="1:6" x14ac:dyDescent="0.25">
      <c r="A7413" t="s">
        <v>6960</v>
      </c>
      <c r="B7413" t="s">
        <v>656</v>
      </c>
      <c r="C7413" t="s">
        <v>657</v>
      </c>
      <c r="D7413" t="str">
        <f>HYPERLINK("http://service.sap.com/sap/support/notes/1819092","1819092")</f>
        <v>1819092</v>
      </c>
      <c r="E7413">
        <v>1</v>
      </c>
      <c r="F7413" t="s">
        <v>7007</v>
      </c>
    </row>
    <row r="7414" spans="1:6" x14ac:dyDescent="0.25">
      <c r="A7414" t="s">
        <v>6960</v>
      </c>
      <c r="B7414" t="s">
        <v>656</v>
      </c>
      <c r="C7414" t="s">
        <v>657</v>
      </c>
      <c r="D7414" t="str">
        <f>HYPERLINK("http://service.sap.com/sap/support/notes/1819096","1819096")</f>
        <v>1819096</v>
      </c>
      <c r="E7414">
        <v>2</v>
      </c>
      <c r="F7414" t="s">
        <v>7008</v>
      </c>
    </row>
    <row r="7415" spans="1:6" x14ac:dyDescent="0.25">
      <c r="A7415" t="s">
        <v>6960</v>
      </c>
      <c r="B7415" t="s">
        <v>656</v>
      </c>
      <c r="C7415" t="s">
        <v>657</v>
      </c>
      <c r="D7415" t="str">
        <f>HYPERLINK("http://service.sap.com/sap/support/notes/1820157","1820157")</f>
        <v>1820157</v>
      </c>
      <c r="E7415">
        <v>2</v>
      </c>
      <c r="F7415" t="s">
        <v>7009</v>
      </c>
    </row>
    <row r="7416" spans="1:6" x14ac:dyDescent="0.25">
      <c r="A7416" t="s">
        <v>6960</v>
      </c>
      <c r="B7416" t="s">
        <v>656</v>
      </c>
      <c r="C7416" t="s">
        <v>657</v>
      </c>
      <c r="D7416" t="str">
        <f>HYPERLINK("http://service.sap.com/sap/support/notes/1820986","1820986")</f>
        <v>1820986</v>
      </c>
      <c r="E7416">
        <v>2</v>
      </c>
      <c r="F7416" t="s">
        <v>7010</v>
      </c>
    </row>
    <row r="7417" spans="1:6" x14ac:dyDescent="0.25">
      <c r="A7417" t="s">
        <v>6960</v>
      </c>
      <c r="B7417" t="s">
        <v>656</v>
      </c>
      <c r="C7417" t="s">
        <v>657</v>
      </c>
      <c r="D7417" t="str">
        <f>HYPERLINK("http://service.sap.com/sap/support/notes/1821536","1821536")</f>
        <v>1821536</v>
      </c>
      <c r="E7417">
        <v>2</v>
      </c>
      <c r="F7417" t="s">
        <v>7011</v>
      </c>
    </row>
    <row r="7418" spans="1:6" x14ac:dyDescent="0.25">
      <c r="A7418" t="s">
        <v>6960</v>
      </c>
      <c r="B7418" t="s">
        <v>656</v>
      </c>
      <c r="C7418" t="s">
        <v>657</v>
      </c>
      <c r="D7418" t="str">
        <f>HYPERLINK("http://service.sap.com/sap/support/notes/1822251","1822251")</f>
        <v>1822251</v>
      </c>
      <c r="E7418">
        <v>1</v>
      </c>
      <c r="F7418" t="s">
        <v>7012</v>
      </c>
    </row>
    <row r="7419" spans="1:6" x14ac:dyDescent="0.25">
      <c r="A7419" t="s">
        <v>6960</v>
      </c>
      <c r="B7419" t="s">
        <v>656</v>
      </c>
      <c r="C7419" t="s">
        <v>657</v>
      </c>
      <c r="D7419" t="str">
        <f>HYPERLINK("http://service.sap.com/sap/support/notes/1822393","1822393")</f>
        <v>1822393</v>
      </c>
      <c r="E7419">
        <v>1</v>
      </c>
      <c r="F7419" t="s">
        <v>7013</v>
      </c>
    </row>
    <row r="7420" spans="1:6" x14ac:dyDescent="0.25">
      <c r="A7420" t="s">
        <v>6960</v>
      </c>
      <c r="B7420" t="s">
        <v>656</v>
      </c>
      <c r="C7420" t="s">
        <v>657</v>
      </c>
      <c r="D7420" t="str">
        <f>HYPERLINK("http://service.sap.com/sap/support/notes/1823046","1823046")</f>
        <v>1823046</v>
      </c>
      <c r="E7420">
        <v>1</v>
      </c>
      <c r="F7420" t="s">
        <v>7014</v>
      </c>
    </row>
    <row r="7421" spans="1:6" x14ac:dyDescent="0.25">
      <c r="A7421" t="s">
        <v>6960</v>
      </c>
      <c r="B7421" t="s">
        <v>656</v>
      </c>
      <c r="C7421" t="s">
        <v>657</v>
      </c>
      <c r="D7421" t="str">
        <f>HYPERLINK("http://service.sap.com/sap/support/notes/1824218","1824218")</f>
        <v>1824218</v>
      </c>
      <c r="E7421">
        <v>1</v>
      </c>
      <c r="F7421" t="s">
        <v>7015</v>
      </c>
    </row>
    <row r="7422" spans="1:6" x14ac:dyDescent="0.25">
      <c r="A7422" t="s">
        <v>6960</v>
      </c>
      <c r="B7422" t="s">
        <v>656</v>
      </c>
      <c r="C7422" t="s">
        <v>657</v>
      </c>
      <c r="D7422" t="str">
        <f>HYPERLINK("http://service.sap.com/sap/support/notes/1825194","1825194")</f>
        <v>1825194</v>
      </c>
      <c r="E7422">
        <v>1</v>
      </c>
      <c r="F7422" t="s">
        <v>7016</v>
      </c>
    </row>
    <row r="7423" spans="1:6" x14ac:dyDescent="0.25">
      <c r="A7423" t="s">
        <v>6960</v>
      </c>
      <c r="B7423" t="s">
        <v>694</v>
      </c>
      <c r="C7423" t="s">
        <v>695</v>
      </c>
      <c r="D7423" t="str">
        <f>HYPERLINK("http://service.sap.com/sap/support/notes/1816876","1816876")</f>
        <v>1816876</v>
      </c>
      <c r="E7423">
        <v>1</v>
      </c>
      <c r="F7423" t="s">
        <v>7017</v>
      </c>
    </row>
    <row r="7424" spans="1:6" x14ac:dyDescent="0.25">
      <c r="A7424" t="s">
        <v>6960</v>
      </c>
      <c r="B7424" t="s">
        <v>694</v>
      </c>
      <c r="C7424" t="s">
        <v>695</v>
      </c>
      <c r="D7424" t="str">
        <f>HYPERLINK("http://service.sap.com/sap/support/notes/1819910","1819910")</f>
        <v>1819910</v>
      </c>
      <c r="E7424">
        <v>1</v>
      </c>
      <c r="F7424" t="s">
        <v>7018</v>
      </c>
    </row>
    <row r="7425" spans="1:6" x14ac:dyDescent="0.25">
      <c r="A7425" t="s">
        <v>6960</v>
      </c>
      <c r="B7425" t="s">
        <v>5795</v>
      </c>
      <c r="C7425" t="s">
        <v>5796</v>
      </c>
      <c r="D7425" t="str">
        <f>HYPERLINK("http://service.sap.com/sap/support/notes/1821795","1821795")</f>
        <v>1821795</v>
      </c>
      <c r="E7425">
        <v>2</v>
      </c>
      <c r="F7425" t="s">
        <v>7019</v>
      </c>
    </row>
    <row r="7426" spans="1:6" x14ac:dyDescent="0.25">
      <c r="A7426" t="s">
        <v>6960</v>
      </c>
      <c r="B7426" t="s">
        <v>5795</v>
      </c>
      <c r="C7426" t="s">
        <v>5796</v>
      </c>
      <c r="D7426" t="str">
        <f>HYPERLINK("http://service.sap.com/sap/support/notes/1825290","1825290")</f>
        <v>1825290</v>
      </c>
      <c r="E7426">
        <v>2</v>
      </c>
      <c r="F7426" t="s">
        <v>7020</v>
      </c>
    </row>
    <row r="7427" spans="1:6" x14ac:dyDescent="0.25">
      <c r="A7427" t="s">
        <v>6960</v>
      </c>
      <c r="B7427" t="s">
        <v>5795</v>
      </c>
      <c r="C7427" t="s">
        <v>5796</v>
      </c>
      <c r="D7427" t="str">
        <f>HYPERLINK("http://service.sap.com/sap/support/notes/1825354","1825354")</f>
        <v>1825354</v>
      </c>
      <c r="E7427">
        <v>1</v>
      </c>
      <c r="F7427" t="s">
        <v>7021</v>
      </c>
    </row>
    <row r="7428" spans="1:6" x14ac:dyDescent="0.25">
      <c r="A7428" t="s">
        <v>6960</v>
      </c>
      <c r="B7428" t="s">
        <v>5798</v>
      </c>
      <c r="C7428" t="s">
        <v>5799</v>
      </c>
      <c r="D7428" t="str">
        <f>HYPERLINK("http://service.sap.com/sap/support/notes/1817473","1817473")</f>
        <v>1817473</v>
      </c>
      <c r="E7428">
        <v>2</v>
      </c>
      <c r="F7428" t="s">
        <v>7022</v>
      </c>
    </row>
    <row r="7429" spans="1:6" x14ac:dyDescent="0.25">
      <c r="A7429" t="s">
        <v>6960</v>
      </c>
      <c r="B7429" t="s">
        <v>5798</v>
      </c>
      <c r="C7429" t="s">
        <v>5799</v>
      </c>
      <c r="D7429" t="str">
        <f>HYPERLINK("http://service.sap.com/sap/support/notes/1822915","1822915")</f>
        <v>1822915</v>
      </c>
      <c r="E7429">
        <v>1</v>
      </c>
      <c r="F7429" t="s">
        <v>7023</v>
      </c>
    </row>
    <row r="7430" spans="1:6" x14ac:dyDescent="0.25">
      <c r="A7430" t="s">
        <v>6960</v>
      </c>
      <c r="B7430" t="s">
        <v>5798</v>
      </c>
      <c r="C7430" t="s">
        <v>5799</v>
      </c>
      <c r="D7430" t="str">
        <f>HYPERLINK("http://service.sap.com/sap/support/notes/1824846","1824846")</f>
        <v>1824846</v>
      </c>
      <c r="E7430">
        <v>1</v>
      </c>
      <c r="F7430" t="s">
        <v>7024</v>
      </c>
    </row>
    <row r="7431" spans="1:6" x14ac:dyDescent="0.25">
      <c r="A7431" t="s">
        <v>6960</v>
      </c>
      <c r="B7431" t="s">
        <v>6887</v>
      </c>
      <c r="C7431" t="s">
        <v>6888</v>
      </c>
    </row>
    <row r="7432" spans="1:6" x14ac:dyDescent="0.25">
      <c r="A7432" t="s">
        <v>6960</v>
      </c>
      <c r="B7432" t="s">
        <v>6889</v>
      </c>
      <c r="C7432" t="s">
        <v>6890</v>
      </c>
    </row>
    <row r="7433" spans="1:6" x14ac:dyDescent="0.25">
      <c r="A7433" t="s">
        <v>6960</v>
      </c>
      <c r="B7433" t="s">
        <v>6891</v>
      </c>
      <c r="C7433" t="s">
        <v>6892</v>
      </c>
    </row>
    <row r="7434" spans="1:6" x14ac:dyDescent="0.25">
      <c r="A7434" t="s">
        <v>6960</v>
      </c>
      <c r="B7434" t="s">
        <v>6893</v>
      </c>
      <c r="C7434" t="s">
        <v>6894</v>
      </c>
      <c r="D7434" t="str">
        <f>HYPERLINK("http://service.sap.com/sap/support/notes/1813276","1813276")</f>
        <v>1813276</v>
      </c>
      <c r="E7434">
        <v>1</v>
      </c>
      <c r="F7434" t="s">
        <v>6895</v>
      </c>
    </row>
    <row r="7435" spans="1:6" x14ac:dyDescent="0.25">
      <c r="A7435" t="s">
        <v>6960</v>
      </c>
      <c r="B7435" t="s">
        <v>24</v>
      </c>
      <c r="C7435" t="s">
        <v>10</v>
      </c>
    </row>
    <row r="7436" spans="1:6" x14ac:dyDescent="0.25">
      <c r="A7436" t="s">
        <v>6960</v>
      </c>
      <c r="B7436" t="s">
        <v>5505</v>
      </c>
      <c r="C7436" t="s">
        <v>5506</v>
      </c>
      <c r="D7436" t="str">
        <f>HYPERLINK("http://service.sap.com/sap/support/notes/1771590","1771590")</f>
        <v>1771590</v>
      </c>
      <c r="E7436">
        <v>1</v>
      </c>
      <c r="F7436" t="s">
        <v>6417</v>
      </c>
    </row>
    <row r="7437" spans="1:6" x14ac:dyDescent="0.25">
      <c r="A7437" t="s">
        <v>6960</v>
      </c>
      <c r="B7437" t="s">
        <v>5505</v>
      </c>
      <c r="C7437" t="s">
        <v>5506</v>
      </c>
      <c r="D7437" t="str">
        <f>HYPERLINK("http://service.sap.com/sap/support/notes/1809299","1809299")</f>
        <v>1809299</v>
      </c>
      <c r="E7437">
        <v>1</v>
      </c>
      <c r="F7437" t="s">
        <v>7025</v>
      </c>
    </row>
    <row r="7438" spans="1:6" x14ac:dyDescent="0.25">
      <c r="A7438" t="s">
        <v>6960</v>
      </c>
      <c r="B7438" t="s">
        <v>5505</v>
      </c>
      <c r="C7438" t="s">
        <v>5506</v>
      </c>
      <c r="D7438" t="str">
        <f>HYPERLINK("http://service.sap.com/sap/support/notes/1822338","1822338")</f>
        <v>1822338</v>
      </c>
      <c r="E7438">
        <v>1</v>
      </c>
      <c r="F7438" t="s">
        <v>7026</v>
      </c>
    </row>
    <row r="7439" spans="1:6" x14ac:dyDescent="0.25">
      <c r="A7439" t="s">
        <v>6960</v>
      </c>
      <c r="B7439" t="s">
        <v>5505</v>
      </c>
      <c r="C7439" t="s">
        <v>5506</v>
      </c>
      <c r="D7439" t="str">
        <f>HYPERLINK("http://service.sap.com/sap/support/notes/1822407","1822407")</f>
        <v>1822407</v>
      </c>
      <c r="E7439">
        <v>1</v>
      </c>
      <c r="F7439" t="s">
        <v>7027</v>
      </c>
    </row>
    <row r="7440" spans="1:6" x14ac:dyDescent="0.25">
      <c r="A7440" t="s">
        <v>6960</v>
      </c>
      <c r="B7440" t="s">
        <v>5514</v>
      </c>
      <c r="C7440" t="s">
        <v>5515</v>
      </c>
      <c r="D7440" t="str">
        <f>HYPERLINK("http://service.sap.com/sap/support/notes/1790589","1790589")</f>
        <v>1790589</v>
      </c>
      <c r="E7440">
        <v>2</v>
      </c>
      <c r="F7440" t="s">
        <v>7028</v>
      </c>
    </row>
    <row r="7441" spans="1:6" x14ac:dyDescent="0.25">
      <c r="A7441" t="s">
        <v>6960</v>
      </c>
      <c r="B7441" t="s">
        <v>5514</v>
      </c>
      <c r="C7441" t="s">
        <v>5515</v>
      </c>
      <c r="D7441" t="str">
        <f>HYPERLINK("http://service.sap.com/sap/support/notes/1793367","1793367")</f>
        <v>1793367</v>
      </c>
      <c r="E7441">
        <v>2</v>
      </c>
      <c r="F7441" t="s">
        <v>7029</v>
      </c>
    </row>
    <row r="7442" spans="1:6" x14ac:dyDescent="0.25">
      <c r="A7442" t="s">
        <v>6960</v>
      </c>
      <c r="B7442" t="s">
        <v>5514</v>
      </c>
      <c r="C7442" t="s">
        <v>5515</v>
      </c>
      <c r="D7442" t="str">
        <f>HYPERLINK("http://service.sap.com/sap/support/notes/1808930","1808930")</f>
        <v>1808930</v>
      </c>
      <c r="E7442">
        <v>2</v>
      </c>
      <c r="F7442" t="s">
        <v>7030</v>
      </c>
    </row>
    <row r="7443" spans="1:6" x14ac:dyDescent="0.25">
      <c r="A7443" t="s">
        <v>6960</v>
      </c>
      <c r="B7443" t="s">
        <v>5514</v>
      </c>
      <c r="C7443" t="s">
        <v>5515</v>
      </c>
      <c r="D7443" t="str">
        <f>HYPERLINK("http://service.sap.com/sap/support/notes/1816985","1816985")</f>
        <v>1816985</v>
      </c>
      <c r="E7443">
        <v>3</v>
      </c>
      <c r="F7443" t="s">
        <v>7031</v>
      </c>
    </row>
    <row r="7444" spans="1:6" x14ac:dyDescent="0.25">
      <c r="A7444" t="s">
        <v>6960</v>
      </c>
      <c r="B7444" t="s">
        <v>5524</v>
      </c>
      <c r="C7444" t="s">
        <v>5525</v>
      </c>
      <c r="D7444" t="str">
        <f>HYPERLINK("http://service.sap.com/sap/support/notes/1492840","1492840")</f>
        <v>1492840</v>
      </c>
      <c r="E7444">
        <v>3</v>
      </c>
      <c r="F7444" t="s">
        <v>7032</v>
      </c>
    </row>
    <row r="7445" spans="1:6" x14ac:dyDescent="0.25">
      <c r="A7445" t="s">
        <v>6960</v>
      </c>
      <c r="B7445" t="s">
        <v>5524</v>
      </c>
      <c r="C7445" t="s">
        <v>5525</v>
      </c>
      <c r="D7445" t="str">
        <f>HYPERLINK("http://service.sap.com/sap/support/notes/1649886","1649886")</f>
        <v>1649886</v>
      </c>
      <c r="E7445">
        <v>2</v>
      </c>
      <c r="F7445" t="s">
        <v>7033</v>
      </c>
    </row>
    <row r="7446" spans="1:6" x14ac:dyDescent="0.25">
      <c r="A7446" t="s">
        <v>6960</v>
      </c>
      <c r="B7446" t="s">
        <v>5524</v>
      </c>
      <c r="C7446" t="s">
        <v>5525</v>
      </c>
      <c r="D7446" t="str">
        <f>HYPERLINK("http://service.sap.com/sap/support/notes/1774089","1774089")</f>
        <v>1774089</v>
      </c>
      <c r="E7446">
        <v>5</v>
      </c>
      <c r="F7446" t="s">
        <v>7034</v>
      </c>
    </row>
    <row r="7447" spans="1:6" x14ac:dyDescent="0.25">
      <c r="A7447" t="s">
        <v>6960</v>
      </c>
      <c r="B7447" t="s">
        <v>5524</v>
      </c>
      <c r="C7447" t="s">
        <v>5525</v>
      </c>
      <c r="D7447" t="str">
        <f>HYPERLINK("http://service.sap.com/sap/support/notes/1816207","1816207")</f>
        <v>1816207</v>
      </c>
      <c r="E7447">
        <v>1</v>
      </c>
      <c r="F7447" t="s">
        <v>7035</v>
      </c>
    </row>
    <row r="7448" spans="1:6" x14ac:dyDescent="0.25">
      <c r="A7448" t="s">
        <v>6960</v>
      </c>
      <c r="B7448" t="s">
        <v>5524</v>
      </c>
      <c r="C7448" t="s">
        <v>5525</v>
      </c>
      <c r="D7448" t="str">
        <f>HYPERLINK("http://service.sap.com/sap/support/notes/1817338","1817338")</f>
        <v>1817338</v>
      </c>
      <c r="E7448">
        <v>1</v>
      </c>
      <c r="F7448" t="s">
        <v>7036</v>
      </c>
    </row>
    <row r="7449" spans="1:6" x14ac:dyDescent="0.25">
      <c r="A7449" t="s">
        <v>6960</v>
      </c>
      <c r="B7449" t="s">
        <v>5524</v>
      </c>
      <c r="C7449" t="s">
        <v>5525</v>
      </c>
      <c r="D7449" t="str">
        <f>HYPERLINK("http://service.sap.com/sap/support/notes/1820907","1820907")</f>
        <v>1820907</v>
      </c>
      <c r="E7449">
        <v>1</v>
      </c>
      <c r="F7449" t="s">
        <v>7037</v>
      </c>
    </row>
    <row r="7450" spans="1:6" x14ac:dyDescent="0.25">
      <c r="A7450" t="s">
        <v>6960</v>
      </c>
      <c r="B7450" t="s">
        <v>5524</v>
      </c>
      <c r="C7450" t="s">
        <v>5525</v>
      </c>
      <c r="D7450" t="str">
        <f>HYPERLINK("http://service.sap.com/sap/support/notes/1821805","1821805")</f>
        <v>1821805</v>
      </c>
      <c r="E7450">
        <v>1</v>
      </c>
      <c r="F7450" t="s">
        <v>7038</v>
      </c>
    </row>
    <row r="7451" spans="1:6" x14ac:dyDescent="0.25">
      <c r="A7451" t="s">
        <v>6960</v>
      </c>
      <c r="B7451" t="s">
        <v>5524</v>
      </c>
      <c r="C7451" t="s">
        <v>5525</v>
      </c>
      <c r="D7451" t="str">
        <f>HYPERLINK("http://service.sap.com/sap/support/notes/1823729","1823729")</f>
        <v>1823729</v>
      </c>
      <c r="E7451">
        <v>1</v>
      </c>
      <c r="F7451" t="s">
        <v>7039</v>
      </c>
    </row>
    <row r="7452" spans="1:6" x14ac:dyDescent="0.25">
      <c r="A7452" t="s">
        <v>6960</v>
      </c>
      <c r="B7452" t="s">
        <v>510</v>
      </c>
      <c r="C7452" t="s">
        <v>5562</v>
      </c>
      <c r="D7452" t="str">
        <f>HYPERLINK("http://service.sap.com/sap/support/notes/1814413","1814413")</f>
        <v>1814413</v>
      </c>
      <c r="E7452">
        <v>1</v>
      </c>
      <c r="F7452" t="s">
        <v>7040</v>
      </c>
    </row>
    <row r="7453" spans="1:6" x14ac:dyDescent="0.25">
      <c r="A7453" t="s">
        <v>6960</v>
      </c>
      <c r="B7453" t="s">
        <v>25</v>
      </c>
      <c r="C7453" t="s">
        <v>26</v>
      </c>
    </row>
    <row r="7454" spans="1:6" x14ac:dyDescent="0.25">
      <c r="A7454" t="s">
        <v>6960</v>
      </c>
      <c r="B7454" t="s">
        <v>27</v>
      </c>
      <c r="C7454" t="s">
        <v>28</v>
      </c>
      <c r="D7454" t="str">
        <f>HYPERLINK("http://service.sap.com/sap/support/notes/1796568","1796568")</f>
        <v>1796568</v>
      </c>
      <c r="E7454">
        <v>1</v>
      </c>
      <c r="F7454" t="s">
        <v>7041</v>
      </c>
    </row>
    <row r="7455" spans="1:6" x14ac:dyDescent="0.25">
      <c r="A7455" t="s">
        <v>6960</v>
      </c>
      <c r="B7455" t="s">
        <v>40</v>
      </c>
      <c r="C7455" t="s">
        <v>41</v>
      </c>
      <c r="D7455" t="str">
        <f>HYPERLINK("http://service.sap.com/sap/support/notes/1825301","1825301")</f>
        <v>1825301</v>
      </c>
      <c r="E7455">
        <v>2</v>
      </c>
      <c r="F7455" t="s">
        <v>7042</v>
      </c>
    </row>
    <row r="7456" spans="1:6" x14ac:dyDescent="0.25">
      <c r="A7456" t="s">
        <v>6960</v>
      </c>
      <c r="B7456" t="s">
        <v>43</v>
      </c>
      <c r="C7456" t="s">
        <v>44</v>
      </c>
      <c r="D7456" t="str">
        <f>HYPERLINK("http://service.sap.com/sap/support/notes/1818149","1818149")</f>
        <v>1818149</v>
      </c>
      <c r="E7456">
        <v>2</v>
      </c>
      <c r="F7456" t="s">
        <v>7043</v>
      </c>
    </row>
    <row r="7457" spans="1:6" x14ac:dyDescent="0.25">
      <c r="A7457" t="s">
        <v>6960</v>
      </c>
      <c r="B7457" t="s">
        <v>522</v>
      </c>
      <c r="C7457" t="s">
        <v>523</v>
      </c>
      <c r="D7457" t="str">
        <f>HYPERLINK("http://service.sap.com/sap/support/notes/1811354","1811354")</f>
        <v>1811354</v>
      </c>
      <c r="E7457">
        <v>1</v>
      </c>
      <c r="F7457" t="s">
        <v>7044</v>
      </c>
    </row>
    <row r="7458" spans="1:6" x14ac:dyDescent="0.25">
      <c r="A7458" t="s">
        <v>6960</v>
      </c>
      <c r="B7458" t="s">
        <v>681</v>
      </c>
      <c r="C7458" t="s">
        <v>320</v>
      </c>
      <c r="D7458" t="str">
        <f>HYPERLINK("http://service.sap.com/sap/support/notes/1808184","1808184")</f>
        <v>1808184</v>
      </c>
      <c r="E7458">
        <v>4</v>
      </c>
      <c r="F7458" t="s">
        <v>7045</v>
      </c>
    </row>
    <row r="7459" spans="1:6" x14ac:dyDescent="0.25">
      <c r="A7459" t="s">
        <v>6960</v>
      </c>
      <c r="B7459" t="s">
        <v>51</v>
      </c>
      <c r="C7459" t="s">
        <v>52</v>
      </c>
      <c r="D7459" t="str">
        <f>HYPERLINK("http://service.sap.com/sap/support/notes/1823508","1823508")</f>
        <v>1823508</v>
      </c>
      <c r="E7459">
        <v>1</v>
      </c>
      <c r="F7459" t="s">
        <v>7046</v>
      </c>
    </row>
    <row r="7460" spans="1:6" x14ac:dyDescent="0.25">
      <c r="A7460" t="s">
        <v>6960</v>
      </c>
      <c r="B7460" t="s">
        <v>525</v>
      </c>
      <c r="C7460" t="s">
        <v>351</v>
      </c>
      <c r="D7460" t="str">
        <f>HYPERLINK("http://service.sap.com/sap/support/notes/1815004","1815004")</f>
        <v>1815004</v>
      </c>
      <c r="E7460">
        <v>2</v>
      </c>
      <c r="F7460" t="s">
        <v>7047</v>
      </c>
    </row>
    <row r="7461" spans="1:6" x14ac:dyDescent="0.25">
      <c r="A7461" t="s">
        <v>6960</v>
      </c>
      <c r="B7461" t="s">
        <v>525</v>
      </c>
      <c r="C7461" t="s">
        <v>351</v>
      </c>
      <c r="D7461" t="str">
        <f>HYPERLINK("http://service.sap.com/sap/support/notes/1816248","1816248")</f>
        <v>1816248</v>
      </c>
      <c r="E7461">
        <v>1</v>
      </c>
      <c r="F7461" t="s">
        <v>7048</v>
      </c>
    </row>
    <row r="7462" spans="1:6" x14ac:dyDescent="0.25">
      <c r="A7462" t="s">
        <v>6960</v>
      </c>
      <c r="B7462" t="s">
        <v>525</v>
      </c>
      <c r="C7462" t="s">
        <v>351</v>
      </c>
      <c r="D7462" t="str">
        <f>HYPERLINK("http://service.sap.com/sap/support/notes/1817366","1817366")</f>
        <v>1817366</v>
      </c>
      <c r="E7462">
        <v>1</v>
      </c>
      <c r="F7462" t="s">
        <v>7049</v>
      </c>
    </row>
    <row r="7463" spans="1:6" x14ac:dyDescent="0.25">
      <c r="A7463" t="s">
        <v>6960</v>
      </c>
      <c r="B7463" t="s">
        <v>525</v>
      </c>
      <c r="C7463" t="s">
        <v>351</v>
      </c>
      <c r="D7463" t="str">
        <f>HYPERLINK("http://service.sap.com/sap/support/notes/1822162","1822162")</f>
        <v>1822162</v>
      </c>
      <c r="E7463">
        <v>1</v>
      </c>
      <c r="F7463" t="s">
        <v>7050</v>
      </c>
    </row>
    <row r="7464" spans="1:6" x14ac:dyDescent="0.25">
      <c r="A7464" t="s">
        <v>6960</v>
      </c>
      <c r="B7464" t="s">
        <v>525</v>
      </c>
      <c r="C7464" t="s">
        <v>351</v>
      </c>
      <c r="D7464" t="str">
        <f>HYPERLINK("http://service.sap.com/sap/support/notes/1823528","1823528")</f>
        <v>1823528</v>
      </c>
      <c r="E7464">
        <v>1</v>
      </c>
      <c r="F7464" t="s">
        <v>7051</v>
      </c>
    </row>
    <row r="7465" spans="1:6" x14ac:dyDescent="0.25">
      <c r="A7465" t="s">
        <v>6960</v>
      </c>
      <c r="B7465" t="s">
        <v>54</v>
      </c>
      <c r="C7465" t="s">
        <v>55</v>
      </c>
      <c r="D7465" t="str">
        <f>HYPERLINK("http://service.sap.com/sap/support/notes/1821081","1821081")</f>
        <v>1821081</v>
      </c>
      <c r="E7465">
        <v>1</v>
      </c>
      <c r="F7465" t="s">
        <v>7052</v>
      </c>
    </row>
    <row r="7466" spans="1:6" x14ac:dyDescent="0.25">
      <c r="A7466" t="s">
        <v>6960</v>
      </c>
      <c r="B7466" t="s">
        <v>5075</v>
      </c>
      <c r="C7466" t="s">
        <v>403</v>
      </c>
      <c r="D7466" t="str">
        <f>HYPERLINK("http://service.sap.com/sap/support/notes/1819084","1819084")</f>
        <v>1819084</v>
      </c>
      <c r="E7466">
        <v>1</v>
      </c>
      <c r="F7466" t="s">
        <v>7053</v>
      </c>
    </row>
    <row r="7467" spans="1:6" x14ac:dyDescent="0.25">
      <c r="A7467" t="s">
        <v>6960</v>
      </c>
      <c r="B7467" t="s">
        <v>5075</v>
      </c>
      <c r="C7467" t="s">
        <v>403</v>
      </c>
      <c r="D7467" t="str">
        <f>HYPERLINK("http://service.sap.com/sap/support/notes/1825482","1825482")</f>
        <v>1825482</v>
      </c>
      <c r="E7467">
        <v>1</v>
      </c>
      <c r="F7467" t="s">
        <v>7054</v>
      </c>
    </row>
    <row r="7468" spans="1:6" x14ac:dyDescent="0.25">
      <c r="A7468" t="s">
        <v>6960</v>
      </c>
      <c r="B7468" t="s">
        <v>63</v>
      </c>
      <c r="C7468" t="s">
        <v>64</v>
      </c>
      <c r="D7468" t="str">
        <f>HYPERLINK("http://service.sap.com/sap/support/notes/1815649","1815649")</f>
        <v>1815649</v>
      </c>
      <c r="E7468">
        <v>4</v>
      </c>
      <c r="F7468" t="s">
        <v>2392</v>
      </c>
    </row>
    <row r="7469" spans="1:6" x14ac:dyDescent="0.25">
      <c r="A7469" t="s">
        <v>6960</v>
      </c>
      <c r="B7469" t="s">
        <v>63</v>
      </c>
      <c r="C7469" t="s">
        <v>64</v>
      </c>
      <c r="D7469" t="str">
        <f>HYPERLINK("http://service.sap.com/sap/support/notes/1817453","1817453")</f>
        <v>1817453</v>
      </c>
      <c r="E7469">
        <v>1</v>
      </c>
      <c r="F7469" t="s">
        <v>7055</v>
      </c>
    </row>
    <row r="7470" spans="1:6" x14ac:dyDescent="0.25">
      <c r="A7470" t="s">
        <v>6960</v>
      </c>
      <c r="B7470" t="s">
        <v>63</v>
      </c>
      <c r="C7470" t="s">
        <v>64</v>
      </c>
      <c r="D7470" t="str">
        <f>HYPERLINK("http://service.sap.com/sap/support/notes/1817954","1817954")</f>
        <v>1817954</v>
      </c>
      <c r="E7470">
        <v>3</v>
      </c>
      <c r="F7470" t="s">
        <v>7056</v>
      </c>
    </row>
    <row r="7471" spans="1:6" x14ac:dyDescent="0.25">
      <c r="A7471" t="s">
        <v>6960</v>
      </c>
      <c r="B7471" t="s">
        <v>63</v>
      </c>
      <c r="C7471" t="s">
        <v>64</v>
      </c>
      <c r="D7471" t="str">
        <f>HYPERLINK("http://service.sap.com/sap/support/notes/1818276","1818276")</f>
        <v>1818276</v>
      </c>
      <c r="E7471">
        <v>2</v>
      </c>
      <c r="F7471" t="s">
        <v>2395</v>
      </c>
    </row>
    <row r="7472" spans="1:6" x14ac:dyDescent="0.25">
      <c r="A7472" t="s">
        <v>6960</v>
      </c>
      <c r="B7472" t="s">
        <v>63</v>
      </c>
      <c r="C7472" t="s">
        <v>64</v>
      </c>
      <c r="D7472" t="str">
        <f>HYPERLINK("http://service.sap.com/sap/support/notes/1821915","1821915")</f>
        <v>1821915</v>
      </c>
      <c r="E7472">
        <v>3</v>
      </c>
      <c r="F7472" t="s">
        <v>2398</v>
      </c>
    </row>
    <row r="7473" spans="1:6" x14ac:dyDescent="0.25">
      <c r="A7473" t="s">
        <v>6960</v>
      </c>
      <c r="B7473" t="s">
        <v>63</v>
      </c>
      <c r="C7473" t="s">
        <v>64</v>
      </c>
      <c r="D7473" t="str">
        <f>HYPERLINK("http://service.sap.com/sap/support/notes/1823379","1823379")</f>
        <v>1823379</v>
      </c>
      <c r="E7473">
        <v>1</v>
      </c>
      <c r="F7473" t="s">
        <v>2400</v>
      </c>
    </row>
    <row r="7474" spans="1:6" x14ac:dyDescent="0.25">
      <c r="A7474" t="s">
        <v>6960</v>
      </c>
      <c r="B7474" t="s">
        <v>63</v>
      </c>
      <c r="C7474" t="s">
        <v>64</v>
      </c>
      <c r="D7474" t="str">
        <f>HYPERLINK("http://service.sap.com/sap/support/notes/1825038","1825038")</f>
        <v>1825038</v>
      </c>
      <c r="E7474">
        <v>2</v>
      </c>
      <c r="F7474" t="s">
        <v>2401</v>
      </c>
    </row>
    <row r="7475" spans="1:6" x14ac:dyDescent="0.25">
      <c r="A7475" t="s">
        <v>6960</v>
      </c>
      <c r="B7475" t="s">
        <v>63</v>
      </c>
      <c r="C7475" t="s">
        <v>64</v>
      </c>
      <c r="D7475" t="str">
        <f>HYPERLINK("http://service.sap.com/sap/support/notes/1825112","1825112")</f>
        <v>1825112</v>
      </c>
      <c r="E7475">
        <v>2</v>
      </c>
      <c r="F7475" t="s">
        <v>2402</v>
      </c>
    </row>
    <row r="7476" spans="1:6" x14ac:dyDescent="0.25">
      <c r="A7476" t="s">
        <v>6960</v>
      </c>
      <c r="B7476" t="s">
        <v>63</v>
      </c>
      <c r="C7476" t="s">
        <v>64</v>
      </c>
      <c r="D7476" t="str">
        <f>HYPERLINK("http://service.sap.com/sap/support/notes/1825163","1825163")</f>
        <v>1825163</v>
      </c>
      <c r="E7476">
        <v>1</v>
      </c>
      <c r="F7476" t="s">
        <v>2403</v>
      </c>
    </row>
    <row r="7477" spans="1:6" x14ac:dyDescent="0.25">
      <c r="A7477" t="s">
        <v>6960</v>
      </c>
      <c r="B7477" t="s">
        <v>63</v>
      </c>
      <c r="C7477" t="s">
        <v>64</v>
      </c>
      <c r="D7477" t="str">
        <f>HYPERLINK("http://service.sap.com/sap/support/notes/1825654","1825654")</f>
        <v>1825654</v>
      </c>
      <c r="E7477">
        <v>1</v>
      </c>
      <c r="F7477" t="s">
        <v>2404</v>
      </c>
    </row>
    <row r="7478" spans="1:6" x14ac:dyDescent="0.25">
      <c r="A7478" t="s">
        <v>6960</v>
      </c>
      <c r="B7478" t="s">
        <v>661</v>
      </c>
      <c r="C7478" t="s">
        <v>438</v>
      </c>
      <c r="D7478" t="str">
        <f>HYPERLINK("http://service.sap.com/sap/support/notes/1814793","1814793")</f>
        <v>1814793</v>
      </c>
      <c r="E7478">
        <v>1</v>
      </c>
      <c r="F7478" t="s">
        <v>7057</v>
      </c>
    </row>
    <row r="7479" spans="1:6" x14ac:dyDescent="0.25">
      <c r="A7479" t="s">
        <v>6960</v>
      </c>
      <c r="B7479" t="s">
        <v>661</v>
      </c>
      <c r="C7479" t="s">
        <v>438</v>
      </c>
      <c r="D7479" t="str">
        <f>HYPERLINK("http://service.sap.com/sap/support/notes/1822798","1822798")</f>
        <v>1822798</v>
      </c>
      <c r="E7479">
        <v>1</v>
      </c>
      <c r="F7479" t="s">
        <v>7058</v>
      </c>
    </row>
    <row r="7480" spans="1:6" x14ac:dyDescent="0.25">
      <c r="A7480" t="s">
        <v>6960</v>
      </c>
      <c r="B7480" t="s">
        <v>528</v>
      </c>
      <c r="C7480" t="s">
        <v>444</v>
      </c>
      <c r="D7480" t="str">
        <f>HYPERLINK("http://service.sap.com/sap/support/notes/1816001","1816001")</f>
        <v>1816001</v>
      </c>
      <c r="E7480">
        <v>1</v>
      </c>
      <c r="F7480" t="s">
        <v>7059</v>
      </c>
    </row>
    <row r="7481" spans="1:6" x14ac:dyDescent="0.25">
      <c r="A7481" t="s">
        <v>6960</v>
      </c>
      <c r="B7481" t="s">
        <v>528</v>
      </c>
      <c r="C7481" t="s">
        <v>444</v>
      </c>
      <c r="D7481" t="str">
        <f>HYPERLINK("http://service.sap.com/sap/support/notes/1822296","1822296")</f>
        <v>1822296</v>
      </c>
      <c r="E7481">
        <v>1</v>
      </c>
      <c r="F7481" t="s">
        <v>7060</v>
      </c>
    </row>
    <row r="7482" spans="1:6" x14ac:dyDescent="0.25">
      <c r="A7482" t="s">
        <v>6960</v>
      </c>
      <c r="B7482" t="s">
        <v>73</v>
      </c>
      <c r="C7482" t="s">
        <v>74</v>
      </c>
      <c r="D7482" t="str">
        <f>HYPERLINK("http://service.sap.com/sap/support/notes/1785288","1785288")</f>
        <v>1785288</v>
      </c>
      <c r="E7482">
        <v>3</v>
      </c>
      <c r="F7482" t="s">
        <v>7061</v>
      </c>
    </row>
    <row r="7483" spans="1:6" x14ac:dyDescent="0.25">
      <c r="A7483" t="s">
        <v>6960</v>
      </c>
      <c r="B7483" t="s">
        <v>73</v>
      </c>
      <c r="C7483" t="s">
        <v>74</v>
      </c>
      <c r="D7483" t="str">
        <f>HYPERLINK("http://service.sap.com/sap/support/notes/1810765","1810765")</f>
        <v>1810765</v>
      </c>
      <c r="E7483">
        <v>1</v>
      </c>
      <c r="F7483" t="s">
        <v>7062</v>
      </c>
    </row>
    <row r="7484" spans="1:6" x14ac:dyDescent="0.25">
      <c r="A7484" t="s">
        <v>6960</v>
      </c>
      <c r="B7484" t="s">
        <v>531</v>
      </c>
      <c r="C7484" t="s">
        <v>532</v>
      </c>
      <c r="D7484" t="str">
        <f>HYPERLINK("http://service.sap.com/sap/support/notes/1798051","1798051")</f>
        <v>1798051</v>
      </c>
      <c r="E7484">
        <v>1</v>
      </c>
      <c r="F7484" t="s">
        <v>7063</v>
      </c>
    </row>
    <row r="7485" spans="1:6" x14ac:dyDescent="0.25">
      <c r="A7485" t="s">
        <v>6960</v>
      </c>
      <c r="B7485" t="s">
        <v>531</v>
      </c>
      <c r="C7485" t="s">
        <v>532</v>
      </c>
      <c r="D7485" t="str">
        <f>HYPERLINK("http://service.sap.com/sap/support/notes/1798884","1798884")</f>
        <v>1798884</v>
      </c>
      <c r="E7485">
        <v>1</v>
      </c>
      <c r="F7485" t="s">
        <v>7064</v>
      </c>
    </row>
    <row r="7486" spans="1:6" x14ac:dyDescent="0.25">
      <c r="A7486" t="s">
        <v>6960</v>
      </c>
      <c r="B7486" t="s">
        <v>6018</v>
      </c>
      <c r="C7486" t="s">
        <v>6019</v>
      </c>
      <c r="D7486" t="str">
        <f>HYPERLINK("http://service.sap.com/sap/support/notes/1749159","1749159")</f>
        <v>1749159</v>
      </c>
      <c r="E7486">
        <v>1</v>
      </c>
      <c r="F7486" t="s">
        <v>6024</v>
      </c>
    </row>
    <row r="7487" spans="1:6" x14ac:dyDescent="0.25">
      <c r="A7487" t="s">
        <v>6960</v>
      </c>
      <c r="B7487" t="s">
        <v>6018</v>
      </c>
      <c r="C7487" t="s">
        <v>6019</v>
      </c>
      <c r="D7487" t="str">
        <f>HYPERLINK("http://service.sap.com/sap/support/notes/1749161","1749161")</f>
        <v>1749161</v>
      </c>
      <c r="E7487">
        <v>1</v>
      </c>
      <c r="F7487" t="s">
        <v>6025</v>
      </c>
    </row>
    <row r="7488" spans="1:6" x14ac:dyDescent="0.25">
      <c r="A7488" t="s">
        <v>6960</v>
      </c>
      <c r="B7488" t="s">
        <v>6018</v>
      </c>
      <c r="C7488" t="s">
        <v>6019</v>
      </c>
      <c r="D7488" t="str">
        <f>HYPERLINK("http://service.sap.com/sap/support/notes/1781360","1781360")</f>
        <v>1781360</v>
      </c>
      <c r="E7488">
        <v>1</v>
      </c>
      <c r="F7488" t="s">
        <v>7065</v>
      </c>
    </row>
    <row r="7489" spans="1:6" x14ac:dyDescent="0.25">
      <c r="A7489" t="s">
        <v>6960</v>
      </c>
      <c r="B7489" t="s">
        <v>6018</v>
      </c>
      <c r="C7489" t="s">
        <v>6019</v>
      </c>
      <c r="D7489" t="str">
        <f>HYPERLINK("http://service.sap.com/sap/support/notes/1814566","1814566")</f>
        <v>1814566</v>
      </c>
      <c r="E7489">
        <v>1</v>
      </c>
      <c r="F7489" t="s">
        <v>7066</v>
      </c>
    </row>
    <row r="7490" spans="1:6" x14ac:dyDescent="0.25">
      <c r="A7490" t="s">
        <v>6960</v>
      </c>
      <c r="B7490" t="s">
        <v>6018</v>
      </c>
      <c r="C7490" t="s">
        <v>6019</v>
      </c>
      <c r="D7490" t="str">
        <f>HYPERLINK("http://service.sap.com/sap/support/notes/1815001","1815001")</f>
        <v>1815001</v>
      </c>
      <c r="E7490">
        <v>1</v>
      </c>
      <c r="F7490" t="s">
        <v>7067</v>
      </c>
    </row>
    <row r="7491" spans="1:6" x14ac:dyDescent="0.25">
      <c r="A7491" t="s">
        <v>6960</v>
      </c>
      <c r="B7491" t="s">
        <v>6018</v>
      </c>
      <c r="C7491" t="s">
        <v>6019</v>
      </c>
      <c r="D7491" t="str">
        <f>HYPERLINK("http://service.sap.com/sap/support/notes/1817549","1817549")</f>
        <v>1817549</v>
      </c>
      <c r="E7491">
        <v>1</v>
      </c>
      <c r="F7491" t="s">
        <v>7068</v>
      </c>
    </row>
    <row r="7492" spans="1:6" x14ac:dyDescent="0.25">
      <c r="A7492" t="s">
        <v>6960</v>
      </c>
      <c r="B7492" t="s">
        <v>6018</v>
      </c>
      <c r="C7492" t="s">
        <v>6019</v>
      </c>
      <c r="D7492" t="str">
        <f>HYPERLINK("http://service.sap.com/sap/support/notes/1820561","1820561")</f>
        <v>1820561</v>
      </c>
      <c r="E7492">
        <v>2</v>
      </c>
      <c r="F7492" t="s">
        <v>7069</v>
      </c>
    </row>
    <row r="7493" spans="1:6" x14ac:dyDescent="0.25">
      <c r="A7493" t="s">
        <v>6960</v>
      </c>
      <c r="B7493" t="s">
        <v>6018</v>
      </c>
      <c r="C7493" t="s">
        <v>6019</v>
      </c>
      <c r="D7493" t="str">
        <f>HYPERLINK("http://service.sap.com/sap/support/notes/1821226","1821226")</f>
        <v>1821226</v>
      </c>
      <c r="E7493">
        <v>1</v>
      </c>
      <c r="F7493" t="s">
        <v>7070</v>
      </c>
    </row>
    <row r="7494" spans="1:6" x14ac:dyDescent="0.25">
      <c r="A7494" t="s">
        <v>6960</v>
      </c>
      <c r="B7494" t="s">
        <v>6018</v>
      </c>
      <c r="C7494" t="s">
        <v>6019</v>
      </c>
      <c r="D7494" t="str">
        <f>HYPERLINK("http://service.sap.com/sap/support/notes/1822432","1822432")</f>
        <v>1822432</v>
      </c>
      <c r="E7494">
        <v>1</v>
      </c>
      <c r="F7494" t="s">
        <v>7071</v>
      </c>
    </row>
    <row r="7495" spans="1:6" x14ac:dyDescent="0.25">
      <c r="A7495" t="s">
        <v>6960</v>
      </c>
      <c r="B7495" t="s">
        <v>6018</v>
      </c>
      <c r="C7495" t="s">
        <v>6019</v>
      </c>
      <c r="D7495" t="str">
        <f>HYPERLINK("http://service.sap.com/sap/support/notes/1823401","1823401")</f>
        <v>1823401</v>
      </c>
      <c r="E7495">
        <v>1</v>
      </c>
      <c r="F7495" t="s">
        <v>7072</v>
      </c>
    </row>
    <row r="7496" spans="1:6" x14ac:dyDescent="0.25">
      <c r="A7496" t="s">
        <v>6960</v>
      </c>
      <c r="B7496" t="s">
        <v>6018</v>
      </c>
      <c r="C7496" t="s">
        <v>6019</v>
      </c>
      <c r="D7496" t="str">
        <f>HYPERLINK("http://service.sap.com/sap/support/notes/1824683","1824683")</f>
        <v>1824683</v>
      </c>
      <c r="E7496">
        <v>1</v>
      </c>
      <c r="F7496" t="s">
        <v>7073</v>
      </c>
    </row>
    <row r="7497" spans="1:6" x14ac:dyDescent="0.25">
      <c r="A7497" t="s">
        <v>6960</v>
      </c>
      <c r="B7497" t="s">
        <v>536</v>
      </c>
      <c r="C7497" t="s">
        <v>537</v>
      </c>
    </row>
    <row r="7498" spans="1:6" x14ac:dyDescent="0.25">
      <c r="A7498" t="s">
        <v>6960</v>
      </c>
      <c r="B7498" t="s">
        <v>5594</v>
      </c>
      <c r="C7498" t="s">
        <v>5595</v>
      </c>
      <c r="D7498" t="str">
        <f>HYPERLINK("http://service.sap.com/sap/support/notes/1821403","1821403")</f>
        <v>1821403</v>
      </c>
      <c r="E7498">
        <v>4</v>
      </c>
      <c r="F7498" t="s">
        <v>7074</v>
      </c>
    </row>
    <row r="7499" spans="1:6" x14ac:dyDescent="0.25">
      <c r="A7499" t="s">
        <v>6960</v>
      </c>
      <c r="B7499" t="s">
        <v>5594</v>
      </c>
      <c r="C7499" t="s">
        <v>5595</v>
      </c>
      <c r="D7499" t="str">
        <f>HYPERLINK("http://service.sap.com/sap/support/notes/1821459","1821459")</f>
        <v>1821459</v>
      </c>
      <c r="E7499">
        <v>2</v>
      </c>
      <c r="F7499" t="s">
        <v>7075</v>
      </c>
    </row>
    <row r="7500" spans="1:6" x14ac:dyDescent="0.25">
      <c r="A7500" t="s">
        <v>6960</v>
      </c>
      <c r="B7500" t="s">
        <v>5594</v>
      </c>
      <c r="C7500" t="s">
        <v>5595</v>
      </c>
      <c r="D7500" t="str">
        <f>HYPERLINK("http://service.sap.com/sap/support/notes/1822054","1822054")</f>
        <v>1822054</v>
      </c>
      <c r="E7500">
        <v>2</v>
      </c>
      <c r="F7500" t="s">
        <v>7076</v>
      </c>
    </row>
    <row r="7501" spans="1:6" x14ac:dyDescent="0.25">
      <c r="A7501" t="s">
        <v>6960</v>
      </c>
      <c r="B7501" t="s">
        <v>5594</v>
      </c>
      <c r="C7501" t="s">
        <v>5595</v>
      </c>
      <c r="D7501" t="str">
        <f>HYPERLINK("http://service.sap.com/sap/support/notes/1822060","1822060")</f>
        <v>1822060</v>
      </c>
      <c r="E7501">
        <v>2</v>
      </c>
      <c r="F7501" t="s">
        <v>7077</v>
      </c>
    </row>
    <row r="7502" spans="1:6" x14ac:dyDescent="0.25">
      <c r="A7502" t="s">
        <v>6960</v>
      </c>
      <c r="B7502" t="s">
        <v>5594</v>
      </c>
      <c r="C7502" t="s">
        <v>5595</v>
      </c>
      <c r="D7502" t="str">
        <f>HYPERLINK("http://service.sap.com/sap/support/notes/1823704","1823704")</f>
        <v>1823704</v>
      </c>
      <c r="E7502">
        <v>1</v>
      </c>
      <c r="F7502" t="s">
        <v>7078</v>
      </c>
    </row>
    <row r="7503" spans="1:6" x14ac:dyDescent="0.25">
      <c r="A7503" t="s">
        <v>6960</v>
      </c>
      <c r="B7503" t="s">
        <v>540</v>
      </c>
      <c r="C7503" t="s">
        <v>541</v>
      </c>
    </row>
    <row r="7504" spans="1:6" x14ac:dyDescent="0.25">
      <c r="A7504" t="s">
        <v>6960</v>
      </c>
      <c r="B7504" t="s">
        <v>542</v>
      </c>
      <c r="C7504" t="s">
        <v>5604</v>
      </c>
      <c r="D7504" t="str">
        <f>HYPERLINK("http://service.sap.com/sap/support/notes/1697749","1697749")</f>
        <v>1697749</v>
      </c>
      <c r="E7504">
        <v>35</v>
      </c>
      <c r="F7504" t="s">
        <v>7079</v>
      </c>
    </row>
    <row r="7505" spans="1:6" x14ac:dyDescent="0.25">
      <c r="A7505" t="s">
        <v>6960</v>
      </c>
      <c r="B7505" t="s">
        <v>542</v>
      </c>
      <c r="C7505" t="s">
        <v>5604</v>
      </c>
      <c r="D7505" t="str">
        <f>HYPERLINK("http://service.sap.com/sap/support/notes/1709895","1709895")</f>
        <v>1709895</v>
      </c>
      <c r="E7505">
        <v>2</v>
      </c>
      <c r="F7505" t="s">
        <v>7080</v>
      </c>
    </row>
    <row r="7506" spans="1:6" x14ac:dyDescent="0.25">
      <c r="A7506" t="s">
        <v>6960</v>
      </c>
      <c r="B7506" t="s">
        <v>542</v>
      </c>
      <c r="C7506" t="s">
        <v>5604</v>
      </c>
      <c r="D7506" t="str">
        <f>HYPERLINK("http://service.sap.com/sap/support/notes/1754134","1754134")</f>
        <v>1754134</v>
      </c>
      <c r="E7506">
        <v>4</v>
      </c>
      <c r="F7506" t="s">
        <v>7081</v>
      </c>
    </row>
    <row r="7507" spans="1:6" x14ac:dyDescent="0.25">
      <c r="A7507" t="s">
        <v>6960</v>
      </c>
      <c r="B7507" t="s">
        <v>542</v>
      </c>
      <c r="C7507" t="s">
        <v>5604</v>
      </c>
      <c r="D7507" t="str">
        <f>HYPERLINK("http://service.sap.com/sap/support/notes/1756715","1756715")</f>
        <v>1756715</v>
      </c>
      <c r="E7507">
        <v>7</v>
      </c>
      <c r="F7507" t="s">
        <v>6267</v>
      </c>
    </row>
    <row r="7508" spans="1:6" x14ac:dyDescent="0.25">
      <c r="A7508" t="s">
        <v>6960</v>
      </c>
      <c r="B7508" t="s">
        <v>542</v>
      </c>
      <c r="C7508" t="s">
        <v>5604</v>
      </c>
      <c r="D7508" t="str">
        <f>HYPERLINK("http://service.sap.com/sap/support/notes/1798202","1798202")</f>
        <v>1798202</v>
      </c>
      <c r="E7508">
        <v>4</v>
      </c>
      <c r="F7508" t="s">
        <v>7082</v>
      </c>
    </row>
    <row r="7509" spans="1:6" x14ac:dyDescent="0.25">
      <c r="A7509" t="s">
        <v>6960</v>
      </c>
      <c r="B7509" t="s">
        <v>542</v>
      </c>
      <c r="C7509" t="s">
        <v>5604</v>
      </c>
      <c r="D7509" t="str">
        <f>HYPERLINK("http://service.sap.com/sap/support/notes/1799156","1799156")</f>
        <v>1799156</v>
      </c>
      <c r="E7509">
        <v>12</v>
      </c>
      <c r="F7509" t="s">
        <v>7083</v>
      </c>
    </row>
    <row r="7510" spans="1:6" x14ac:dyDescent="0.25">
      <c r="A7510" t="s">
        <v>6960</v>
      </c>
      <c r="B7510" t="s">
        <v>544</v>
      </c>
      <c r="C7510" t="s">
        <v>5610</v>
      </c>
      <c r="D7510" t="str">
        <f>HYPERLINK("http://service.sap.com/sap/support/notes/1447465","1447465")</f>
        <v>1447465</v>
      </c>
      <c r="E7510">
        <v>17</v>
      </c>
      <c r="F7510" t="s">
        <v>7084</v>
      </c>
    </row>
    <row r="7511" spans="1:6" x14ac:dyDescent="0.25">
      <c r="A7511" t="s">
        <v>6960</v>
      </c>
      <c r="B7511" t="s">
        <v>544</v>
      </c>
      <c r="C7511" t="s">
        <v>5610</v>
      </c>
      <c r="D7511" t="str">
        <f>HYPERLINK("http://service.sap.com/sap/support/notes/1661007","1661007")</f>
        <v>1661007</v>
      </c>
      <c r="E7511">
        <v>9</v>
      </c>
      <c r="F7511" t="s">
        <v>6468</v>
      </c>
    </row>
    <row r="7512" spans="1:6" x14ac:dyDescent="0.25">
      <c r="A7512" t="s">
        <v>6960</v>
      </c>
      <c r="B7512" t="s">
        <v>544</v>
      </c>
      <c r="C7512" t="s">
        <v>5610</v>
      </c>
      <c r="D7512" t="str">
        <f>HYPERLINK("http://service.sap.com/sap/support/notes/1757717","1757717")</f>
        <v>1757717</v>
      </c>
      <c r="E7512">
        <v>2</v>
      </c>
      <c r="F7512" t="s">
        <v>7085</v>
      </c>
    </row>
    <row r="7513" spans="1:6" x14ac:dyDescent="0.25">
      <c r="A7513" t="s">
        <v>6960</v>
      </c>
      <c r="B7513" t="s">
        <v>544</v>
      </c>
      <c r="C7513" t="s">
        <v>5610</v>
      </c>
      <c r="D7513" t="str">
        <f>HYPERLINK("http://service.sap.com/sap/support/notes/1804272","1804272")</f>
        <v>1804272</v>
      </c>
      <c r="E7513">
        <v>5</v>
      </c>
      <c r="F7513" t="s">
        <v>7086</v>
      </c>
    </row>
    <row r="7514" spans="1:6" x14ac:dyDescent="0.25">
      <c r="A7514" t="s">
        <v>6960</v>
      </c>
      <c r="B7514" t="s">
        <v>544</v>
      </c>
      <c r="C7514" t="s">
        <v>5610</v>
      </c>
      <c r="D7514" t="str">
        <f>HYPERLINK("http://service.sap.com/sap/support/notes/1804410","1804410")</f>
        <v>1804410</v>
      </c>
      <c r="E7514">
        <v>2</v>
      </c>
      <c r="F7514" t="s">
        <v>7087</v>
      </c>
    </row>
    <row r="7515" spans="1:6" x14ac:dyDescent="0.25">
      <c r="A7515" t="s">
        <v>6960</v>
      </c>
      <c r="B7515" t="s">
        <v>544</v>
      </c>
      <c r="C7515" t="s">
        <v>5610</v>
      </c>
      <c r="D7515" t="str">
        <f>HYPERLINK("http://service.sap.com/sap/support/notes/1811074","1811074")</f>
        <v>1811074</v>
      </c>
      <c r="E7515">
        <v>3</v>
      </c>
      <c r="F7515" t="s">
        <v>7088</v>
      </c>
    </row>
    <row r="7516" spans="1:6" x14ac:dyDescent="0.25">
      <c r="A7516" t="s">
        <v>6960</v>
      </c>
      <c r="B7516" t="s">
        <v>544</v>
      </c>
      <c r="C7516" t="s">
        <v>5610</v>
      </c>
      <c r="D7516" t="str">
        <f>HYPERLINK("http://service.sap.com/sap/support/notes/1818806","1818806")</f>
        <v>1818806</v>
      </c>
      <c r="E7516">
        <v>2</v>
      </c>
      <c r="F7516" t="s">
        <v>7089</v>
      </c>
    </row>
    <row r="7517" spans="1:6" x14ac:dyDescent="0.25">
      <c r="A7517" t="s">
        <v>6960</v>
      </c>
      <c r="B7517" t="s">
        <v>5612</v>
      </c>
      <c r="C7517" t="s">
        <v>707</v>
      </c>
      <c r="D7517" t="str">
        <f>HYPERLINK("http://service.sap.com/sap/support/notes/1574804","1574804")</f>
        <v>1574804</v>
      </c>
      <c r="E7517">
        <v>14</v>
      </c>
      <c r="F7517" t="s">
        <v>7090</v>
      </c>
    </row>
    <row r="7518" spans="1:6" x14ac:dyDescent="0.25">
      <c r="A7518" t="s">
        <v>6960</v>
      </c>
      <c r="B7518" t="s">
        <v>5612</v>
      </c>
      <c r="C7518" t="s">
        <v>707</v>
      </c>
      <c r="D7518" t="str">
        <f>HYPERLINK("http://service.sap.com/sap/support/notes/1796878","1796878")</f>
        <v>1796878</v>
      </c>
      <c r="E7518">
        <v>4</v>
      </c>
      <c r="F7518" t="s">
        <v>7091</v>
      </c>
    </row>
    <row r="7519" spans="1:6" x14ac:dyDescent="0.25">
      <c r="A7519" t="s">
        <v>6960</v>
      </c>
      <c r="B7519" t="s">
        <v>5615</v>
      </c>
      <c r="C7519" t="s">
        <v>5616</v>
      </c>
      <c r="D7519" t="str">
        <f>HYPERLINK("http://service.sap.com/sap/support/notes/1814440","1814440")</f>
        <v>1814440</v>
      </c>
      <c r="E7519">
        <v>1</v>
      </c>
      <c r="F7519" t="s">
        <v>7092</v>
      </c>
    </row>
    <row r="7520" spans="1:6" x14ac:dyDescent="0.25">
      <c r="A7520" t="s">
        <v>6960</v>
      </c>
      <c r="B7520" t="s">
        <v>5615</v>
      </c>
      <c r="C7520" t="s">
        <v>5616</v>
      </c>
      <c r="D7520" t="str">
        <f>HYPERLINK("http://service.sap.com/sap/support/notes/1815178","1815178")</f>
        <v>1815178</v>
      </c>
      <c r="E7520">
        <v>1</v>
      </c>
      <c r="F7520" t="s">
        <v>7093</v>
      </c>
    </row>
    <row r="7521" spans="1:6" x14ac:dyDescent="0.25">
      <c r="A7521" t="s">
        <v>6960</v>
      </c>
      <c r="B7521" t="s">
        <v>5615</v>
      </c>
      <c r="C7521" t="s">
        <v>5616</v>
      </c>
      <c r="D7521" t="str">
        <f>HYPERLINK("http://service.sap.com/sap/support/notes/1817803","1817803")</f>
        <v>1817803</v>
      </c>
      <c r="E7521">
        <v>2</v>
      </c>
      <c r="F7521" t="s">
        <v>7094</v>
      </c>
    </row>
    <row r="7522" spans="1:6" x14ac:dyDescent="0.25">
      <c r="A7522" t="s">
        <v>6960</v>
      </c>
      <c r="B7522" t="s">
        <v>5615</v>
      </c>
      <c r="C7522" t="s">
        <v>5616</v>
      </c>
      <c r="D7522" t="str">
        <f>HYPERLINK("http://service.sap.com/sap/support/notes/1820385","1820385")</f>
        <v>1820385</v>
      </c>
      <c r="E7522">
        <v>1</v>
      </c>
      <c r="F7522" t="s">
        <v>7095</v>
      </c>
    </row>
    <row r="7523" spans="1:6" x14ac:dyDescent="0.25">
      <c r="A7523" t="s">
        <v>6960</v>
      </c>
      <c r="B7523" t="s">
        <v>5615</v>
      </c>
      <c r="C7523" t="s">
        <v>5616</v>
      </c>
      <c r="D7523" t="str">
        <f>HYPERLINK("http://service.sap.com/sap/support/notes/1821993","1821993")</f>
        <v>1821993</v>
      </c>
      <c r="E7523">
        <v>1</v>
      </c>
      <c r="F7523" t="s">
        <v>6798</v>
      </c>
    </row>
    <row r="7524" spans="1:6" x14ac:dyDescent="0.25">
      <c r="A7524" t="s">
        <v>6960</v>
      </c>
      <c r="B7524" t="s">
        <v>5615</v>
      </c>
      <c r="C7524" t="s">
        <v>5616</v>
      </c>
      <c r="D7524" t="str">
        <f>HYPERLINK("http://service.sap.com/sap/support/notes/1825635","1825635")</f>
        <v>1825635</v>
      </c>
      <c r="E7524">
        <v>2</v>
      </c>
      <c r="F7524" t="s">
        <v>7096</v>
      </c>
    </row>
    <row r="7525" spans="1:6" x14ac:dyDescent="0.25">
      <c r="A7525" t="s">
        <v>6960</v>
      </c>
      <c r="B7525" t="s">
        <v>5615</v>
      </c>
      <c r="C7525" t="s">
        <v>5616</v>
      </c>
      <c r="D7525" t="str">
        <f>HYPERLINK("http://service.sap.com/sap/support/notes/1825737","1825737")</f>
        <v>1825737</v>
      </c>
      <c r="E7525">
        <v>2</v>
      </c>
      <c r="F7525" t="s">
        <v>7097</v>
      </c>
    </row>
    <row r="7526" spans="1:6" x14ac:dyDescent="0.25">
      <c r="A7526" t="s">
        <v>6960</v>
      </c>
      <c r="B7526" t="s">
        <v>85</v>
      </c>
      <c r="C7526" t="s">
        <v>86</v>
      </c>
    </row>
    <row r="7527" spans="1:6" x14ac:dyDescent="0.25">
      <c r="A7527" t="s">
        <v>6960</v>
      </c>
      <c r="B7527" t="s">
        <v>696</v>
      </c>
      <c r="C7527" t="s">
        <v>697</v>
      </c>
    </row>
    <row r="7528" spans="1:6" x14ac:dyDescent="0.25">
      <c r="A7528" t="s">
        <v>6960</v>
      </c>
      <c r="B7528" t="s">
        <v>3380</v>
      </c>
      <c r="C7528" t="s">
        <v>3381</v>
      </c>
      <c r="D7528" t="str">
        <f>HYPERLINK("http://service.sap.com/sap/support/notes/1818361","1818361")</f>
        <v>1818361</v>
      </c>
      <c r="E7528">
        <v>1</v>
      </c>
      <c r="F7528" t="s">
        <v>6644</v>
      </c>
    </row>
    <row r="7529" spans="1:6" x14ac:dyDescent="0.25">
      <c r="A7529" t="s">
        <v>6960</v>
      </c>
      <c r="B7529" t="s">
        <v>3380</v>
      </c>
      <c r="C7529" t="s">
        <v>3381</v>
      </c>
      <c r="D7529" t="str">
        <f>HYPERLINK("http://service.sap.com/sap/support/notes/1824921","1824921")</f>
        <v>1824921</v>
      </c>
      <c r="E7529">
        <v>1</v>
      </c>
      <c r="F7529" t="s">
        <v>7098</v>
      </c>
    </row>
    <row r="7530" spans="1:6" x14ac:dyDescent="0.25">
      <c r="A7530" t="s">
        <v>6960</v>
      </c>
      <c r="B7530" t="s">
        <v>698</v>
      </c>
      <c r="C7530" t="s">
        <v>699</v>
      </c>
      <c r="D7530" t="str">
        <f>HYPERLINK("http://service.sap.com/sap/support/notes/1518741","1518741")</f>
        <v>1518741</v>
      </c>
      <c r="E7530">
        <v>7</v>
      </c>
      <c r="F7530" t="s">
        <v>7099</v>
      </c>
    </row>
    <row r="7531" spans="1:6" x14ac:dyDescent="0.25">
      <c r="A7531" t="s">
        <v>6960</v>
      </c>
      <c r="B7531" t="s">
        <v>698</v>
      </c>
      <c r="C7531" t="s">
        <v>699</v>
      </c>
      <c r="D7531" t="str">
        <f>HYPERLINK("http://service.sap.com/sap/support/notes/1743453","1743453")</f>
        <v>1743453</v>
      </c>
      <c r="E7531">
        <v>1</v>
      </c>
      <c r="F7531" t="s">
        <v>7100</v>
      </c>
    </row>
    <row r="7532" spans="1:6" x14ac:dyDescent="0.25">
      <c r="A7532" t="s">
        <v>6960</v>
      </c>
      <c r="B7532" t="s">
        <v>698</v>
      </c>
      <c r="C7532" t="s">
        <v>699</v>
      </c>
      <c r="D7532" t="str">
        <f>HYPERLINK("http://service.sap.com/sap/support/notes/1775524","1775524")</f>
        <v>1775524</v>
      </c>
      <c r="E7532">
        <v>1</v>
      </c>
      <c r="F7532" t="s">
        <v>7101</v>
      </c>
    </row>
    <row r="7533" spans="1:6" x14ac:dyDescent="0.25">
      <c r="A7533" t="s">
        <v>6960</v>
      </c>
      <c r="B7533" t="s">
        <v>698</v>
      </c>
      <c r="C7533" t="s">
        <v>699</v>
      </c>
      <c r="D7533" t="str">
        <f>HYPERLINK("http://service.sap.com/sap/support/notes/1790727","1790727")</f>
        <v>1790727</v>
      </c>
      <c r="E7533">
        <v>2</v>
      </c>
      <c r="F7533" t="s">
        <v>7102</v>
      </c>
    </row>
    <row r="7534" spans="1:6" x14ac:dyDescent="0.25">
      <c r="A7534" t="s">
        <v>6960</v>
      </c>
      <c r="B7534" t="s">
        <v>698</v>
      </c>
      <c r="C7534" t="s">
        <v>699</v>
      </c>
      <c r="D7534" t="str">
        <f>HYPERLINK("http://service.sap.com/sap/support/notes/1798517","1798517")</f>
        <v>1798517</v>
      </c>
      <c r="E7534">
        <v>2</v>
      </c>
      <c r="F7534" t="s">
        <v>7103</v>
      </c>
    </row>
    <row r="7535" spans="1:6" x14ac:dyDescent="0.25">
      <c r="A7535" t="s">
        <v>6960</v>
      </c>
      <c r="B7535" t="s">
        <v>698</v>
      </c>
      <c r="C7535" t="s">
        <v>699</v>
      </c>
      <c r="D7535" t="str">
        <f>HYPERLINK("http://service.sap.com/sap/support/notes/1804219","1804219")</f>
        <v>1804219</v>
      </c>
      <c r="E7535">
        <v>1</v>
      </c>
      <c r="F7535" t="s">
        <v>7104</v>
      </c>
    </row>
    <row r="7536" spans="1:6" x14ac:dyDescent="0.25">
      <c r="A7536" t="s">
        <v>6960</v>
      </c>
      <c r="B7536" t="s">
        <v>698</v>
      </c>
      <c r="C7536" t="s">
        <v>699</v>
      </c>
      <c r="D7536" t="str">
        <f>HYPERLINK("http://service.sap.com/sap/support/notes/1811887","1811887")</f>
        <v>1811887</v>
      </c>
      <c r="E7536">
        <v>1</v>
      </c>
      <c r="F7536" t="s">
        <v>7105</v>
      </c>
    </row>
    <row r="7537" spans="1:6" x14ac:dyDescent="0.25">
      <c r="A7537" t="s">
        <v>6960</v>
      </c>
      <c r="B7537" t="s">
        <v>698</v>
      </c>
      <c r="C7537" t="s">
        <v>699</v>
      </c>
      <c r="D7537" t="str">
        <f>HYPERLINK("http://service.sap.com/sap/support/notes/1812655","1812655")</f>
        <v>1812655</v>
      </c>
      <c r="E7537">
        <v>2</v>
      </c>
      <c r="F7537" t="s">
        <v>7106</v>
      </c>
    </row>
    <row r="7538" spans="1:6" x14ac:dyDescent="0.25">
      <c r="A7538" t="s">
        <v>6960</v>
      </c>
      <c r="B7538" t="s">
        <v>698</v>
      </c>
      <c r="C7538" t="s">
        <v>699</v>
      </c>
      <c r="D7538" t="str">
        <f>HYPERLINK("http://service.sap.com/sap/support/notes/1817240","1817240")</f>
        <v>1817240</v>
      </c>
      <c r="E7538">
        <v>1</v>
      </c>
      <c r="F7538" t="s">
        <v>7107</v>
      </c>
    </row>
    <row r="7539" spans="1:6" x14ac:dyDescent="0.25">
      <c r="A7539" t="s">
        <v>6960</v>
      </c>
      <c r="B7539" t="s">
        <v>698</v>
      </c>
      <c r="C7539" t="s">
        <v>699</v>
      </c>
      <c r="D7539" t="str">
        <f>HYPERLINK("http://service.sap.com/sap/support/notes/1818443","1818443")</f>
        <v>1818443</v>
      </c>
      <c r="E7539">
        <v>1</v>
      </c>
      <c r="F7539" t="s">
        <v>7108</v>
      </c>
    </row>
    <row r="7540" spans="1:6" x14ac:dyDescent="0.25">
      <c r="A7540" t="s">
        <v>6960</v>
      </c>
      <c r="B7540" t="s">
        <v>6305</v>
      </c>
      <c r="C7540" t="s">
        <v>6306</v>
      </c>
      <c r="D7540" t="str">
        <f>HYPERLINK("http://service.sap.com/sap/support/notes/1477692","1477692")</f>
        <v>1477692</v>
      </c>
      <c r="E7540">
        <v>1</v>
      </c>
      <c r="F7540" t="s">
        <v>7109</v>
      </c>
    </row>
    <row r="7541" spans="1:6" x14ac:dyDescent="0.25">
      <c r="A7541" t="s">
        <v>6960</v>
      </c>
      <c r="B7541" t="s">
        <v>90</v>
      </c>
      <c r="C7541" t="s">
        <v>13</v>
      </c>
    </row>
    <row r="7542" spans="1:6" x14ac:dyDescent="0.25">
      <c r="A7542" t="s">
        <v>6960</v>
      </c>
      <c r="B7542" t="s">
        <v>557</v>
      </c>
      <c r="C7542" t="s">
        <v>646</v>
      </c>
    </row>
    <row r="7543" spans="1:6" x14ac:dyDescent="0.25">
      <c r="A7543" t="s">
        <v>6960</v>
      </c>
      <c r="B7543" t="s">
        <v>563</v>
      </c>
      <c r="C7543" t="s">
        <v>564</v>
      </c>
    </row>
    <row r="7544" spans="1:6" x14ac:dyDescent="0.25">
      <c r="A7544" t="s">
        <v>6960</v>
      </c>
      <c r="B7544" t="s">
        <v>565</v>
      </c>
      <c r="C7544" t="s">
        <v>6087</v>
      </c>
      <c r="D7544" t="str">
        <f>HYPERLINK("http://service.sap.com/sap/support/notes/1814242","1814242")</f>
        <v>1814242</v>
      </c>
      <c r="E7544">
        <v>1</v>
      </c>
      <c r="F7544" t="s">
        <v>7110</v>
      </c>
    </row>
    <row r="7545" spans="1:6" x14ac:dyDescent="0.25">
      <c r="A7545" t="s">
        <v>6960</v>
      </c>
      <c r="B7545" t="s">
        <v>647</v>
      </c>
      <c r="C7545" t="s">
        <v>648</v>
      </c>
      <c r="D7545" t="str">
        <f>HYPERLINK("http://service.sap.com/sap/support/notes/1440347","1440347")</f>
        <v>1440347</v>
      </c>
      <c r="E7545">
        <v>7</v>
      </c>
      <c r="F7545" t="s">
        <v>7111</v>
      </c>
    </row>
    <row r="7546" spans="1:6" x14ac:dyDescent="0.25">
      <c r="A7546" t="s">
        <v>6960</v>
      </c>
      <c r="B7546" t="s">
        <v>647</v>
      </c>
      <c r="C7546" t="s">
        <v>648</v>
      </c>
      <c r="D7546" t="str">
        <f>HYPERLINK("http://service.sap.com/sap/support/notes/1788222","1788222")</f>
        <v>1788222</v>
      </c>
      <c r="E7546">
        <v>1</v>
      </c>
      <c r="F7546" t="s">
        <v>7112</v>
      </c>
    </row>
    <row r="7547" spans="1:6" x14ac:dyDescent="0.25">
      <c r="A7547" t="s">
        <v>6960</v>
      </c>
      <c r="B7547" t="s">
        <v>647</v>
      </c>
      <c r="C7547" t="s">
        <v>648</v>
      </c>
      <c r="D7547" t="str">
        <f>HYPERLINK("http://service.sap.com/sap/support/notes/1788230","1788230")</f>
        <v>1788230</v>
      </c>
      <c r="E7547">
        <v>2</v>
      </c>
      <c r="F7547" t="s">
        <v>7113</v>
      </c>
    </row>
    <row r="7548" spans="1:6" x14ac:dyDescent="0.25">
      <c r="A7548" t="s">
        <v>6960</v>
      </c>
      <c r="B7548" t="s">
        <v>647</v>
      </c>
      <c r="C7548" t="s">
        <v>648</v>
      </c>
      <c r="D7548" t="str">
        <f>HYPERLINK("http://service.sap.com/sap/support/notes/1797607","1797607")</f>
        <v>1797607</v>
      </c>
      <c r="E7548">
        <v>2</v>
      </c>
      <c r="F7548" t="s">
        <v>7114</v>
      </c>
    </row>
    <row r="7549" spans="1:6" x14ac:dyDescent="0.25">
      <c r="A7549" t="s">
        <v>6960</v>
      </c>
      <c r="B7549" t="s">
        <v>647</v>
      </c>
      <c r="C7549" t="s">
        <v>648</v>
      </c>
      <c r="D7549" t="str">
        <f>HYPERLINK("http://service.sap.com/sap/support/notes/1802571","1802571")</f>
        <v>1802571</v>
      </c>
      <c r="F7549" t="s">
        <v>7115</v>
      </c>
    </row>
    <row r="7550" spans="1:6" x14ac:dyDescent="0.25">
      <c r="A7550" t="s">
        <v>6960</v>
      </c>
      <c r="B7550" t="s">
        <v>647</v>
      </c>
      <c r="C7550" t="s">
        <v>648</v>
      </c>
      <c r="D7550" t="str">
        <f>HYPERLINK("http://service.sap.com/sap/support/notes/1803469","1803469")</f>
        <v>1803469</v>
      </c>
      <c r="F7550" t="s">
        <v>7116</v>
      </c>
    </row>
    <row r="7551" spans="1:6" x14ac:dyDescent="0.25">
      <c r="A7551" t="s">
        <v>6960</v>
      </c>
      <c r="B7551" t="s">
        <v>647</v>
      </c>
      <c r="C7551" t="s">
        <v>648</v>
      </c>
      <c r="D7551" t="str">
        <f>HYPERLINK("http://service.sap.com/sap/support/notes/1807724","1807724")</f>
        <v>1807724</v>
      </c>
      <c r="E7551">
        <v>3</v>
      </c>
      <c r="F7551" t="s">
        <v>7117</v>
      </c>
    </row>
    <row r="7552" spans="1:6" x14ac:dyDescent="0.25">
      <c r="A7552" t="s">
        <v>6960</v>
      </c>
      <c r="B7552" t="s">
        <v>647</v>
      </c>
      <c r="C7552" t="s">
        <v>648</v>
      </c>
      <c r="D7552" t="str">
        <f>HYPERLINK("http://service.sap.com/sap/support/notes/1823554","1823554")</f>
        <v>1823554</v>
      </c>
      <c r="E7552">
        <v>4</v>
      </c>
      <c r="F7552" t="s">
        <v>7118</v>
      </c>
    </row>
    <row r="7553" spans="1:6" x14ac:dyDescent="0.25">
      <c r="A7553" t="s">
        <v>6960</v>
      </c>
      <c r="B7553" t="s">
        <v>647</v>
      </c>
      <c r="C7553" t="s">
        <v>648</v>
      </c>
      <c r="D7553" t="str">
        <f>HYPERLINK("http://service.sap.com/sap/support/notes/1824226","1824226")</f>
        <v>1824226</v>
      </c>
      <c r="E7553">
        <v>1</v>
      </c>
      <c r="F7553" t="s">
        <v>7119</v>
      </c>
    </row>
    <row r="7554" spans="1:6" x14ac:dyDescent="0.25">
      <c r="A7554" t="s">
        <v>6960</v>
      </c>
      <c r="B7554" t="s">
        <v>95</v>
      </c>
      <c r="C7554" t="s">
        <v>96</v>
      </c>
    </row>
    <row r="7555" spans="1:6" x14ac:dyDescent="0.25">
      <c r="A7555" t="s">
        <v>6960</v>
      </c>
      <c r="B7555" t="s">
        <v>114</v>
      </c>
      <c r="C7555" t="s">
        <v>115</v>
      </c>
      <c r="D7555" t="str">
        <f>HYPERLINK("http://service.sap.com/sap/support/notes/1807133","1807133")</f>
        <v>1807133</v>
      </c>
      <c r="E7555">
        <v>1</v>
      </c>
      <c r="F7555" t="s">
        <v>2441</v>
      </c>
    </row>
    <row r="7556" spans="1:6" x14ac:dyDescent="0.25">
      <c r="A7556" t="s">
        <v>6960</v>
      </c>
      <c r="B7556" t="s">
        <v>114</v>
      </c>
      <c r="C7556" t="s">
        <v>115</v>
      </c>
      <c r="D7556" t="str">
        <f>HYPERLINK("http://service.sap.com/sap/support/notes/1808081","1808081")</f>
        <v>1808081</v>
      </c>
      <c r="E7556">
        <v>2</v>
      </c>
      <c r="F7556" t="s">
        <v>2442</v>
      </c>
    </row>
    <row r="7557" spans="1:6" x14ac:dyDescent="0.25">
      <c r="A7557" t="s">
        <v>6960</v>
      </c>
      <c r="B7557" t="s">
        <v>114</v>
      </c>
      <c r="C7557" t="s">
        <v>115</v>
      </c>
      <c r="D7557" t="str">
        <f>HYPERLINK("http://service.sap.com/sap/support/notes/1820159","1820159")</f>
        <v>1820159</v>
      </c>
      <c r="E7557">
        <v>2</v>
      </c>
      <c r="F7557" t="s">
        <v>2445</v>
      </c>
    </row>
    <row r="7558" spans="1:6" x14ac:dyDescent="0.25">
      <c r="A7558" t="s">
        <v>6960</v>
      </c>
      <c r="B7558" t="s">
        <v>685</v>
      </c>
      <c r="C7558" t="s">
        <v>686</v>
      </c>
      <c r="D7558" t="str">
        <f>HYPERLINK("http://service.sap.com/sap/support/notes/1824955","1824955")</f>
        <v>1824955</v>
      </c>
      <c r="E7558">
        <v>1</v>
      </c>
      <c r="F7558" t="s">
        <v>7120</v>
      </c>
    </row>
    <row r="7559" spans="1:6" x14ac:dyDescent="0.25">
      <c r="A7559" t="s">
        <v>6960</v>
      </c>
      <c r="B7559" t="s">
        <v>159</v>
      </c>
      <c r="C7559" t="s">
        <v>160</v>
      </c>
      <c r="D7559" t="str">
        <f>HYPERLINK("http://service.sap.com/sap/support/notes/1706933","1706933")</f>
        <v>1706933</v>
      </c>
      <c r="E7559">
        <v>1</v>
      </c>
      <c r="F7559" t="s">
        <v>2496</v>
      </c>
    </row>
    <row r="7560" spans="1:6" x14ac:dyDescent="0.25">
      <c r="A7560" t="s">
        <v>6960</v>
      </c>
      <c r="B7560" t="s">
        <v>229</v>
      </c>
      <c r="C7560" t="s">
        <v>230</v>
      </c>
      <c r="D7560" t="str">
        <f>HYPERLINK("http://service.sap.com/sap/support/notes/1812172","1812172")</f>
        <v>1812172</v>
      </c>
      <c r="E7560">
        <v>2</v>
      </c>
      <c r="F7560" t="s">
        <v>7121</v>
      </c>
    </row>
    <row r="7561" spans="1:6" x14ac:dyDescent="0.25">
      <c r="A7561" t="s">
        <v>6960</v>
      </c>
      <c r="B7561" t="s">
        <v>319</v>
      </c>
      <c r="C7561" t="s">
        <v>320</v>
      </c>
    </row>
    <row r="7562" spans="1:6" x14ac:dyDescent="0.25">
      <c r="A7562" t="s">
        <v>6960</v>
      </c>
      <c r="B7562" t="s">
        <v>2263</v>
      </c>
      <c r="C7562" t="s">
        <v>2264</v>
      </c>
      <c r="D7562" t="str">
        <f>HYPERLINK("http://service.sap.com/sap/support/notes/1813659","1813659")</f>
        <v>1813659</v>
      </c>
      <c r="E7562">
        <v>1</v>
      </c>
      <c r="F7562" t="s">
        <v>7122</v>
      </c>
    </row>
    <row r="7563" spans="1:6" x14ac:dyDescent="0.25">
      <c r="A7563" t="s">
        <v>6960</v>
      </c>
      <c r="B7563" t="s">
        <v>340</v>
      </c>
      <c r="C7563" t="s">
        <v>52</v>
      </c>
      <c r="D7563" t="str">
        <f>HYPERLINK("http://service.sap.com/sap/support/notes/1814910","1814910")</f>
        <v>1814910</v>
      </c>
      <c r="E7563">
        <v>8</v>
      </c>
      <c r="F7563" t="s">
        <v>2684</v>
      </c>
    </row>
    <row r="7564" spans="1:6" x14ac:dyDescent="0.25">
      <c r="A7564" t="s">
        <v>6960</v>
      </c>
      <c r="B7564" t="s">
        <v>356</v>
      </c>
      <c r="C7564" t="s">
        <v>55</v>
      </c>
      <c r="D7564" t="str">
        <f>HYPERLINK("http://service.sap.com/sap/support/notes/1819712","1819712")</f>
        <v>1819712</v>
      </c>
      <c r="E7564">
        <v>2</v>
      </c>
      <c r="F7564" t="s">
        <v>7123</v>
      </c>
    </row>
    <row r="7565" spans="1:6" x14ac:dyDescent="0.25">
      <c r="A7565" t="s">
        <v>6960</v>
      </c>
      <c r="B7565" t="s">
        <v>384</v>
      </c>
      <c r="C7565" t="s">
        <v>385</v>
      </c>
      <c r="D7565" t="str">
        <f>HYPERLINK("http://service.sap.com/sap/support/notes/1724017","1724017")</f>
        <v>1724017</v>
      </c>
      <c r="E7565">
        <v>1</v>
      </c>
      <c r="F7565" t="s">
        <v>387</v>
      </c>
    </row>
    <row r="7566" spans="1:6" x14ac:dyDescent="0.25">
      <c r="A7566" t="s">
        <v>6960</v>
      </c>
      <c r="B7566" t="s">
        <v>423</v>
      </c>
      <c r="C7566" t="s">
        <v>424</v>
      </c>
      <c r="D7566" t="str">
        <f>HYPERLINK("http://service.sap.com/sap/support/notes/1818816","1818816")</f>
        <v>1818816</v>
      </c>
      <c r="E7566">
        <v>2</v>
      </c>
      <c r="F7566" t="s">
        <v>2759</v>
      </c>
    </row>
    <row r="7567" spans="1:6" x14ac:dyDescent="0.25">
      <c r="A7567" t="s">
        <v>6960</v>
      </c>
      <c r="B7567" t="s">
        <v>423</v>
      </c>
      <c r="C7567" t="s">
        <v>424</v>
      </c>
      <c r="D7567" t="str">
        <f>HYPERLINK("http://service.sap.com/sap/support/notes/1821585","1821585")</f>
        <v>1821585</v>
      </c>
      <c r="E7567">
        <v>1</v>
      </c>
      <c r="F7567" t="s">
        <v>2763</v>
      </c>
    </row>
    <row r="7568" spans="1:6" x14ac:dyDescent="0.25">
      <c r="A7568" t="s">
        <v>6960</v>
      </c>
      <c r="B7568" t="s">
        <v>423</v>
      </c>
      <c r="C7568" t="s">
        <v>424</v>
      </c>
      <c r="D7568" t="str">
        <f>HYPERLINK("http://service.sap.com/sap/support/notes/1825816","1825816")</f>
        <v>1825816</v>
      </c>
      <c r="E7568">
        <v>1</v>
      </c>
      <c r="F7568" t="s">
        <v>2766</v>
      </c>
    </row>
    <row r="7569" spans="1:6" x14ac:dyDescent="0.25">
      <c r="A7569" t="s">
        <v>6960</v>
      </c>
      <c r="B7569" t="s">
        <v>430</v>
      </c>
      <c r="C7569" t="s">
        <v>431</v>
      </c>
      <c r="D7569" t="str">
        <f>HYPERLINK("http://service.sap.com/sap/support/notes/1754461","1754461")</f>
        <v>1754461</v>
      </c>
      <c r="E7569">
        <v>5</v>
      </c>
      <c r="F7569" t="s">
        <v>2768</v>
      </c>
    </row>
    <row r="7570" spans="1:6" x14ac:dyDescent="0.25">
      <c r="A7570" t="s">
        <v>6960</v>
      </c>
      <c r="B7570" t="s">
        <v>6678</v>
      </c>
      <c r="C7570" t="s">
        <v>6436</v>
      </c>
      <c r="D7570" t="str">
        <f>HYPERLINK("http://service.sap.com/sap/support/notes/1788041","1788041")</f>
        <v>1788041</v>
      </c>
      <c r="E7570">
        <v>4</v>
      </c>
      <c r="F7570" t="s">
        <v>7124</v>
      </c>
    </row>
    <row r="7571" spans="1:6" x14ac:dyDescent="0.25">
      <c r="A7571" t="s">
        <v>6960</v>
      </c>
      <c r="B7571" t="s">
        <v>453</v>
      </c>
      <c r="C7571" t="s">
        <v>74</v>
      </c>
    </row>
    <row r="7572" spans="1:6" x14ac:dyDescent="0.25">
      <c r="A7572" t="s">
        <v>6960</v>
      </c>
      <c r="B7572" t="s">
        <v>633</v>
      </c>
      <c r="C7572" t="s">
        <v>634</v>
      </c>
      <c r="D7572" t="str">
        <f>HYPERLINK("http://service.sap.com/sap/support/notes/1727493","1727493")</f>
        <v>1727493</v>
      </c>
      <c r="E7572">
        <v>2</v>
      </c>
      <c r="F7572" t="s">
        <v>7125</v>
      </c>
    </row>
    <row r="7573" spans="1:6" x14ac:dyDescent="0.25">
      <c r="A7573" t="s">
        <v>6960</v>
      </c>
      <c r="B7573" t="s">
        <v>670</v>
      </c>
      <c r="C7573" t="s">
        <v>671</v>
      </c>
    </row>
    <row r="7574" spans="1:6" x14ac:dyDescent="0.25">
      <c r="A7574" t="s">
        <v>6960</v>
      </c>
      <c r="B7574" t="s">
        <v>672</v>
      </c>
      <c r="C7574" t="s">
        <v>673</v>
      </c>
    </row>
    <row r="7575" spans="1:6" x14ac:dyDescent="0.25">
      <c r="A7575" t="s">
        <v>6960</v>
      </c>
      <c r="B7575" t="s">
        <v>5707</v>
      </c>
      <c r="C7575" t="s">
        <v>5708</v>
      </c>
    </row>
    <row r="7576" spans="1:6" x14ac:dyDescent="0.25">
      <c r="A7576" t="s">
        <v>6960</v>
      </c>
      <c r="B7576" t="s">
        <v>5709</v>
      </c>
      <c r="C7576" t="s">
        <v>5710</v>
      </c>
      <c r="D7576" t="str">
        <f>HYPERLINK("http://service.sap.com/sap/support/notes/1815130","1815130")</f>
        <v>1815130</v>
      </c>
      <c r="E7576">
        <v>2</v>
      </c>
      <c r="F7576" t="s">
        <v>7126</v>
      </c>
    </row>
    <row r="7577" spans="1:6" x14ac:dyDescent="0.25">
      <c r="A7577" t="s">
        <v>6960</v>
      </c>
      <c r="B7577" t="s">
        <v>5713</v>
      </c>
      <c r="C7577" t="s">
        <v>5714</v>
      </c>
    </row>
    <row r="7578" spans="1:6" x14ac:dyDescent="0.25">
      <c r="A7578" t="s">
        <v>6960</v>
      </c>
      <c r="B7578" t="s">
        <v>5715</v>
      </c>
      <c r="C7578" t="s">
        <v>5710</v>
      </c>
      <c r="D7578" t="str">
        <f>HYPERLINK("http://service.sap.com/sap/support/notes/1812728","1812728")</f>
        <v>1812728</v>
      </c>
      <c r="E7578">
        <v>2</v>
      </c>
      <c r="F7578" t="s">
        <v>7127</v>
      </c>
    </row>
    <row r="7579" spans="1:6" x14ac:dyDescent="0.25">
      <c r="A7579" t="s">
        <v>6960</v>
      </c>
      <c r="B7579" t="s">
        <v>5715</v>
      </c>
      <c r="C7579" t="s">
        <v>5710</v>
      </c>
      <c r="D7579" t="str">
        <f>HYPERLINK("http://service.sap.com/sap/support/notes/1815760","1815760")</f>
        <v>1815760</v>
      </c>
      <c r="E7579">
        <v>2</v>
      </c>
      <c r="F7579" t="s">
        <v>7128</v>
      </c>
    </row>
    <row r="7580" spans="1:6" x14ac:dyDescent="0.25">
      <c r="A7580" t="s">
        <v>6960</v>
      </c>
      <c r="B7580" t="s">
        <v>5715</v>
      </c>
      <c r="C7580" t="s">
        <v>5710</v>
      </c>
      <c r="D7580" t="str">
        <f>HYPERLINK("http://service.sap.com/sap/support/notes/1821485","1821485")</f>
        <v>1821485</v>
      </c>
      <c r="E7580">
        <v>1</v>
      </c>
      <c r="F7580" t="s">
        <v>7129</v>
      </c>
    </row>
    <row r="7581" spans="1:6" x14ac:dyDescent="0.25">
      <c r="A7581" t="s">
        <v>6960</v>
      </c>
      <c r="B7581" t="s">
        <v>5715</v>
      </c>
      <c r="C7581" t="s">
        <v>5710</v>
      </c>
      <c r="D7581" t="str">
        <f>HYPERLINK("http://service.sap.com/sap/support/notes/1821831","1821831")</f>
        <v>1821831</v>
      </c>
      <c r="E7581">
        <v>2</v>
      </c>
      <c r="F7581" t="s">
        <v>7130</v>
      </c>
    </row>
    <row r="7582" spans="1:6" x14ac:dyDescent="0.25">
      <c r="A7582" t="s">
        <v>6960</v>
      </c>
      <c r="B7582" t="s">
        <v>5715</v>
      </c>
      <c r="C7582" t="s">
        <v>5710</v>
      </c>
      <c r="D7582" t="str">
        <f>HYPERLINK("http://service.sap.com/sap/support/notes/1823627","1823627")</f>
        <v>1823627</v>
      </c>
      <c r="E7582">
        <v>1</v>
      </c>
      <c r="F7582" t="s">
        <v>7131</v>
      </c>
    </row>
    <row r="7583" spans="1:6" x14ac:dyDescent="0.25">
      <c r="A7583" t="s">
        <v>7132</v>
      </c>
      <c r="B7583" t="s">
        <v>472</v>
      </c>
      <c r="C7583" t="s">
        <v>473</v>
      </c>
    </row>
    <row r="7584" spans="1:6" x14ac:dyDescent="0.25">
      <c r="A7584" t="s">
        <v>7132</v>
      </c>
      <c r="B7584" t="s">
        <v>474</v>
      </c>
      <c r="C7584" t="s">
        <v>475</v>
      </c>
    </row>
    <row r="7585" spans="1:6" x14ac:dyDescent="0.25">
      <c r="A7585" t="s">
        <v>7132</v>
      </c>
      <c r="B7585" t="s">
        <v>476</v>
      </c>
      <c r="C7585" t="s">
        <v>707</v>
      </c>
      <c r="D7585" t="str">
        <f>HYPERLINK("http://service.sap.com/sap/support/notes/1800543","1800543")</f>
        <v>1800543</v>
      </c>
      <c r="E7585">
        <v>3</v>
      </c>
      <c r="F7585" t="s">
        <v>7133</v>
      </c>
    </row>
    <row r="7586" spans="1:6" x14ac:dyDescent="0.25">
      <c r="A7586" t="s">
        <v>7132</v>
      </c>
      <c r="B7586" t="s">
        <v>5</v>
      </c>
      <c r="C7586" t="s">
        <v>6</v>
      </c>
    </row>
    <row r="7587" spans="1:6" x14ac:dyDescent="0.25">
      <c r="A7587" t="s">
        <v>7132</v>
      </c>
      <c r="B7587" t="s">
        <v>7</v>
      </c>
      <c r="C7587" t="s">
        <v>8</v>
      </c>
    </row>
    <row r="7588" spans="1:6" x14ac:dyDescent="0.25">
      <c r="A7588" t="s">
        <v>7132</v>
      </c>
      <c r="B7588" t="s">
        <v>3851</v>
      </c>
      <c r="C7588" t="s">
        <v>7134</v>
      </c>
      <c r="D7588" t="str">
        <f>HYPERLINK("http://service.sap.com/sap/support/notes/1793609","1793609")</f>
        <v>1793609</v>
      </c>
      <c r="E7588">
        <v>1</v>
      </c>
      <c r="F7588" t="s">
        <v>3853</v>
      </c>
    </row>
    <row r="7589" spans="1:6" x14ac:dyDescent="0.25">
      <c r="A7589" t="s">
        <v>7132</v>
      </c>
      <c r="B7589" t="s">
        <v>481</v>
      </c>
      <c r="C7589" t="s">
        <v>482</v>
      </c>
    </row>
    <row r="7590" spans="1:6" x14ac:dyDescent="0.25">
      <c r="A7590" t="s">
        <v>7132</v>
      </c>
      <c r="B7590" t="s">
        <v>487</v>
      </c>
      <c r="C7590" t="s">
        <v>488</v>
      </c>
    </row>
    <row r="7591" spans="1:6" x14ac:dyDescent="0.25">
      <c r="A7591" t="s">
        <v>7132</v>
      </c>
      <c r="B7591" t="s">
        <v>489</v>
      </c>
      <c r="C7591" t="s">
        <v>641</v>
      </c>
      <c r="D7591" t="str">
        <f>HYPERLINK("http://service.sap.com/sap/support/notes/1822023","1822023")</f>
        <v>1822023</v>
      </c>
      <c r="E7591">
        <v>2</v>
      </c>
      <c r="F7591" t="s">
        <v>7135</v>
      </c>
    </row>
    <row r="7592" spans="1:6" x14ac:dyDescent="0.25">
      <c r="A7592" t="s">
        <v>7132</v>
      </c>
      <c r="B7592" t="s">
        <v>489</v>
      </c>
      <c r="C7592" t="s">
        <v>641</v>
      </c>
      <c r="D7592" t="str">
        <f>HYPERLINK("http://service.sap.com/sap/support/notes/1829973","1829973")</f>
        <v>1829973</v>
      </c>
      <c r="E7592">
        <v>1</v>
      </c>
      <c r="F7592" t="s">
        <v>7136</v>
      </c>
    </row>
    <row r="7593" spans="1:6" x14ac:dyDescent="0.25">
      <c r="A7593" t="s">
        <v>7132</v>
      </c>
      <c r="B7593" t="s">
        <v>489</v>
      </c>
      <c r="C7593" t="s">
        <v>641</v>
      </c>
      <c r="D7593" t="str">
        <f>HYPERLINK("http://service.sap.com/sap/support/notes/1836400","1836400")</f>
        <v>1836400</v>
      </c>
      <c r="E7593">
        <v>1</v>
      </c>
      <c r="F7593" t="s">
        <v>7137</v>
      </c>
    </row>
    <row r="7594" spans="1:6" x14ac:dyDescent="0.25">
      <c r="A7594" t="s">
        <v>7132</v>
      </c>
      <c r="B7594" t="s">
        <v>490</v>
      </c>
      <c r="C7594" t="s">
        <v>491</v>
      </c>
    </row>
    <row r="7595" spans="1:6" x14ac:dyDescent="0.25">
      <c r="A7595" t="s">
        <v>7132</v>
      </c>
      <c r="B7595" t="s">
        <v>722</v>
      </c>
      <c r="C7595" t="s">
        <v>723</v>
      </c>
    </row>
    <row r="7596" spans="1:6" x14ac:dyDescent="0.25">
      <c r="A7596" t="s">
        <v>7132</v>
      </c>
      <c r="B7596" t="s">
        <v>724</v>
      </c>
      <c r="C7596" t="s">
        <v>648</v>
      </c>
      <c r="D7596" t="str">
        <f>HYPERLINK("http://service.sap.com/sap/support/notes/1771686","1771686")</f>
        <v>1771686</v>
      </c>
      <c r="E7596">
        <v>4</v>
      </c>
      <c r="F7596" t="s">
        <v>7138</v>
      </c>
    </row>
    <row r="7597" spans="1:6" x14ac:dyDescent="0.25">
      <c r="A7597" t="s">
        <v>7132</v>
      </c>
      <c r="B7597" t="s">
        <v>15</v>
      </c>
      <c r="C7597" t="s">
        <v>16</v>
      </c>
    </row>
    <row r="7598" spans="1:6" x14ac:dyDescent="0.25">
      <c r="A7598" t="s">
        <v>7132</v>
      </c>
      <c r="B7598" t="s">
        <v>17</v>
      </c>
      <c r="C7598" t="s">
        <v>18</v>
      </c>
    </row>
    <row r="7599" spans="1:6" x14ac:dyDescent="0.25">
      <c r="A7599" t="s">
        <v>7132</v>
      </c>
      <c r="B7599" t="s">
        <v>19</v>
      </c>
      <c r="C7599" t="s">
        <v>20</v>
      </c>
    </row>
    <row r="7600" spans="1:6" x14ac:dyDescent="0.25">
      <c r="A7600" t="s">
        <v>7132</v>
      </c>
      <c r="B7600" t="s">
        <v>21</v>
      </c>
      <c r="C7600" t="s">
        <v>22</v>
      </c>
      <c r="D7600" t="str">
        <f>HYPERLINK("http://service.sap.com/sap/support/notes/1826600","1826600")</f>
        <v>1826600</v>
      </c>
      <c r="E7600">
        <v>1</v>
      </c>
      <c r="F7600" t="s">
        <v>7139</v>
      </c>
    </row>
    <row r="7601" spans="1:6" x14ac:dyDescent="0.25">
      <c r="A7601" t="s">
        <v>7132</v>
      </c>
      <c r="B7601" t="s">
        <v>493</v>
      </c>
      <c r="C7601" t="s">
        <v>494</v>
      </c>
    </row>
    <row r="7602" spans="1:6" x14ac:dyDescent="0.25">
      <c r="A7602" t="s">
        <v>7132</v>
      </c>
      <c r="B7602" t="s">
        <v>495</v>
      </c>
      <c r="C7602" t="s">
        <v>655</v>
      </c>
      <c r="D7602" t="str">
        <f>HYPERLINK("http://service.sap.com/sap/support/notes/1828951","1828951")</f>
        <v>1828951</v>
      </c>
      <c r="E7602">
        <v>2</v>
      </c>
      <c r="F7602" t="s">
        <v>7140</v>
      </c>
    </row>
    <row r="7603" spans="1:6" x14ac:dyDescent="0.25">
      <c r="A7603" t="s">
        <v>7132</v>
      </c>
      <c r="B7603" t="s">
        <v>497</v>
      </c>
      <c r="C7603" t="s">
        <v>498</v>
      </c>
      <c r="D7603" t="str">
        <f>HYPERLINK("http://service.sap.com/sap/support/notes/1815824","1815824")</f>
        <v>1815824</v>
      </c>
      <c r="E7603">
        <v>4</v>
      </c>
      <c r="F7603" t="s">
        <v>7141</v>
      </c>
    </row>
    <row r="7604" spans="1:6" x14ac:dyDescent="0.25">
      <c r="A7604" t="s">
        <v>7132</v>
      </c>
      <c r="B7604" t="s">
        <v>497</v>
      </c>
      <c r="C7604" t="s">
        <v>498</v>
      </c>
      <c r="D7604" t="str">
        <f>HYPERLINK("http://service.sap.com/sap/support/notes/1816337","1816337")</f>
        <v>1816337</v>
      </c>
      <c r="E7604">
        <v>3</v>
      </c>
      <c r="F7604" t="s">
        <v>7142</v>
      </c>
    </row>
    <row r="7605" spans="1:6" x14ac:dyDescent="0.25">
      <c r="A7605" t="s">
        <v>7132</v>
      </c>
      <c r="B7605" t="s">
        <v>497</v>
      </c>
      <c r="C7605" t="s">
        <v>498</v>
      </c>
      <c r="D7605" t="str">
        <f>HYPERLINK("http://service.sap.com/sap/support/notes/1825364","1825364")</f>
        <v>1825364</v>
      </c>
      <c r="E7605">
        <v>3</v>
      </c>
      <c r="F7605" t="s">
        <v>7143</v>
      </c>
    </row>
    <row r="7606" spans="1:6" x14ac:dyDescent="0.25">
      <c r="A7606" t="s">
        <v>7132</v>
      </c>
      <c r="B7606" t="s">
        <v>497</v>
      </c>
      <c r="C7606" t="s">
        <v>498</v>
      </c>
      <c r="D7606" t="str">
        <f>HYPERLINK("http://service.sap.com/sap/support/notes/1825805","1825805")</f>
        <v>1825805</v>
      </c>
      <c r="E7606">
        <v>1</v>
      </c>
      <c r="F7606" t="s">
        <v>7144</v>
      </c>
    </row>
    <row r="7607" spans="1:6" x14ac:dyDescent="0.25">
      <c r="A7607" t="s">
        <v>7132</v>
      </c>
      <c r="B7607" t="s">
        <v>497</v>
      </c>
      <c r="C7607" t="s">
        <v>498</v>
      </c>
      <c r="D7607" t="str">
        <f>HYPERLINK("http://service.sap.com/sap/support/notes/1825863","1825863")</f>
        <v>1825863</v>
      </c>
      <c r="E7607">
        <v>2</v>
      </c>
      <c r="F7607" t="s">
        <v>7145</v>
      </c>
    </row>
    <row r="7608" spans="1:6" x14ac:dyDescent="0.25">
      <c r="A7608" t="s">
        <v>7132</v>
      </c>
      <c r="B7608" t="s">
        <v>497</v>
      </c>
      <c r="C7608" t="s">
        <v>498</v>
      </c>
      <c r="D7608" t="str">
        <f>HYPERLINK("http://service.sap.com/sap/support/notes/1827523","1827523")</f>
        <v>1827523</v>
      </c>
      <c r="E7608">
        <v>1</v>
      </c>
      <c r="F7608" t="s">
        <v>7146</v>
      </c>
    </row>
    <row r="7609" spans="1:6" x14ac:dyDescent="0.25">
      <c r="A7609" t="s">
        <v>7132</v>
      </c>
      <c r="B7609" t="s">
        <v>497</v>
      </c>
      <c r="C7609" t="s">
        <v>498</v>
      </c>
      <c r="D7609" t="str">
        <f>HYPERLINK("http://service.sap.com/sap/support/notes/1828178","1828178")</f>
        <v>1828178</v>
      </c>
      <c r="E7609">
        <v>2</v>
      </c>
      <c r="F7609" t="s">
        <v>6860</v>
      </c>
    </row>
    <row r="7610" spans="1:6" x14ac:dyDescent="0.25">
      <c r="A7610" t="s">
        <v>7132</v>
      </c>
      <c r="B7610" t="s">
        <v>497</v>
      </c>
      <c r="C7610" t="s">
        <v>498</v>
      </c>
      <c r="D7610" t="str">
        <f>HYPERLINK("http://service.sap.com/sap/support/notes/1828216","1828216")</f>
        <v>1828216</v>
      </c>
      <c r="E7610">
        <v>2</v>
      </c>
      <c r="F7610" t="s">
        <v>7147</v>
      </c>
    </row>
    <row r="7611" spans="1:6" x14ac:dyDescent="0.25">
      <c r="A7611" t="s">
        <v>7132</v>
      </c>
      <c r="B7611" t="s">
        <v>497</v>
      </c>
      <c r="C7611" t="s">
        <v>498</v>
      </c>
      <c r="D7611" t="str">
        <f>HYPERLINK("http://service.sap.com/sap/support/notes/1828910","1828910")</f>
        <v>1828910</v>
      </c>
      <c r="E7611">
        <v>1</v>
      </c>
      <c r="F7611" t="s">
        <v>7148</v>
      </c>
    </row>
    <row r="7612" spans="1:6" x14ac:dyDescent="0.25">
      <c r="A7612" t="s">
        <v>7132</v>
      </c>
      <c r="B7612" t="s">
        <v>497</v>
      </c>
      <c r="C7612" t="s">
        <v>498</v>
      </c>
      <c r="D7612" t="str">
        <f>HYPERLINK("http://service.sap.com/sap/support/notes/1830287","1830287")</f>
        <v>1830287</v>
      </c>
      <c r="E7612">
        <v>2</v>
      </c>
      <c r="F7612" t="s">
        <v>6981</v>
      </c>
    </row>
    <row r="7613" spans="1:6" x14ac:dyDescent="0.25">
      <c r="A7613" t="s">
        <v>7132</v>
      </c>
      <c r="B7613" t="s">
        <v>497</v>
      </c>
      <c r="C7613" t="s">
        <v>498</v>
      </c>
      <c r="D7613" t="str">
        <f>HYPERLINK("http://service.sap.com/sap/support/notes/1830301","1830301")</f>
        <v>1830301</v>
      </c>
      <c r="E7613">
        <v>1</v>
      </c>
      <c r="F7613" t="s">
        <v>7149</v>
      </c>
    </row>
    <row r="7614" spans="1:6" x14ac:dyDescent="0.25">
      <c r="A7614" t="s">
        <v>7132</v>
      </c>
      <c r="B7614" t="s">
        <v>497</v>
      </c>
      <c r="C7614" t="s">
        <v>498</v>
      </c>
      <c r="D7614" t="str">
        <f>HYPERLINK("http://service.sap.com/sap/support/notes/1831455","1831455")</f>
        <v>1831455</v>
      </c>
      <c r="E7614">
        <v>5</v>
      </c>
      <c r="F7614" t="s">
        <v>7150</v>
      </c>
    </row>
    <row r="7615" spans="1:6" x14ac:dyDescent="0.25">
      <c r="A7615" t="s">
        <v>7132</v>
      </c>
      <c r="B7615" t="s">
        <v>497</v>
      </c>
      <c r="C7615" t="s">
        <v>498</v>
      </c>
      <c r="D7615" t="str">
        <f>HYPERLINK("http://service.sap.com/sap/support/notes/1831567","1831567")</f>
        <v>1831567</v>
      </c>
      <c r="E7615">
        <v>1</v>
      </c>
      <c r="F7615" t="s">
        <v>7151</v>
      </c>
    </row>
    <row r="7616" spans="1:6" x14ac:dyDescent="0.25">
      <c r="A7616" t="s">
        <v>7132</v>
      </c>
      <c r="B7616" t="s">
        <v>497</v>
      </c>
      <c r="C7616" t="s">
        <v>498</v>
      </c>
      <c r="D7616" t="str">
        <f>HYPERLINK("http://service.sap.com/sap/support/notes/1831877","1831877")</f>
        <v>1831877</v>
      </c>
      <c r="E7616">
        <v>1</v>
      </c>
      <c r="F7616" t="s">
        <v>7152</v>
      </c>
    </row>
    <row r="7617" spans="1:6" x14ac:dyDescent="0.25">
      <c r="A7617" t="s">
        <v>7132</v>
      </c>
      <c r="B7617" t="s">
        <v>497</v>
      </c>
      <c r="C7617" t="s">
        <v>498</v>
      </c>
      <c r="D7617" t="str">
        <f>HYPERLINK("http://service.sap.com/sap/support/notes/1831941","1831941")</f>
        <v>1831941</v>
      </c>
      <c r="E7617">
        <v>3</v>
      </c>
      <c r="F7617" t="s">
        <v>7153</v>
      </c>
    </row>
    <row r="7618" spans="1:6" x14ac:dyDescent="0.25">
      <c r="A7618" t="s">
        <v>7132</v>
      </c>
      <c r="B7618" t="s">
        <v>497</v>
      </c>
      <c r="C7618" t="s">
        <v>498</v>
      </c>
      <c r="D7618" t="str">
        <f>HYPERLINK("http://service.sap.com/sap/support/notes/1833455","1833455")</f>
        <v>1833455</v>
      </c>
      <c r="E7618">
        <v>1</v>
      </c>
      <c r="F7618" t="s">
        <v>7154</v>
      </c>
    </row>
    <row r="7619" spans="1:6" x14ac:dyDescent="0.25">
      <c r="A7619" t="s">
        <v>7132</v>
      </c>
      <c r="B7619" t="s">
        <v>497</v>
      </c>
      <c r="C7619" t="s">
        <v>498</v>
      </c>
      <c r="D7619" t="str">
        <f>HYPERLINK("http://service.sap.com/sap/support/notes/1833943","1833943")</f>
        <v>1833943</v>
      </c>
      <c r="E7619">
        <v>2</v>
      </c>
      <c r="F7619" t="s">
        <v>7155</v>
      </c>
    </row>
    <row r="7620" spans="1:6" x14ac:dyDescent="0.25">
      <c r="A7620" t="s">
        <v>7132</v>
      </c>
      <c r="B7620" t="s">
        <v>497</v>
      </c>
      <c r="C7620" t="s">
        <v>498</v>
      </c>
      <c r="D7620" t="str">
        <f>HYPERLINK("http://service.sap.com/sap/support/notes/1834234","1834234")</f>
        <v>1834234</v>
      </c>
      <c r="E7620">
        <v>1</v>
      </c>
      <c r="F7620" t="s">
        <v>7156</v>
      </c>
    </row>
    <row r="7621" spans="1:6" x14ac:dyDescent="0.25">
      <c r="A7621" t="s">
        <v>7132</v>
      </c>
      <c r="B7621" t="s">
        <v>497</v>
      </c>
      <c r="C7621" t="s">
        <v>498</v>
      </c>
      <c r="D7621" t="str">
        <f>HYPERLINK("http://service.sap.com/sap/support/notes/1834758","1834758")</f>
        <v>1834758</v>
      </c>
      <c r="E7621">
        <v>1</v>
      </c>
      <c r="F7621" t="s">
        <v>7157</v>
      </c>
    </row>
    <row r="7622" spans="1:6" x14ac:dyDescent="0.25">
      <c r="A7622" t="s">
        <v>7132</v>
      </c>
      <c r="B7622" t="s">
        <v>497</v>
      </c>
      <c r="C7622" t="s">
        <v>498</v>
      </c>
      <c r="D7622" t="str">
        <f>HYPERLINK("http://service.sap.com/sap/support/notes/1835693","1835693")</f>
        <v>1835693</v>
      </c>
      <c r="E7622">
        <v>1</v>
      </c>
      <c r="F7622" t="s">
        <v>7158</v>
      </c>
    </row>
    <row r="7623" spans="1:6" x14ac:dyDescent="0.25">
      <c r="A7623" t="s">
        <v>7132</v>
      </c>
      <c r="B7623" t="s">
        <v>497</v>
      </c>
      <c r="C7623" t="s">
        <v>498</v>
      </c>
      <c r="D7623" t="str">
        <f>HYPERLINK("http://service.sap.com/sap/support/notes/1836132","1836132")</f>
        <v>1836132</v>
      </c>
      <c r="E7623">
        <v>2</v>
      </c>
      <c r="F7623" t="s">
        <v>7159</v>
      </c>
    </row>
    <row r="7624" spans="1:6" x14ac:dyDescent="0.25">
      <c r="A7624" t="s">
        <v>7132</v>
      </c>
      <c r="B7624" t="s">
        <v>656</v>
      </c>
      <c r="C7624" t="s">
        <v>657</v>
      </c>
      <c r="D7624" t="str">
        <f>HYPERLINK("http://service.sap.com/sap/support/notes/1791542","1791542")</f>
        <v>1791542</v>
      </c>
      <c r="E7624">
        <v>2</v>
      </c>
      <c r="F7624" t="s">
        <v>7160</v>
      </c>
    </row>
    <row r="7625" spans="1:6" x14ac:dyDescent="0.25">
      <c r="A7625" t="s">
        <v>7132</v>
      </c>
      <c r="B7625" t="s">
        <v>656</v>
      </c>
      <c r="C7625" t="s">
        <v>657</v>
      </c>
      <c r="D7625" t="str">
        <f>HYPERLINK("http://service.sap.com/sap/support/notes/1803047","1803047")</f>
        <v>1803047</v>
      </c>
      <c r="E7625">
        <v>1</v>
      </c>
      <c r="F7625" t="s">
        <v>7161</v>
      </c>
    </row>
    <row r="7626" spans="1:6" x14ac:dyDescent="0.25">
      <c r="A7626" t="s">
        <v>7132</v>
      </c>
      <c r="B7626" t="s">
        <v>656</v>
      </c>
      <c r="C7626" t="s">
        <v>657</v>
      </c>
      <c r="D7626" t="str">
        <f>HYPERLINK("http://service.sap.com/sap/support/notes/1825413","1825413")</f>
        <v>1825413</v>
      </c>
      <c r="E7626">
        <v>1</v>
      </c>
      <c r="F7626" t="s">
        <v>7162</v>
      </c>
    </row>
    <row r="7627" spans="1:6" x14ac:dyDescent="0.25">
      <c r="A7627" t="s">
        <v>7132</v>
      </c>
      <c r="B7627" t="s">
        <v>656</v>
      </c>
      <c r="C7627" t="s">
        <v>657</v>
      </c>
      <c r="D7627" t="str">
        <f>HYPERLINK("http://service.sap.com/sap/support/notes/1826548","1826548")</f>
        <v>1826548</v>
      </c>
      <c r="E7627">
        <v>2</v>
      </c>
      <c r="F7627" t="s">
        <v>7163</v>
      </c>
    </row>
    <row r="7628" spans="1:6" x14ac:dyDescent="0.25">
      <c r="A7628" t="s">
        <v>7132</v>
      </c>
      <c r="B7628" t="s">
        <v>656</v>
      </c>
      <c r="C7628" t="s">
        <v>657</v>
      </c>
      <c r="D7628" t="str">
        <f>HYPERLINK("http://service.sap.com/sap/support/notes/1826880","1826880")</f>
        <v>1826880</v>
      </c>
      <c r="E7628">
        <v>2</v>
      </c>
      <c r="F7628" t="s">
        <v>7164</v>
      </c>
    </row>
    <row r="7629" spans="1:6" x14ac:dyDescent="0.25">
      <c r="A7629" t="s">
        <v>7132</v>
      </c>
      <c r="B7629" t="s">
        <v>656</v>
      </c>
      <c r="C7629" t="s">
        <v>657</v>
      </c>
      <c r="D7629" t="str">
        <f>HYPERLINK("http://service.sap.com/sap/support/notes/1826920","1826920")</f>
        <v>1826920</v>
      </c>
      <c r="E7629">
        <v>2</v>
      </c>
      <c r="F7629" t="s">
        <v>7165</v>
      </c>
    </row>
    <row r="7630" spans="1:6" x14ac:dyDescent="0.25">
      <c r="A7630" t="s">
        <v>7132</v>
      </c>
      <c r="B7630" t="s">
        <v>656</v>
      </c>
      <c r="C7630" t="s">
        <v>657</v>
      </c>
      <c r="D7630" t="str">
        <f>HYPERLINK("http://service.sap.com/sap/support/notes/1826923","1826923")</f>
        <v>1826923</v>
      </c>
      <c r="E7630">
        <v>2</v>
      </c>
      <c r="F7630" t="s">
        <v>7166</v>
      </c>
    </row>
    <row r="7631" spans="1:6" x14ac:dyDescent="0.25">
      <c r="A7631" t="s">
        <v>7132</v>
      </c>
      <c r="B7631" t="s">
        <v>656</v>
      </c>
      <c r="C7631" t="s">
        <v>657</v>
      </c>
      <c r="D7631" t="str">
        <f>HYPERLINK("http://service.sap.com/sap/support/notes/1826959","1826959")</f>
        <v>1826959</v>
      </c>
      <c r="E7631">
        <v>1</v>
      </c>
      <c r="F7631" t="s">
        <v>7167</v>
      </c>
    </row>
    <row r="7632" spans="1:6" x14ac:dyDescent="0.25">
      <c r="A7632" t="s">
        <v>7132</v>
      </c>
      <c r="B7632" t="s">
        <v>656</v>
      </c>
      <c r="C7632" t="s">
        <v>657</v>
      </c>
      <c r="D7632" t="str">
        <f>HYPERLINK("http://service.sap.com/sap/support/notes/1827092","1827092")</f>
        <v>1827092</v>
      </c>
      <c r="E7632">
        <v>2</v>
      </c>
      <c r="F7632" t="s">
        <v>7168</v>
      </c>
    </row>
    <row r="7633" spans="1:6" x14ac:dyDescent="0.25">
      <c r="A7633" t="s">
        <v>7132</v>
      </c>
      <c r="B7633" t="s">
        <v>656</v>
      </c>
      <c r="C7633" t="s">
        <v>657</v>
      </c>
      <c r="D7633" t="str">
        <f>HYPERLINK("http://service.sap.com/sap/support/notes/1832118","1832118")</f>
        <v>1832118</v>
      </c>
      <c r="E7633">
        <v>1</v>
      </c>
      <c r="F7633" t="s">
        <v>7169</v>
      </c>
    </row>
    <row r="7634" spans="1:6" x14ac:dyDescent="0.25">
      <c r="A7634" t="s">
        <v>7132</v>
      </c>
      <c r="B7634" t="s">
        <v>656</v>
      </c>
      <c r="C7634" t="s">
        <v>657</v>
      </c>
      <c r="D7634" t="str">
        <f>HYPERLINK("http://service.sap.com/sap/support/notes/1833168","1833168")</f>
        <v>1833168</v>
      </c>
      <c r="E7634">
        <v>1</v>
      </c>
      <c r="F7634" t="s">
        <v>7170</v>
      </c>
    </row>
    <row r="7635" spans="1:6" x14ac:dyDescent="0.25">
      <c r="A7635" t="s">
        <v>7132</v>
      </c>
      <c r="B7635" t="s">
        <v>656</v>
      </c>
      <c r="C7635" t="s">
        <v>657</v>
      </c>
      <c r="D7635" t="str">
        <f>HYPERLINK("http://service.sap.com/sap/support/notes/1834837","1834837")</f>
        <v>1834837</v>
      </c>
      <c r="E7635">
        <v>2</v>
      </c>
      <c r="F7635" t="s">
        <v>7171</v>
      </c>
    </row>
    <row r="7636" spans="1:6" x14ac:dyDescent="0.25">
      <c r="A7636" t="s">
        <v>7132</v>
      </c>
      <c r="B7636" t="s">
        <v>656</v>
      </c>
      <c r="C7636" t="s">
        <v>657</v>
      </c>
      <c r="D7636" t="str">
        <f>HYPERLINK("http://service.sap.com/sap/support/notes/1835128","1835128")</f>
        <v>1835128</v>
      </c>
      <c r="E7636">
        <v>1</v>
      </c>
      <c r="F7636" t="s">
        <v>7172</v>
      </c>
    </row>
    <row r="7637" spans="1:6" x14ac:dyDescent="0.25">
      <c r="A7637" t="s">
        <v>7132</v>
      </c>
      <c r="B7637" t="s">
        <v>656</v>
      </c>
      <c r="C7637" t="s">
        <v>657</v>
      </c>
      <c r="D7637" t="str">
        <f>HYPERLINK("http://service.sap.com/sap/support/notes/1835610","1835610")</f>
        <v>1835610</v>
      </c>
      <c r="E7637">
        <v>1</v>
      </c>
      <c r="F7637" t="s">
        <v>7173</v>
      </c>
    </row>
    <row r="7638" spans="1:6" x14ac:dyDescent="0.25">
      <c r="A7638" t="s">
        <v>7132</v>
      </c>
      <c r="B7638" t="s">
        <v>656</v>
      </c>
      <c r="C7638" t="s">
        <v>657</v>
      </c>
      <c r="D7638" t="str">
        <f>HYPERLINK("http://service.sap.com/sap/support/notes/1837055","1837055")</f>
        <v>1837055</v>
      </c>
      <c r="E7638">
        <v>2</v>
      </c>
      <c r="F7638" t="s">
        <v>7174</v>
      </c>
    </row>
    <row r="7639" spans="1:6" x14ac:dyDescent="0.25">
      <c r="A7639" t="s">
        <v>7132</v>
      </c>
      <c r="B7639" t="s">
        <v>694</v>
      </c>
      <c r="C7639" t="s">
        <v>695</v>
      </c>
      <c r="D7639" t="str">
        <f>HYPERLINK("http://service.sap.com/sap/support/notes/1825201","1825201")</f>
        <v>1825201</v>
      </c>
      <c r="E7639">
        <v>1</v>
      </c>
      <c r="F7639" t="s">
        <v>7175</v>
      </c>
    </row>
    <row r="7640" spans="1:6" x14ac:dyDescent="0.25">
      <c r="A7640" t="s">
        <v>7132</v>
      </c>
      <c r="B7640" t="s">
        <v>694</v>
      </c>
      <c r="C7640" t="s">
        <v>695</v>
      </c>
      <c r="D7640" t="str">
        <f>HYPERLINK("http://service.sap.com/sap/support/notes/1826957","1826957")</f>
        <v>1826957</v>
      </c>
      <c r="E7640">
        <v>1</v>
      </c>
      <c r="F7640" t="s">
        <v>7176</v>
      </c>
    </row>
    <row r="7641" spans="1:6" x14ac:dyDescent="0.25">
      <c r="A7641" t="s">
        <v>7132</v>
      </c>
      <c r="B7641" t="s">
        <v>694</v>
      </c>
      <c r="C7641" t="s">
        <v>695</v>
      </c>
      <c r="D7641" t="str">
        <f>HYPERLINK("http://service.sap.com/sap/support/notes/1828720","1828720")</f>
        <v>1828720</v>
      </c>
      <c r="E7641">
        <v>1</v>
      </c>
      <c r="F7641" t="s">
        <v>7177</v>
      </c>
    </row>
    <row r="7642" spans="1:6" x14ac:dyDescent="0.25">
      <c r="A7642" t="s">
        <v>7132</v>
      </c>
      <c r="B7642" t="s">
        <v>694</v>
      </c>
      <c r="C7642" t="s">
        <v>695</v>
      </c>
      <c r="D7642" t="str">
        <f>HYPERLINK("http://service.sap.com/sap/support/notes/1831011","1831011")</f>
        <v>1831011</v>
      </c>
      <c r="E7642">
        <v>1</v>
      </c>
      <c r="F7642" t="s">
        <v>7178</v>
      </c>
    </row>
    <row r="7643" spans="1:6" x14ac:dyDescent="0.25">
      <c r="A7643" t="s">
        <v>7132</v>
      </c>
      <c r="B7643" t="s">
        <v>694</v>
      </c>
      <c r="C7643" t="s">
        <v>695</v>
      </c>
      <c r="D7643" t="str">
        <f>HYPERLINK("http://service.sap.com/sap/support/notes/1835613","1835613")</f>
        <v>1835613</v>
      </c>
      <c r="E7643">
        <v>1</v>
      </c>
      <c r="F7643" t="s">
        <v>7179</v>
      </c>
    </row>
    <row r="7644" spans="1:6" x14ac:dyDescent="0.25">
      <c r="A7644" t="s">
        <v>7132</v>
      </c>
      <c r="B7644" t="s">
        <v>5795</v>
      </c>
      <c r="C7644" t="s">
        <v>5796</v>
      </c>
      <c r="D7644" t="str">
        <f>HYPERLINK("http://service.sap.com/sap/support/notes/1831558","1831558")</f>
        <v>1831558</v>
      </c>
      <c r="E7644">
        <v>3</v>
      </c>
      <c r="F7644" t="s">
        <v>7180</v>
      </c>
    </row>
    <row r="7645" spans="1:6" x14ac:dyDescent="0.25">
      <c r="A7645" t="s">
        <v>7132</v>
      </c>
      <c r="B7645" t="s">
        <v>5798</v>
      </c>
      <c r="C7645" t="s">
        <v>5799</v>
      </c>
      <c r="D7645" t="str">
        <f>HYPERLINK("http://service.sap.com/sap/support/notes/1826937","1826937")</f>
        <v>1826937</v>
      </c>
      <c r="E7645">
        <v>1</v>
      </c>
      <c r="F7645" t="s">
        <v>7181</v>
      </c>
    </row>
    <row r="7646" spans="1:6" x14ac:dyDescent="0.25">
      <c r="A7646" t="s">
        <v>7132</v>
      </c>
      <c r="B7646" t="s">
        <v>5798</v>
      </c>
      <c r="C7646" t="s">
        <v>5799</v>
      </c>
      <c r="D7646" t="str">
        <f>HYPERLINK("http://service.sap.com/sap/support/notes/1830336","1830336")</f>
        <v>1830336</v>
      </c>
      <c r="E7646">
        <v>2</v>
      </c>
      <c r="F7646" t="s">
        <v>7182</v>
      </c>
    </row>
    <row r="7647" spans="1:6" x14ac:dyDescent="0.25">
      <c r="A7647" t="s">
        <v>7132</v>
      </c>
      <c r="B7647" t="s">
        <v>5798</v>
      </c>
      <c r="C7647" t="s">
        <v>5799</v>
      </c>
      <c r="D7647" t="str">
        <f>HYPERLINK("http://service.sap.com/sap/support/notes/1830351","1830351")</f>
        <v>1830351</v>
      </c>
      <c r="E7647">
        <v>2</v>
      </c>
      <c r="F7647" t="s">
        <v>7183</v>
      </c>
    </row>
    <row r="7648" spans="1:6" x14ac:dyDescent="0.25">
      <c r="A7648" t="s">
        <v>7132</v>
      </c>
      <c r="B7648" t="s">
        <v>5798</v>
      </c>
      <c r="C7648" t="s">
        <v>5799</v>
      </c>
      <c r="D7648" t="str">
        <f>HYPERLINK("http://service.sap.com/sap/support/notes/1836824","1836824")</f>
        <v>1836824</v>
      </c>
      <c r="E7648">
        <v>2</v>
      </c>
      <c r="F7648" t="s">
        <v>7184</v>
      </c>
    </row>
    <row r="7649" spans="1:6" x14ac:dyDescent="0.25">
      <c r="A7649" t="s">
        <v>7132</v>
      </c>
      <c r="B7649" t="s">
        <v>24</v>
      </c>
      <c r="C7649" t="s">
        <v>10</v>
      </c>
    </row>
    <row r="7650" spans="1:6" x14ac:dyDescent="0.25">
      <c r="A7650" t="s">
        <v>7132</v>
      </c>
      <c r="B7650" t="s">
        <v>5505</v>
      </c>
      <c r="C7650" t="s">
        <v>5506</v>
      </c>
      <c r="D7650" t="str">
        <f>HYPERLINK("http://service.sap.com/sap/support/notes/1796931","1796931")</f>
        <v>1796931</v>
      </c>
      <c r="E7650">
        <v>2</v>
      </c>
      <c r="F7650" t="s">
        <v>7185</v>
      </c>
    </row>
    <row r="7651" spans="1:6" x14ac:dyDescent="0.25">
      <c r="A7651" t="s">
        <v>7132</v>
      </c>
      <c r="B7651" t="s">
        <v>5505</v>
      </c>
      <c r="C7651" t="s">
        <v>5506</v>
      </c>
      <c r="D7651" t="str">
        <f>HYPERLINK("http://service.sap.com/sap/support/notes/1809299","1809299")</f>
        <v>1809299</v>
      </c>
      <c r="E7651">
        <v>1</v>
      </c>
      <c r="F7651" t="s">
        <v>7025</v>
      </c>
    </row>
    <row r="7652" spans="1:6" x14ac:dyDescent="0.25">
      <c r="A7652" t="s">
        <v>7132</v>
      </c>
      <c r="B7652" t="s">
        <v>5505</v>
      </c>
      <c r="C7652" t="s">
        <v>5506</v>
      </c>
      <c r="D7652" t="str">
        <f>HYPERLINK("http://service.sap.com/sap/support/notes/1825698","1825698")</f>
        <v>1825698</v>
      </c>
      <c r="E7652">
        <v>1</v>
      </c>
      <c r="F7652" t="s">
        <v>7186</v>
      </c>
    </row>
    <row r="7653" spans="1:6" x14ac:dyDescent="0.25">
      <c r="A7653" t="s">
        <v>7132</v>
      </c>
      <c r="B7653" t="s">
        <v>5505</v>
      </c>
      <c r="C7653" t="s">
        <v>5506</v>
      </c>
      <c r="D7653" t="str">
        <f>HYPERLINK("http://service.sap.com/sap/support/notes/1829494","1829494")</f>
        <v>1829494</v>
      </c>
      <c r="E7653">
        <v>1</v>
      </c>
      <c r="F7653" t="s">
        <v>7187</v>
      </c>
    </row>
    <row r="7654" spans="1:6" x14ac:dyDescent="0.25">
      <c r="A7654" t="s">
        <v>7132</v>
      </c>
      <c r="B7654" t="s">
        <v>5505</v>
      </c>
      <c r="C7654" t="s">
        <v>5506</v>
      </c>
      <c r="D7654" t="str">
        <f>HYPERLINK("http://service.sap.com/sap/support/notes/1829495","1829495")</f>
        <v>1829495</v>
      </c>
      <c r="E7654">
        <v>1</v>
      </c>
      <c r="F7654" t="s">
        <v>7188</v>
      </c>
    </row>
    <row r="7655" spans="1:6" x14ac:dyDescent="0.25">
      <c r="A7655" t="s">
        <v>7132</v>
      </c>
      <c r="B7655" t="s">
        <v>5505</v>
      </c>
      <c r="C7655" t="s">
        <v>5506</v>
      </c>
      <c r="D7655" t="str">
        <f>HYPERLINK("http://service.sap.com/sap/support/notes/1831239","1831239")</f>
        <v>1831239</v>
      </c>
      <c r="E7655">
        <v>3</v>
      </c>
      <c r="F7655" t="s">
        <v>7189</v>
      </c>
    </row>
    <row r="7656" spans="1:6" x14ac:dyDescent="0.25">
      <c r="A7656" t="s">
        <v>7132</v>
      </c>
      <c r="B7656" t="s">
        <v>5505</v>
      </c>
      <c r="C7656" t="s">
        <v>5506</v>
      </c>
      <c r="D7656" t="str">
        <f>HYPERLINK("http://service.sap.com/sap/support/notes/1831918","1831918")</f>
        <v>1831918</v>
      </c>
      <c r="E7656">
        <v>2</v>
      </c>
      <c r="F7656" t="s">
        <v>7190</v>
      </c>
    </row>
    <row r="7657" spans="1:6" x14ac:dyDescent="0.25">
      <c r="A7657" t="s">
        <v>7132</v>
      </c>
      <c r="B7657" t="s">
        <v>5505</v>
      </c>
      <c r="C7657" t="s">
        <v>5506</v>
      </c>
      <c r="D7657" t="str">
        <f>HYPERLINK("http://service.sap.com/sap/support/notes/1833290","1833290")</f>
        <v>1833290</v>
      </c>
      <c r="E7657">
        <v>1</v>
      </c>
      <c r="F7657" t="s">
        <v>7191</v>
      </c>
    </row>
    <row r="7658" spans="1:6" x14ac:dyDescent="0.25">
      <c r="A7658" t="s">
        <v>7132</v>
      </c>
      <c r="B7658" t="s">
        <v>5505</v>
      </c>
      <c r="C7658" t="s">
        <v>5506</v>
      </c>
      <c r="D7658" t="str">
        <f>HYPERLINK("http://service.sap.com/sap/support/notes/1834098","1834098")</f>
        <v>1834098</v>
      </c>
      <c r="E7658">
        <v>2</v>
      </c>
      <c r="F7658" t="s">
        <v>7192</v>
      </c>
    </row>
    <row r="7659" spans="1:6" x14ac:dyDescent="0.25">
      <c r="A7659" t="s">
        <v>7132</v>
      </c>
      <c r="B7659" t="s">
        <v>5505</v>
      </c>
      <c r="C7659" t="s">
        <v>5506</v>
      </c>
      <c r="D7659" t="str">
        <f>HYPERLINK("http://service.sap.com/sap/support/notes/1834448","1834448")</f>
        <v>1834448</v>
      </c>
      <c r="E7659">
        <v>3</v>
      </c>
      <c r="F7659" t="s">
        <v>7193</v>
      </c>
    </row>
    <row r="7660" spans="1:6" x14ac:dyDescent="0.25">
      <c r="A7660" t="s">
        <v>7132</v>
      </c>
      <c r="B7660" t="s">
        <v>5505</v>
      </c>
      <c r="C7660" t="s">
        <v>5506</v>
      </c>
      <c r="D7660" t="str">
        <f>HYPERLINK("http://service.sap.com/sap/support/notes/1835843","1835843")</f>
        <v>1835843</v>
      </c>
      <c r="E7660">
        <v>2</v>
      </c>
      <c r="F7660" t="s">
        <v>7194</v>
      </c>
    </row>
    <row r="7661" spans="1:6" x14ac:dyDescent="0.25">
      <c r="A7661" t="s">
        <v>7132</v>
      </c>
      <c r="B7661" t="s">
        <v>503</v>
      </c>
      <c r="C7661" t="s">
        <v>504</v>
      </c>
    </row>
    <row r="7662" spans="1:6" x14ac:dyDescent="0.25">
      <c r="A7662" t="s">
        <v>7132</v>
      </c>
      <c r="B7662" t="s">
        <v>507</v>
      </c>
      <c r="C7662" t="s">
        <v>484</v>
      </c>
      <c r="D7662" t="str">
        <f>HYPERLINK("http://service.sap.com/sap/support/notes/1810937","1810937")</f>
        <v>1810937</v>
      </c>
      <c r="E7662">
        <v>1</v>
      </c>
      <c r="F7662" t="s">
        <v>7195</v>
      </c>
    </row>
    <row r="7663" spans="1:6" x14ac:dyDescent="0.25">
      <c r="A7663" t="s">
        <v>7132</v>
      </c>
      <c r="B7663" t="s">
        <v>5514</v>
      </c>
      <c r="C7663" t="s">
        <v>5515</v>
      </c>
      <c r="D7663" t="str">
        <f>HYPERLINK("http://service.sap.com/sap/support/notes/1815586","1815586")</f>
        <v>1815586</v>
      </c>
      <c r="E7663">
        <v>4</v>
      </c>
      <c r="F7663" t="s">
        <v>7196</v>
      </c>
    </row>
    <row r="7664" spans="1:6" x14ac:dyDescent="0.25">
      <c r="A7664" t="s">
        <v>7132</v>
      </c>
      <c r="B7664" t="s">
        <v>5514</v>
      </c>
      <c r="C7664" t="s">
        <v>5515</v>
      </c>
      <c r="D7664" t="str">
        <f>HYPERLINK("http://service.sap.com/sap/support/notes/1816237","1816237")</f>
        <v>1816237</v>
      </c>
      <c r="E7664">
        <v>2</v>
      </c>
      <c r="F7664" t="s">
        <v>7197</v>
      </c>
    </row>
    <row r="7665" spans="1:6" x14ac:dyDescent="0.25">
      <c r="A7665" t="s">
        <v>7132</v>
      </c>
      <c r="B7665" t="s">
        <v>5514</v>
      </c>
      <c r="C7665" t="s">
        <v>5515</v>
      </c>
      <c r="D7665" t="str">
        <f>HYPERLINK("http://service.sap.com/sap/support/notes/1825732","1825732")</f>
        <v>1825732</v>
      </c>
      <c r="E7665">
        <v>2</v>
      </c>
      <c r="F7665" t="s">
        <v>7198</v>
      </c>
    </row>
    <row r="7666" spans="1:6" x14ac:dyDescent="0.25">
      <c r="A7666" t="s">
        <v>7132</v>
      </c>
      <c r="B7666" t="s">
        <v>5514</v>
      </c>
      <c r="C7666" t="s">
        <v>5515</v>
      </c>
      <c r="D7666" t="str">
        <f>HYPERLINK("http://service.sap.com/sap/support/notes/1830423","1830423")</f>
        <v>1830423</v>
      </c>
      <c r="E7666">
        <v>2</v>
      </c>
      <c r="F7666" t="s">
        <v>7199</v>
      </c>
    </row>
    <row r="7667" spans="1:6" x14ac:dyDescent="0.25">
      <c r="A7667" t="s">
        <v>7132</v>
      </c>
      <c r="B7667" t="s">
        <v>5514</v>
      </c>
      <c r="C7667" t="s">
        <v>5515</v>
      </c>
      <c r="D7667" t="str">
        <f>HYPERLINK("http://service.sap.com/sap/support/notes/1830424","1830424")</f>
        <v>1830424</v>
      </c>
      <c r="E7667">
        <v>3</v>
      </c>
      <c r="F7667" t="s">
        <v>7200</v>
      </c>
    </row>
    <row r="7668" spans="1:6" x14ac:dyDescent="0.25">
      <c r="A7668" t="s">
        <v>7132</v>
      </c>
      <c r="B7668" t="s">
        <v>5514</v>
      </c>
      <c r="C7668" t="s">
        <v>5515</v>
      </c>
      <c r="D7668" t="str">
        <f>HYPERLINK("http://service.sap.com/sap/support/notes/1830758","1830758")</f>
        <v>1830758</v>
      </c>
      <c r="E7668">
        <v>2</v>
      </c>
      <c r="F7668" t="s">
        <v>7201</v>
      </c>
    </row>
    <row r="7669" spans="1:6" x14ac:dyDescent="0.25">
      <c r="A7669" t="s">
        <v>7132</v>
      </c>
      <c r="B7669" t="s">
        <v>5514</v>
      </c>
      <c r="C7669" t="s">
        <v>5515</v>
      </c>
      <c r="D7669" t="str">
        <f>HYPERLINK("http://service.sap.com/sap/support/notes/1835085","1835085")</f>
        <v>1835085</v>
      </c>
      <c r="E7669">
        <v>2</v>
      </c>
      <c r="F7669" t="s">
        <v>7202</v>
      </c>
    </row>
    <row r="7670" spans="1:6" x14ac:dyDescent="0.25">
      <c r="A7670" t="s">
        <v>7132</v>
      </c>
      <c r="B7670" t="s">
        <v>5514</v>
      </c>
      <c r="C7670" t="s">
        <v>5515</v>
      </c>
      <c r="D7670" t="str">
        <f>HYPERLINK("http://service.sap.com/sap/support/notes/1835852","1835852")</f>
        <v>1835852</v>
      </c>
      <c r="E7670">
        <v>1</v>
      </c>
      <c r="F7670" t="s">
        <v>7203</v>
      </c>
    </row>
    <row r="7671" spans="1:6" x14ac:dyDescent="0.25">
      <c r="A7671" t="s">
        <v>7132</v>
      </c>
      <c r="B7671" t="s">
        <v>5524</v>
      </c>
      <c r="C7671" t="s">
        <v>5525</v>
      </c>
      <c r="D7671" t="str">
        <f>HYPERLINK("http://service.sap.com/sap/support/notes/1828246","1828246")</f>
        <v>1828246</v>
      </c>
      <c r="E7671">
        <v>1</v>
      </c>
      <c r="F7671" t="s">
        <v>7204</v>
      </c>
    </row>
    <row r="7672" spans="1:6" x14ac:dyDescent="0.25">
      <c r="A7672" t="s">
        <v>7132</v>
      </c>
      <c r="B7672" t="s">
        <v>5532</v>
      </c>
      <c r="C7672" t="s">
        <v>5533</v>
      </c>
      <c r="D7672" t="str">
        <f>HYPERLINK("http://service.sap.com/sap/support/notes/1680389","1680389")</f>
        <v>1680389</v>
      </c>
      <c r="E7672">
        <v>2</v>
      </c>
      <c r="F7672" t="s">
        <v>7205</v>
      </c>
    </row>
    <row r="7673" spans="1:6" x14ac:dyDescent="0.25">
      <c r="A7673" t="s">
        <v>7132</v>
      </c>
      <c r="B7673" t="s">
        <v>5536</v>
      </c>
      <c r="C7673" t="s">
        <v>5537</v>
      </c>
      <c r="D7673" t="str">
        <f>HYPERLINK("http://service.sap.com/sap/support/notes/1815384","1815384")</f>
        <v>1815384</v>
      </c>
      <c r="E7673">
        <v>1</v>
      </c>
      <c r="F7673" t="s">
        <v>7206</v>
      </c>
    </row>
    <row r="7674" spans="1:6" x14ac:dyDescent="0.25">
      <c r="A7674" t="s">
        <v>7132</v>
      </c>
      <c r="B7674" t="s">
        <v>5536</v>
      </c>
      <c r="C7674" t="s">
        <v>5537</v>
      </c>
      <c r="D7674" t="str">
        <f>HYPERLINK("http://service.sap.com/sap/support/notes/1817712","1817712")</f>
        <v>1817712</v>
      </c>
      <c r="E7674">
        <v>2</v>
      </c>
      <c r="F7674" t="s">
        <v>7207</v>
      </c>
    </row>
    <row r="7675" spans="1:6" x14ac:dyDescent="0.25">
      <c r="A7675" t="s">
        <v>7132</v>
      </c>
      <c r="B7675" t="s">
        <v>5539</v>
      </c>
      <c r="C7675" t="s">
        <v>5540</v>
      </c>
    </row>
    <row r="7676" spans="1:6" x14ac:dyDescent="0.25">
      <c r="A7676" t="s">
        <v>7132</v>
      </c>
      <c r="B7676" t="s">
        <v>5541</v>
      </c>
      <c r="C7676" t="s">
        <v>5542</v>
      </c>
      <c r="D7676" t="str">
        <f>HYPERLINK("http://service.sap.com/sap/support/notes/1577099","1577099")</f>
        <v>1577099</v>
      </c>
      <c r="E7676">
        <v>3</v>
      </c>
      <c r="F7676" t="s">
        <v>7208</v>
      </c>
    </row>
    <row r="7677" spans="1:6" x14ac:dyDescent="0.25">
      <c r="A7677" t="s">
        <v>7132</v>
      </c>
      <c r="B7677" t="s">
        <v>5541</v>
      </c>
      <c r="C7677" t="s">
        <v>5542</v>
      </c>
      <c r="D7677" t="str">
        <f>HYPERLINK("http://service.sap.com/sap/support/notes/1777311","1777311")</f>
        <v>1777311</v>
      </c>
      <c r="E7677">
        <v>3</v>
      </c>
      <c r="F7677" t="s">
        <v>7209</v>
      </c>
    </row>
    <row r="7678" spans="1:6" x14ac:dyDescent="0.25">
      <c r="A7678" t="s">
        <v>7132</v>
      </c>
      <c r="B7678" t="s">
        <v>5541</v>
      </c>
      <c r="C7678" t="s">
        <v>5542</v>
      </c>
      <c r="D7678" t="str">
        <f>HYPERLINK("http://service.sap.com/sap/support/notes/1784871","1784871")</f>
        <v>1784871</v>
      </c>
      <c r="E7678">
        <v>3</v>
      </c>
      <c r="F7678" t="s">
        <v>7210</v>
      </c>
    </row>
    <row r="7679" spans="1:6" x14ac:dyDescent="0.25">
      <c r="A7679" t="s">
        <v>7132</v>
      </c>
      <c r="B7679" t="s">
        <v>5541</v>
      </c>
      <c r="C7679" t="s">
        <v>5542</v>
      </c>
      <c r="D7679" t="str">
        <f>HYPERLINK("http://service.sap.com/sap/support/notes/1785037","1785037")</f>
        <v>1785037</v>
      </c>
      <c r="E7679">
        <v>3</v>
      </c>
      <c r="F7679" t="s">
        <v>5983</v>
      </c>
    </row>
    <row r="7680" spans="1:6" x14ac:dyDescent="0.25">
      <c r="A7680" t="s">
        <v>7132</v>
      </c>
      <c r="B7680" t="s">
        <v>5541</v>
      </c>
      <c r="C7680" t="s">
        <v>5542</v>
      </c>
      <c r="D7680" t="str">
        <f>HYPERLINK("http://service.sap.com/sap/support/notes/1795888","1795888")</f>
        <v>1795888</v>
      </c>
      <c r="E7680">
        <v>2</v>
      </c>
      <c r="F7680" t="s">
        <v>7211</v>
      </c>
    </row>
    <row r="7681" spans="1:6" x14ac:dyDescent="0.25">
      <c r="A7681" t="s">
        <v>7132</v>
      </c>
      <c r="B7681" t="s">
        <v>5541</v>
      </c>
      <c r="C7681" t="s">
        <v>5542</v>
      </c>
      <c r="D7681" t="str">
        <f>HYPERLINK("http://service.sap.com/sap/support/notes/1826900","1826900")</f>
        <v>1826900</v>
      </c>
      <c r="E7681">
        <v>1</v>
      </c>
      <c r="F7681" t="s">
        <v>7212</v>
      </c>
    </row>
    <row r="7682" spans="1:6" x14ac:dyDescent="0.25">
      <c r="A7682" t="s">
        <v>7132</v>
      </c>
      <c r="B7682" t="s">
        <v>5541</v>
      </c>
      <c r="C7682" t="s">
        <v>5542</v>
      </c>
      <c r="D7682" t="str">
        <f>HYPERLINK("http://service.sap.com/sap/support/notes/1831827","1831827")</f>
        <v>1831827</v>
      </c>
      <c r="E7682">
        <v>2</v>
      </c>
      <c r="F7682" t="s">
        <v>7213</v>
      </c>
    </row>
    <row r="7683" spans="1:6" x14ac:dyDescent="0.25">
      <c r="A7683" t="s">
        <v>7132</v>
      </c>
      <c r="B7683" t="s">
        <v>5546</v>
      </c>
      <c r="C7683" t="s">
        <v>5547</v>
      </c>
      <c r="D7683" t="str">
        <f>HYPERLINK("http://service.sap.com/sap/support/notes/1832396","1832396")</f>
        <v>1832396</v>
      </c>
      <c r="E7683">
        <v>1</v>
      </c>
      <c r="F7683" t="s">
        <v>7214</v>
      </c>
    </row>
    <row r="7684" spans="1:6" x14ac:dyDescent="0.25">
      <c r="A7684" t="s">
        <v>7132</v>
      </c>
      <c r="B7684" t="s">
        <v>5546</v>
      </c>
      <c r="C7684" t="s">
        <v>5547</v>
      </c>
      <c r="D7684" t="str">
        <f>HYPERLINK("http://service.sap.com/sap/support/notes/1834648","1834648")</f>
        <v>1834648</v>
      </c>
      <c r="E7684">
        <v>1</v>
      </c>
      <c r="F7684" t="s">
        <v>7215</v>
      </c>
    </row>
    <row r="7685" spans="1:6" x14ac:dyDescent="0.25">
      <c r="A7685" t="s">
        <v>7132</v>
      </c>
      <c r="B7685" t="s">
        <v>5546</v>
      </c>
      <c r="C7685" t="s">
        <v>5547</v>
      </c>
      <c r="D7685" t="str">
        <f>HYPERLINK("http://service.sap.com/sap/support/notes/1834757","1834757")</f>
        <v>1834757</v>
      </c>
      <c r="E7685">
        <v>2</v>
      </c>
      <c r="F7685" t="s">
        <v>7216</v>
      </c>
    </row>
    <row r="7686" spans="1:6" x14ac:dyDescent="0.25">
      <c r="A7686" t="s">
        <v>7132</v>
      </c>
      <c r="B7686" t="s">
        <v>5558</v>
      </c>
      <c r="C7686" t="s">
        <v>5559</v>
      </c>
      <c r="D7686" t="str">
        <f>HYPERLINK("http://service.sap.com/sap/support/notes/1797039","1797039")</f>
        <v>1797039</v>
      </c>
      <c r="E7686">
        <v>4</v>
      </c>
      <c r="F7686" t="s">
        <v>7217</v>
      </c>
    </row>
    <row r="7687" spans="1:6" x14ac:dyDescent="0.25">
      <c r="A7687" t="s">
        <v>7132</v>
      </c>
      <c r="B7687" t="s">
        <v>5558</v>
      </c>
      <c r="C7687" t="s">
        <v>5559</v>
      </c>
      <c r="D7687" t="str">
        <f>HYPERLINK("http://service.sap.com/sap/support/notes/1816375","1816375")</f>
        <v>1816375</v>
      </c>
      <c r="E7687">
        <v>4</v>
      </c>
      <c r="F7687" t="s">
        <v>7218</v>
      </c>
    </row>
    <row r="7688" spans="1:6" x14ac:dyDescent="0.25">
      <c r="A7688" t="s">
        <v>7132</v>
      </c>
      <c r="B7688" t="s">
        <v>25</v>
      </c>
      <c r="C7688" t="s">
        <v>26</v>
      </c>
    </row>
    <row r="7689" spans="1:6" x14ac:dyDescent="0.25">
      <c r="A7689" t="s">
        <v>7132</v>
      </c>
      <c r="B7689" t="s">
        <v>519</v>
      </c>
      <c r="C7689" t="s">
        <v>132</v>
      </c>
      <c r="D7689" t="str">
        <f>HYPERLINK("http://service.sap.com/sap/support/notes/1824325","1824325")</f>
        <v>1824325</v>
      </c>
      <c r="E7689">
        <v>1</v>
      </c>
      <c r="F7689" t="s">
        <v>7219</v>
      </c>
    </row>
    <row r="7690" spans="1:6" x14ac:dyDescent="0.25">
      <c r="A7690" t="s">
        <v>7132</v>
      </c>
      <c r="B7690" t="s">
        <v>681</v>
      </c>
      <c r="C7690" t="s">
        <v>320</v>
      </c>
      <c r="D7690" t="str">
        <f>HYPERLINK("http://service.sap.com/sap/support/notes/1834866","1834866")</f>
        <v>1834866</v>
      </c>
      <c r="E7690">
        <v>2</v>
      </c>
      <c r="F7690" t="s">
        <v>7220</v>
      </c>
    </row>
    <row r="7691" spans="1:6" x14ac:dyDescent="0.25">
      <c r="A7691" t="s">
        <v>7132</v>
      </c>
      <c r="B7691" t="s">
        <v>47</v>
      </c>
      <c r="C7691" t="s">
        <v>48</v>
      </c>
      <c r="D7691" t="str">
        <f>HYPERLINK("http://service.sap.com/sap/support/notes/1811933","1811933")</f>
        <v>1811933</v>
      </c>
      <c r="E7691">
        <v>1</v>
      </c>
      <c r="F7691" t="s">
        <v>7221</v>
      </c>
    </row>
    <row r="7692" spans="1:6" x14ac:dyDescent="0.25">
      <c r="A7692" t="s">
        <v>7132</v>
      </c>
      <c r="B7692" t="s">
        <v>51</v>
      </c>
      <c r="C7692" t="s">
        <v>52</v>
      </c>
      <c r="D7692" t="str">
        <f>HYPERLINK("http://service.sap.com/sap/support/notes/1830654","1830654")</f>
        <v>1830654</v>
      </c>
      <c r="E7692">
        <v>3</v>
      </c>
      <c r="F7692" t="s">
        <v>2833</v>
      </c>
    </row>
    <row r="7693" spans="1:6" x14ac:dyDescent="0.25">
      <c r="A7693" t="s">
        <v>7132</v>
      </c>
      <c r="B7693" t="s">
        <v>51</v>
      </c>
      <c r="C7693" t="s">
        <v>52</v>
      </c>
      <c r="D7693" t="str">
        <f>HYPERLINK("http://service.sap.com/sap/support/notes/1835793","1835793")</f>
        <v>1835793</v>
      </c>
      <c r="E7693">
        <v>3</v>
      </c>
      <c r="F7693" t="s">
        <v>2834</v>
      </c>
    </row>
    <row r="7694" spans="1:6" x14ac:dyDescent="0.25">
      <c r="A7694" t="s">
        <v>7132</v>
      </c>
      <c r="B7694" t="s">
        <v>524</v>
      </c>
      <c r="C7694" t="s">
        <v>345</v>
      </c>
      <c r="D7694" t="str">
        <f>HYPERLINK("http://service.sap.com/sap/support/notes/1832270","1832270")</f>
        <v>1832270</v>
      </c>
      <c r="E7694">
        <v>3</v>
      </c>
      <c r="F7694" t="s">
        <v>7222</v>
      </c>
    </row>
    <row r="7695" spans="1:6" x14ac:dyDescent="0.25">
      <c r="A7695" t="s">
        <v>7132</v>
      </c>
      <c r="B7695" t="s">
        <v>525</v>
      </c>
      <c r="C7695" t="s">
        <v>351</v>
      </c>
      <c r="D7695" t="str">
        <f>HYPERLINK("http://service.sap.com/sap/support/notes/1834155","1834155")</f>
        <v>1834155</v>
      </c>
      <c r="E7695">
        <v>1</v>
      </c>
      <c r="F7695" t="s">
        <v>7223</v>
      </c>
    </row>
    <row r="7696" spans="1:6" x14ac:dyDescent="0.25">
      <c r="A7696" t="s">
        <v>7132</v>
      </c>
      <c r="B7696" t="s">
        <v>63</v>
      </c>
      <c r="C7696" t="s">
        <v>64</v>
      </c>
      <c r="D7696" t="str">
        <f>HYPERLINK("http://service.sap.com/sap/support/notes/1821139","1821139")</f>
        <v>1821139</v>
      </c>
      <c r="E7696">
        <v>3</v>
      </c>
      <c r="F7696" t="s">
        <v>2396</v>
      </c>
    </row>
    <row r="7697" spans="1:6" x14ac:dyDescent="0.25">
      <c r="A7697" t="s">
        <v>7132</v>
      </c>
      <c r="B7697" t="s">
        <v>63</v>
      </c>
      <c r="C7697" t="s">
        <v>64</v>
      </c>
      <c r="D7697" t="str">
        <f>HYPERLINK("http://service.sap.com/sap/support/notes/1822761","1822761")</f>
        <v>1822761</v>
      </c>
      <c r="E7697">
        <v>2</v>
      </c>
      <c r="F7697" t="s">
        <v>2839</v>
      </c>
    </row>
    <row r="7698" spans="1:6" x14ac:dyDescent="0.25">
      <c r="A7698" t="s">
        <v>7132</v>
      </c>
      <c r="B7698" t="s">
        <v>63</v>
      </c>
      <c r="C7698" t="s">
        <v>64</v>
      </c>
      <c r="D7698" t="str">
        <f>HYPERLINK("http://service.sap.com/sap/support/notes/1827370","1827370")</f>
        <v>1827370</v>
      </c>
      <c r="E7698">
        <v>2</v>
      </c>
      <c r="F7698" t="s">
        <v>7224</v>
      </c>
    </row>
    <row r="7699" spans="1:6" x14ac:dyDescent="0.25">
      <c r="A7699" t="s">
        <v>7132</v>
      </c>
      <c r="B7699" t="s">
        <v>73</v>
      </c>
      <c r="C7699" t="s">
        <v>74</v>
      </c>
      <c r="D7699" t="str">
        <f>HYPERLINK("http://service.sap.com/sap/support/notes/1831740","1831740")</f>
        <v>1831740</v>
      </c>
      <c r="E7699">
        <v>1</v>
      </c>
      <c r="F7699" t="s">
        <v>7225</v>
      </c>
    </row>
    <row r="7700" spans="1:6" x14ac:dyDescent="0.25">
      <c r="A7700" t="s">
        <v>7132</v>
      </c>
      <c r="B7700" t="s">
        <v>73</v>
      </c>
      <c r="C7700" t="s">
        <v>74</v>
      </c>
      <c r="D7700" t="str">
        <f>HYPERLINK("http://service.sap.com/sap/support/notes/1832946","1832946")</f>
        <v>1832946</v>
      </c>
      <c r="E7700">
        <v>1</v>
      </c>
      <c r="F7700" t="s">
        <v>7226</v>
      </c>
    </row>
    <row r="7701" spans="1:6" x14ac:dyDescent="0.25">
      <c r="A7701" t="s">
        <v>7132</v>
      </c>
      <c r="B7701" t="s">
        <v>5580</v>
      </c>
      <c r="C7701" t="s">
        <v>5581</v>
      </c>
      <c r="D7701" t="str">
        <f>HYPERLINK("http://service.sap.com/sap/support/notes/1554068","1554068")</f>
        <v>1554068</v>
      </c>
      <c r="E7701">
        <v>8</v>
      </c>
      <c r="F7701" t="s">
        <v>7227</v>
      </c>
    </row>
    <row r="7702" spans="1:6" x14ac:dyDescent="0.25">
      <c r="A7702" t="s">
        <v>7132</v>
      </c>
      <c r="B7702" t="s">
        <v>531</v>
      </c>
      <c r="C7702" t="s">
        <v>532</v>
      </c>
      <c r="D7702" t="str">
        <f>HYPERLINK("http://service.sap.com/sap/support/notes/1823372","1823372")</f>
        <v>1823372</v>
      </c>
      <c r="E7702">
        <v>2</v>
      </c>
      <c r="F7702" t="s">
        <v>3342</v>
      </c>
    </row>
    <row r="7703" spans="1:6" x14ac:dyDescent="0.25">
      <c r="A7703" t="s">
        <v>7132</v>
      </c>
      <c r="B7703" t="s">
        <v>531</v>
      </c>
      <c r="C7703" t="s">
        <v>532</v>
      </c>
      <c r="D7703" t="str">
        <f>HYPERLINK("http://service.sap.com/sap/support/notes/1835351","1835351")</f>
        <v>1835351</v>
      </c>
      <c r="E7703">
        <v>1</v>
      </c>
      <c r="F7703" t="s">
        <v>7228</v>
      </c>
    </row>
    <row r="7704" spans="1:6" x14ac:dyDescent="0.25">
      <c r="A7704" t="s">
        <v>7132</v>
      </c>
      <c r="B7704" t="s">
        <v>531</v>
      </c>
      <c r="C7704" t="s">
        <v>532</v>
      </c>
      <c r="D7704" t="str">
        <f>HYPERLINK("http://service.sap.com/sap/support/notes/1835931","1835931")</f>
        <v>1835931</v>
      </c>
      <c r="E7704">
        <v>1</v>
      </c>
      <c r="F7704" t="s">
        <v>7229</v>
      </c>
    </row>
    <row r="7705" spans="1:6" x14ac:dyDescent="0.25">
      <c r="A7705" t="s">
        <v>7132</v>
      </c>
      <c r="B7705" t="s">
        <v>6018</v>
      </c>
      <c r="C7705" t="s">
        <v>6019</v>
      </c>
      <c r="D7705" t="str">
        <f>HYPERLINK("http://service.sap.com/sap/support/notes/1749159","1749159")</f>
        <v>1749159</v>
      </c>
      <c r="E7705">
        <v>1</v>
      </c>
      <c r="F7705" t="s">
        <v>6024</v>
      </c>
    </row>
    <row r="7706" spans="1:6" x14ac:dyDescent="0.25">
      <c r="A7706" t="s">
        <v>7132</v>
      </c>
      <c r="B7706" t="s">
        <v>6018</v>
      </c>
      <c r="C7706" t="s">
        <v>6019</v>
      </c>
      <c r="D7706" t="str">
        <f>HYPERLINK("http://service.sap.com/sap/support/notes/1827011","1827011")</f>
        <v>1827011</v>
      </c>
      <c r="E7706">
        <v>1</v>
      </c>
      <c r="F7706" t="s">
        <v>7230</v>
      </c>
    </row>
    <row r="7707" spans="1:6" x14ac:dyDescent="0.25">
      <c r="A7707" t="s">
        <v>7132</v>
      </c>
      <c r="B7707" t="s">
        <v>6018</v>
      </c>
      <c r="C7707" t="s">
        <v>6019</v>
      </c>
      <c r="D7707" t="str">
        <f>HYPERLINK("http://service.sap.com/sap/support/notes/1827859","1827859")</f>
        <v>1827859</v>
      </c>
      <c r="E7707">
        <v>2</v>
      </c>
      <c r="F7707" t="s">
        <v>7231</v>
      </c>
    </row>
    <row r="7708" spans="1:6" x14ac:dyDescent="0.25">
      <c r="A7708" t="s">
        <v>7132</v>
      </c>
      <c r="B7708" t="s">
        <v>6018</v>
      </c>
      <c r="C7708" t="s">
        <v>6019</v>
      </c>
      <c r="D7708" t="str">
        <f>HYPERLINK("http://service.sap.com/sap/support/notes/1829679","1829679")</f>
        <v>1829679</v>
      </c>
      <c r="E7708">
        <v>1</v>
      </c>
      <c r="F7708" t="s">
        <v>7232</v>
      </c>
    </row>
    <row r="7709" spans="1:6" x14ac:dyDescent="0.25">
      <c r="A7709" t="s">
        <v>7132</v>
      </c>
      <c r="B7709" t="s">
        <v>6018</v>
      </c>
      <c r="C7709" t="s">
        <v>6019</v>
      </c>
      <c r="D7709" t="str">
        <f>HYPERLINK("http://service.sap.com/sap/support/notes/1831465","1831465")</f>
        <v>1831465</v>
      </c>
      <c r="E7709">
        <v>3</v>
      </c>
      <c r="F7709" t="s">
        <v>7233</v>
      </c>
    </row>
    <row r="7710" spans="1:6" x14ac:dyDescent="0.25">
      <c r="A7710" t="s">
        <v>7132</v>
      </c>
      <c r="B7710" t="s">
        <v>6018</v>
      </c>
      <c r="C7710" t="s">
        <v>6019</v>
      </c>
      <c r="D7710" t="str">
        <f>HYPERLINK("http://service.sap.com/sap/support/notes/1832603","1832603")</f>
        <v>1832603</v>
      </c>
      <c r="E7710">
        <v>1</v>
      </c>
      <c r="F7710" t="s">
        <v>7234</v>
      </c>
    </row>
    <row r="7711" spans="1:6" x14ac:dyDescent="0.25">
      <c r="A7711" t="s">
        <v>7132</v>
      </c>
      <c r="B7711" t="s">
        <v>6018</v>
      </c>
      <c r="C7711" t="s">
        <v>6019</v>
      </c>
      <c r="D7711" t="str">
        <f>HYPERLINK("http://service.sap.com/sap/support/notes/1832692","1832692")</f>
        <v>1832692</v>
      </c>
      <c r="E7711">
        <v>1</v>
      </c>
      <c r="F7711" t="s">
        <v>7235</v>
      </c>
    </row>
    <row r="7712" spans="1:6" x14ac:dyDescent="0.25">
      <c r="A7712" t="s">
        <v>7132</v>
      </c>
      <c r="B7712" t="s">
        <v>6018</v>
      </c>
      <c r="C7712" t="s">
        <v>6019</v>
      </c>
      <c r="D7712" t="str">
        <f>HYPERLINK("http://service.sap.com/sap/support/notes/1834305","1834305")</f>
        <v>1834305</v>
      </c>
      <c r="E7712">
        <v>2</v>
      </c>
      <c r="F7712" t="s">
        <v>7236</v>
      </c>
    </row>
    <row r="7713" spans="1:6" x14ac:dyDescent="0.25">
      <c r="A7713" t="s">
        <v>7132</v>
      </c>
      <c r="B7713" t="s">
        <v>536</v>
      </c>
      <c r="C7713" t="s">
        <v>537</v>
      </c>
    </row>
    <row r="7714" spans="1:6" x14ac:dyDescent="0.25">
      <c r="A7714" t="s">
        <v>7132</v>
      </c>
      <c r="B7714" t="s">
        <v>5594</v>
      </c>
      <c r="C7714" t="s">
        <v>5595</v>
      </c>
      <c r="D7714" t="str">
        <f>HYPERLINK("http://service.sap.com/sap/support/notes/1795653","1795653")</f>
        <v>1795653</v>
      </c>
      <c r="E7714">
        <v>2</v>
      </c>
      <c r="F7714" t="s">
        <v>7237</v>
      </c>
    </row>
    <row r="7715" spans="1:6" x14ac:dyDescent="0.25">
      <c r="A7715" t="s">
        <v>7132</v>
      </c>
      <c r="B7715" t="s">
        <v>5594</v>
      </c>
      <c r="C7715" t="s">
        <v>5595</v>
      </c>
      <c r="D7715" t="str">
        <f>HYPERLINK("http://service.sap.com/sap/support/notes/1834682","1834682")</f>
        <v>1834682</v>
      </c>
      <c r="E7715">
        <v>1</v>
      </c>
      <c r="F7715" t="s">
        <v>7238</v>
      </c>
    </row>
    <row r="7716" spans="1:6" x14ac:dyDescent="0.25">
      <c r="A7716" t="s">
        <v>7132</v>
      </c>
      <c r="B7716" t="s">
        <v>5594</v>
      </c>
      <c r="C7716" t="s">
        <v>5595</v>
      </c>
      <c r="D7716" t="str">
        <f>HYPERLINK("http://service.sap.com/sap/support/notes/1834822","1834822")</f>
        <v>1834822</v>
      </c>
      <c r="E7716">
        <v>1</v>
      </c>
      <c r="F7716" t="s">
        <v>7239</v>
      </c>
    </row>
    <row r="7717" spans="1:6" x14ac:dyDescent="0.25">
      <c r="A7717" t="s">
        <v>7132</v>
      </c>
      <c r="B7717" t="s">
        <v>5594</v>
      </c>
      <c r="C7717" t="s">
        <v>5595</v>
      </c>
      <c r="D7717" t="str">
        <f>HYPERLINK("http://service.sap.com/sap/support/notes/1835638","1835638")</f>
        <v>1835638</v>
      </c>
      <c r="E7717">
        <v>1</v>
      </c>
      <c r="F7717" t="s">
        <v>7240</v>
      </c>
    </row>
    <row r="7718" spans="1:6" x14ac:dyDescent="0.25">
      <c r="A7718" t="s">
        <v>7132</v>
      </c>
      <c r="B7718" t="s">
        <v>5594</v>
      </c>
      <c r="C7718" t="s">
        <v>5595</v>
      </c>
      <c r="D7718" t="str">
        <f>HYPERLINK("http://service.sap.com/sap/support/notes/1836485","1836485")</f>
        <v>1836485</v>
      </c>
      <c r="E7718">
        <v>1</v>
      </c>
      <c r="F7718" t="s">
        <v>7241</v>
      </c>
    </row>
    <row r="7719" spans="1:6" x14ac:dyDescent="0.25">
      <c r="A7719" t="s">
        <v>7132</v>
      </c>
      <c r="B7719" t="s">
        <v>5594</v>
      </c>
      <c r="C7719" t="s">
        <v>5595</v>
      </c>
      <c r="D7719" t="str">
        <f>HYPERLINK("http://service.sap.com/sap/support/notes/1836747","1836747")</f>
        <v>1836747</v>
      </c>
      <c r="E7719">
        <v>1</v>
      </c>
      <c r="F7719" t="s">
        <v>7242</v>
      </c>
    </row>
    <row r="7720" spans="1:6" x14ac:dyDescent="0.25">
      <c r="A7720" t="s">
        <v>7132</v>
      </c>
      <c r="B7720" t="s">
        <v>540</v>
      </c>
      <c r="C7720" t="s">
        <v>541</v>
      </c>
    </row>
    <row r="7721" spans="1:6" x14ac:dyDescent="0.25">
      <c r="A7721" t="s">
        <v>7132</v>
      </c>
      <c r="B7721" t="s">
        <v>542</v>
      </c>
      <c r="C7721" t="s">
        <v>5604</v>
      </c>
      <c r="D7721" t="str">
        <f>HYPERLINK("http://service.sap.com/sap/support/notes/1697749","1697749")</f>
        <v>1697749</v>
      </c>
      <c r="E7721">
        <v>35</v>
      </c>
      <c r="F7721" t="s">
        <v>7079</v>
      </c>
    </row>
    <row r="7722" spans="1:6" x14ac:dyDescent="0.25">
      <c r="A7722" t="s">
        <v>7132</v>
      </c>
      <c r="B7722" t="s">
        <v>542</v>
      </c>
      <c r="C7722" t="s">
        <v>5604</v>
      </c>
      <c r="D7722" t="str">
        <f>HYPERLINK("http://service.sap.com/sap/support/notes/1709895","1709895")</f>
        <v>1709895</v>
      </c>
      <c r="E7722">
        <v>4</v>
      </c>
      <c r="F7722" t="s">
        <v>7080</v>
      </c>
    </row>
    <row r="7723" spans="1:6" x14ac:dyDescent="0.25">
      <c r="A7723" t="s">
        <v>7132</v>
      </c>
      <c r="B7723" t="s">
        <v>542</v>
      </c>
      <c r="C7723" t="s">
        <v>5604</v>
      </c>
      <c r="D7723" t="str">
        <f>HYPERLINK("http://service.sap.com/sap/support/notes/1724053","1724053")</f>
        <v>1724053</v>
      </c>
      <c r="E7723">
        <v>3</v>
      </c>
      <c r="F7723" t="s">
        <v>7243</v>
      </c>
    </row>
    <row r="7724" spans="1:6" x14ac:dyDescent="0.25">
      <c r="A7724" t="s">
        <v>7132</v>
      </c>
      <c r="B7724" t="s">
        <v>544</v>
      </c>
      <c r="C7724" t="s">
        <v>5610</v>
      </c>
      <c r="D7724" t="str">
        <f>HYPERLINK("http://service.sap.com/sap/support/notes/1447465","1447465")</f>
        <v>1447465</v>
      </c>
      <c r="E7724">
        <v>17</v>
      </c>
      <c r="F7724" t="s">
        <v>7084</v>
      </c>
    </row>
    <row r="7725" spans="1:6" x14ac:dyDescent="0.25">
      <c r="A7725" t="s">
        <v>7132</v>
      </c>
      <c r="B7725" t="s">
        <v>544</v>
      </c>
      <c r="C7725" t="s">
        <v>5610</v>
      </c>
      <c r="D7725" t="str">
        <f>HYPERLINK("http://service.sap.com/sap/support/notes/1507356","1507356")</f>
        <v>1507356</v>
      </c>
      <c r="E7725">
        <v>7</v>
      </c>
      <c r="F7725" t="s">
        <v>6467</v>
      </c>
    </row>
    <row r="7726" spans="1:6" x14ac:dyDescent="0.25">
      <c r="A7726" t="s">
        <v>7132</v>
      </c>
      <c r="B7726" t="s">
        <v>544</v>
      </c>
      <c r="C7726" t="s">
        <v>5610</v>
      </c>
      <c r="D7726" t="str">
        <f>HYPERLINK("http://service.sap.com/sap/support/notes/1710514","1710514")</f>
        <v>1710514</v>
      </c>
      <c r="E7726">
        <v>14</v>
      </c>
      <c r="F7726" t="s">
        <v>5859</v>
      </c>
    </row>
    <row r="7727" spans="1:6" x14ac:dyDescent="0.25">
      <c r="A7727" t="s">
        <v>7132</v>
      </c>
      <c r="B7727" t="s">
        <v>544</v>
      </c>
      <c r="C7727" t="s">
        <v>5610</v>
      </c>
      <c r="D7727" t="str">
        <f>HYPERLINK("http://service.sap.com/sap/support/notes/1755998","1755998")</f>
        <v>1755998</v>
      </c>
      <c r="E7727">
        <v>9</v>
      </c>
      <c r="F7727" t="s">
        <v>6924</v>
      </c>
    </row>
    <row r="7728" spans="1:6" x14ac:dyDescent="0.25">
      <c r="A7728" t="s">
        <v>7132</v>
      </c>
      <c r="B7728" t="s">
        <v>544</v>
      </c>
      <c r="C7728" t="s">
        <v>5610</v>
      </c>
      <c r="D7728" t="str">
        <f>HYPERLINK("http://service.sap.com/sap/support/notes/1786907","1786907")</f>
        <v>1786907</v>
      </c>
      <c r="E7728">
        <v>4</v>
      </c>
      <c r="F7728" t="s">
        <v>7244</v>
      </c>
    </row>
    <row r="7729" spans="1:6" x14ac:dyDescent="0.25">
      <c r="A7729" t="s">
        <v>7132</v>
      </c>
      <c r="B7729" t="s">
        <v>544</v>
      </c>
      <c r="C7729" t="s">
        <v>5610</v>
      </c>
      <c r="D7729" t="str">
        <f>HYPERLINK("http://service.sap.com/sap/support/notes/1831987","1831987")</f>
        <v>1831987</v>
      </c>
      <c r="E7729">
        <v>3</v>
      </c>
      <c r="F7729" t="s">
        <v>7245</v>
      </c>
    </row>
    <row r="7730" spans="1:6" x14ac:dyDescent="0.25">
      <c r="A7730" t="s">
        <v>7132</v>
      </c>
      <c r="B7730" t="s">
        <v>5615</v>
      </c>
      <c r="C7730" t="s">
        <v>5616</v>
      </c>
      <c r="D7730" t="str">
        <f>HYPERLINK("http://service.sap.com/sap/support/notes/1815906","1815906")</f>
        <v>1815906</v>
      </c>
      <c r="E7730">
        <v>1</v>
      </c>
      <c r="F7730" t="s">
        <v>7246</v>
      </c>
    </row>
    <row r="7731" spans="1:6" x14ac:dyDescent="0.25">
      <c r="A7731" t="s">
        <v>7132</v>
      </c>
      <c r="B7731" t="s">
        <v>5615</v>
      </c>
      <c r="C7731" t="s">
        <v>5616</v>
      </c>
      <c r="D7731" t="str">
        <f>HYPERLINK("http://service.sap.com/sap/support/notes/1826456","1826456")</f>
        <v>1826456</v>
      </c>
      <c r="E7731">
        <v>1</v>
      </c>
      <c r="F7731" t="s">
        <v>7247</v>
      </c>
    </row>
    <row r="7732" spans="1:6" x14ac:dyDescent="0.25">
      <c r="A7732" t="s">
        <v>7132</v>
      </c>
      <c r="B7732" t="s">
        <v>5615</v>
      </c>
      <c r="C7732" t="s">
        <v>5616</v>
      </c>
      <c r="D7732" t="str">
        <f>HYPERLINK("http://service.sap.com/sap/support/notes/1828325","1828325")</f>
        <v>1828325</v>
      </c>
      <c r="E7732">
        <v>2</v>
      </c>
      <c r="F7732" t="s">
        <v>7248</v>
      </c>
    </row>
    <row r="7733" spans="1:6" x14ac:dyDescent="0.25">
      <c r="A7733" t="s">
        <v>7132</v>
      </c>
      <c r="B7733" t="s">
        <v>5615</v>
      </c>
      <c r="C7733" t="s">
        <v>5616</v>
      </c>
      <c r="D7733" t="str">
        <f>HYPERLINK("http://service.sap.com/sap/support/notes/1828705","1828705")</f>
        <v>1828705</v>
      </c>
      <c r="E7733">
        <v>1</v>
      </c>
      <c r="F7733" t="s">
        <v>7249</v>
      </c>
    </row>
    <row r="7734" spans="1:6" x14ac:dyDescent="0.25">
      <c r="A7734" t="s">
        <v>7132</v>
      </c>
      <c r="B7734" t="s">
        <v>5615</v>
      </c>
      <c r="C7734" t="s">
        <v>5616</v>
      </c>
      <c r="D7734" t="str">
        <f>HYPERLINK("http://service.sap.com/sap/support/notes/1828965","1828965")</f>
        <v>1828965</v>
      </c>
      <c r="E7734">
        <v>4</v>
      </c>
      <c r="F7734" t="s">
        <v>7250</v>
      </c>
    </row>
    <row r="7735" spans="1:6" x14ac:dyDescent="0.25">
      <c r="A7735" t="s">
        <v>7132</v>
      </c>
      <c r="B7735" t="s">
        <v>5615</v>
      </c>
      <c r="C7735" t="s">
        <v>5616</v>
      </c>
      <c r="D7735" t="str">
        <f>HYPERLINK("http://service.sap.com/sap/support/notes/1832723","1832723")</f>
        <v>1832723</v>
      </c>
      <c r="E7735">
        <v>1</v>
      </c>
      <c r="F7735" t="s">
        <v>7251</v>
      </c>
    </row>
    <row r="7736" spans="1:6" x14ac:dyDescent="0.25">
      <c r="A7736" t="s">
        <v>7132</v>
      </c>
      <c r="B7736" t="s">
        <v>5615</v>
      </c>
      <c r="C7736" t="s">
        <v>5616</v>
      </c>
      <c r="D7736" t="str">
        <f>HYPERLINK("http://service.sap.com/sap/support/notes/1832751","1832751")</f>
        <v>1832751</v>
      </c>
      <c r="E7736">
        <v>1</v>
      </c>
      <c r="F7736" t="s">
        <v>7252</v>
      </c>
    </row>
    <row r="7737" spans="1:6" x14ac:dyDescent="0.25">
      <c r="A7737" t="s">
        <v>7132</v>
      </c>
      <c r="B7737" t="s">
        <v>5615</v>
      </c>
      <c r="C7737" t="s">
        <v>5616</v>
      </c>
      <c r="D7737" t="str">
        <f>HYPERLINK("http://service.sap.com/sap/support/notes/1834219","1834219")</f>
        <v>1834219</v>
      </c>
      <c r="E7737">
        <v>1</v>
      </c>
      <c r="F7737" t="s">
        <v>7253</v>
      </c>
    </row>
    <row r="7738" spans="1:6" x14ac:dyDescent="0.25">
      <c r="A7738" t="s">
        <v>7132</v>
      </c>
      <c r="B7738" t="s">
        <v>85</v>
      </c>
      <c r="C7738" t="s">
        <v>86</v>
      </c>
    </row>
    <row r="7739" spans="1:6" x14ac:dyDescent="0.25">
      <c r="A7739" t="s">
        <v>7132</v>
      </c>
      <c r="B7739" t="s">
        <v>696</v>
      </c>
      <c r="C7739" t="s">
        <v>697</v>
      </c>
    </row>
    <row r="7740" spans="1:6" x14ac:dyDescent="0.25">
      <c r="A7740" t="s">
        <v>7132</v>
      </c>
      <c r="B7740" t="s">
        <v>3380</v>
      </c>
      <c r="C7740" t="s">
        <v>3381</v>
      </c>
      <c r="D7740" t="str">
        <f>HYPERLINK("http://service.sap.com/sap/support/notes/1767779","1767779")</f>
        <v>1767779</v>
      </c>
      <c r="E7740">
        <v>1</v>
      </c>
      <c r="F7740" t="s">
        <v>7254</v>
      </c>
    </row>
    <row r="7741" spans="1:6" x14ac:dyDescent="0.25">
      <c r="A7741" t="s">
        <v>7132</v>
      </c>
      <c r="B7741" t="s">
        <v>3380</v>
      </c>
      <c r="C7741" t="s">
        <v>3381</v>
      </c>
      <c r="D7741" t="str">
        <f>HYPERLINK("http://service.sap.com/sap/support/notes/1824514","1824514")</f>
        <v>1824514</v>
      </c>
      <c r="E7741">
        <v>2</v>
      </c>
      <c r="F7741" t="s">
        <v>7255</v>
      </c>
    </row>
    <row r="7742" spans="1:6" x14ac:dyDescent="0.25">
      <c r="A7742" t="s">
        <v>7132</v>
      </c>
      <c r="B7742" t="s">
        <v>698</v>
      </c>
      <c r="C7742" t="s">
        <v>699</v>
      </c>
      <c r="D7742" t="str">
        <f>HYPERLINK("http://service.sap.com/sap/support/notes/1794852","1794852")</f>
        <v>1794852</v>
      </c>
      <c r="E7742">
        <v>2</v>
      </c>
      <c r="F7742" t="s">
        <v>7256</v>
      </c>
    </row>
    <row r="7743" spans="1:6" x14ac:dyDescent="0.25">
      <c r="A7743" t="s">
        <v>7132</v>
      </c>
      <c r="B7743" t="s">
        <v>698</v>
      </c>
      <c r="C7743" t="s">
        <v>699</v>
      </c>
      <c r="D7743" t="str">
        <f>HYPERLINK("http://service.sap.com/sap/support/notes/1801181","1801181")</f>
        <v>1801181</v>
      </c>
      <c r="E7743">
        <v>2</v>
      </c>
      <c r="F7743" t="s">
        <v>7257</v>
      </c>
    </row>
    <row r="7744" spans="1:6" x14ac:dyDescent="0.25">
      <c r="A7744" t="s">
        <v>7132</v>
      </c>
      <c r="B7744" t="s">
        <v>698</v>
      </c>
      <c r="C7744" t="s">
        <v>699</v>
      </c>
      <c r="D7744" t="str">
        <f>HYPERLINK("http://service.sap.com/sap/support/notes/1806593","1806593")</f>
        <v>1806593</v>
      </c>
      <c r="E7744">
        <v>1</v>
      </c>
      <c r="F7744" t="s">
        <v>7258</v>
      </c>
    </row>
    <row r="7745" spans="1:6" x14ac:dyDescent="0.25">
      <c r="A7745" t="s">
        <v>7132</v>
      </c>
      <c r="B7745" t="s">
        <v>698</v>
      </c>
      <c r="C7745" t="s">
        <v>699</v>
      </c>
      <c r="D7745" t="str">
        <f>HYPERLINK("http://service.sap.com/sap/support/notes/1811283","1811283")</f>
        <v>1811283</v>
      </c>
      <c r="E7745">
        <v>1</v>
      </c>
      <c r="F7745" t="s">
        <v>7259</v>
      </c>
    </row>
    <row r="7746" spans="1:6" x14ac:dyDescent="0.25">
      <c r="A7746" t="s">
        <v>7132</v>
      </c>
      <c r="B7746" t="s">
        <v>698</v>
      </c>
      <c r="C7746" t="s">
        <v>699</v>
      </c>
      <c r="D7746" t="str">
        <f>HYPERLINK("http://service.sap.com/sap/support/notes/1822152","1822152")</f>
        <v>1822152</v>
      </c>
      <c r="E7746">
        <v>2</v>
      </c>
      <c r="F7746" t="s">
        <v>7260</v>
      </c>
    </row>
    <row r="7747" spans="1:6" x14ac:dyDescent="0.25">
      <c r="A7747" t="s">
        <v>7132</v>
      </c>
      <c r="B7747" t="s">
        <v>698</v>
      </c>
      <c r="C7747" t="s">
        <v>699</v>
      </c>
      <c r="D7747" t="str">
        <f>HYPERLINK("http://service.sap.com/sap/support/notes/1823781","1823781")</f>
        <v>1823781</v>
      </c>
      <c r="E7747">
        <v>1</v>
      </c>
      <c r="F7747" t="s">
        <v>3913</v>
      </c>
    </row>
    <row r="7748" spans="1:6" x14ac:dyDescent="0.25">
      <c r="A7748" t="s">
        <v>7132</v>
      </c>
      <c r="B7748" t="s">
        <v>698</v>
      </c>
      <c r="C7748" t="s">
        <v>699</v>
      </c>
      <c r="D7748" t="str">
        <f>HYPERLINK("http://service.sap.com/sap/support/notes/1831012","1831012")</f>
        <v>1831012</v>
      </c>
      <c r="E7748">
        <v>1</v>
      </c>
      <c r="F7748" t="s">
        <v>7261</v>
      </c>
    </row>
    <row r="7749" spans="1:6" x14ac:dyDescent="0.25">
      <c r="A7749" t="s">
        <v>7132</v>
      </c>
      <c r="B7749" t="s">
        <v>698</v>
      </c>
      <c r="C7749" t="s">
        <v>699</v>
      </c>
      <c r="D7749" t="str">
        <f>HYPERLINK("http://service.sap.com/sap/support/notes/1833612","1833612")</f>
        <v>1833612</v>
      </c>
      <c r="E7749">
        <v>1</v>
      </c>
      <c r="F7749" t="s">
        <v>7262</v>
      </c>
    </row>
    <row r="7750" spans="1:6" x14ac:dyDescent="0.25">
      <c r="A7750" t="s">
        <v>7132</v>
      </c>
      <c r="B7750" t="s">
        <v>700</v>
      </c>
      <c r="C7750" t="s">
        <v>662</v>
      </c>
      <c r="D7750" t="str">
        <f>HYPERLINK("http://service.sap.com/sap/support/notes/1821490","1821490")</f>
        <v>1821490</v>
      </c>
      <c r="E7750">
        <v>2</v>
      </c>
      <c r="F7750" t="s">
        <v>7263</v>
      </c>
    </row>
    <row r="7751" spans="1:6" x14ac:dyDescent="0.25">
      <c r="A7751" t="s">
        <v>7132</v>
      </c>
      <c r="B7751" t="s">
        <v>90</v>
      </c>
      <c r="C7751" t="s">
        <v>13</v>
      </c>
    </row>
    <row r="7752" spans="1:6" x14ac:dyDescent="0.25">
      <c r="A7752" t="s">
        <v>7132</v>
      </c>
      <c r="B7752" t="s">
        <v>6308</v>
      </c>
      <c r="C7752" t="s">
        <v>6309</v>
      </c>
      <c r="D7752" t="str">
        <f>HYPERLINK("http://service.sap.com/sap/support/notes/1833812","1833812")</f>
        <v>1833812</v>
      </c>
      <c r="E7752">
        <v>1</v>
      </c>
      <c r="F7752" t="s">
        <v>7264</v>
      </c>
    </row>
    <row r="7753" spans="1:6" x14ac:dyDescent="0.25">
      <c r="A7753" t="s">
        <v>7132</v>
      </c>
      <c r="B7753" t="s">
        <v>555</v>
      </c>
      <c r="C7753" t="s">
        <v>556</v>
      </c>
      <c r="D7753" t="str">
        <f>HYPERLINK("http://service.sap.com/sap/support/notes/1832294","1832294")</f>
        <v>1832294</v>
      </c>
      <c r="E7753">
        <v>1</v>
      </c>
      <c r="F7753" t="s">
        <v>7265</v>
      </c>
    </row>
    <row r="7754" spans="1:6" x14ac:dyDescent="0.25">
      <c r="A7754" t="s">
        <v>7132</v>
      </c>
      <c r="B7754" t="s">
        <v>557</v>
      </c>
      <c r="C7754" t="s">
        <v>646</v>
      </c>
    </row>
    <row r="7755" spans="1:6" x14ac:dyDescent="0.25">
      <c r="A7755" t="s">
        <v>7132</v>
      </c>
      <c r="B7755" t="s">
        <v>563</v>
      </c>
      <c r="C7755" t="s">
        <v>564</v>
      </c>
    </row>
    <row r="7756" spans="1:6" x14ac:dyDescent="0.25">
      <c r="A7756" t="s">
        <v>7132</v>
      </c>
      <c r="B7756" t="s">
        <v>565</v>
      </c>
      <c r="C7756" t="s">
        <v>6087</v>
      </c>
      <c r="D7756" t="str">
        <f>HYPERLINK("http://service.sap.com/sap/support/notes/1820746","1820746")</f>
        <v>1820746</v>
      </c>
      <c r="E7756">
        <v>1</v>
      </c>
      <c r="F7756" t="s">
        <v>7266</v>
      </c>
    </row>
    <row r="7757" spans="1:6" x14ac:dyDescent="0.25">
      <c r="A7757" t="s">
        <v>7132</v>
      </c>
      <c r="B7757" t="s">
        <v>565</v>
      </c>
      <c r="C7757" t="s">
        <v>6087</v>
      </c>
      <c r="D7757" t="str">
        <f>HYPERLINK("http://service.sap.com/sap/support/notes/1830910","1830910")</f>
        <v>1830910</v>
      </c>
      <c r="E7757">
        <v>1</v>
      </c>
      <c r="F7757" t="s">
        <v>7267</v>
      </c>
    </row>
    <row r="7758" spans="1:6" x14ac:dyDescent="0.25">
      <c r="A7758" t="s">
        <v>7132</v>
      </c>
      <c r="B7758" t="s">
        <v>647</v>
      </c>
      <c r="C7758" t="s">
        <v>648</v>
      </c>
      <c r="D7758" t="str">
        <f>HYPERLINK("http://service.sap.com/sap/support/notes/1703002","1703002")</f>
        <v>1703002</v>
      </c>
      <c r="E7758">
        <v>2</v>
      </c>
      <c r="F7758" t="s">
        <v>7268</v>
      </c>
    </row>
    <row r="7759" spans="1:6" x14ac:dyDescent="0.25">
      <c r="A7759" t="s">
        <v>7132</v>
      </c>
      <c r="B7759" t="s">
        <v>647</v>
      </c>
      <c r="C7759" t="s">
        <v>648</v>
      </c>
      <c r="D7759" t="str">
        <f>HYPERLINK("http://service.sap.com/sap/support/notes/1703265","1703265")</f>
        <v>1703265</v>
      </c>
      <c r="E7759">
        <v>2</v>
      </c>
      <c r="F7759" t="s">
        <v>7269</v>
      </c>
    </row>
    <row r="7760" spans="1:6" x14ac:dyDescent="0.25">
      <c r="A7760" t="s">
        <v>7132</v>
      </c>
      <c r="B7760" t="s">
        <v>647</v>
      </c>
      <c r="C7760" t="s">
        <v>648</v>
      </c>
      <c r="D7760" t="str">
        <f>HYPERLINK("http://service.sap.com/sap/support/notes/1811566","1811566")</f>
        <v>1811566</v>
      </c>
      <c r="E7760">
        <v>7</v>
      </c>
      <c r="F7760" t="s">
        <v>7270</v>
      </c>
    </row>
    <row r="7761" spans="1:6" x14ac:dyDescent="0.25">
      <c r="A7761" t="s">
        <v>7132</v>
      </c>
      <c r="B7761" t="s">
        <v>647</v>
      </c>
      <c r="C7761" t="s">
        <v>648</v>
      </c>
      <c r="D7761" t="str">
        <f>HYPERLINK("http://service.sap.com/sap/support/notes/1811969","1811969")</f>
        <v>1811969</v>
      </c>
      <c r="F7761" t="s">
        <v>7271</v>
      </c>
    </row>
    <row r="7762" spans="1:6" x14ac:dyDescent="0.25">
      <c r="A7762" t="s">
        <v>7132</v>
      </c>
      <c r="B7762" t="s">
        <v>647</v>
      </c>
      <c r="C7762" t="s">
        <v>648</v>
      </c>
      <c r="D7762" t="str">
        <f>HYPERLINK("http://service.sap.com/sap/support/notes/1813353","1813353")</f>
        <v>1813353</v>
      </c>
      <c r="F7762" t="s">
        <v>7272</v>
      </c>
    </row>
    <row r="7763" spans="1:6" x14ac:dyDescent="0.25">
      <c r="A7763" t="s">
        <v>7132</v>
      </c>
      <c r="B7763" t="s">
        <v>647</v>
      </c>
      <c r="C7763" t="s">
        <v>648</v>
      </c>
      <c r="D7763" t="str">
        <f>HYPERLINK("http://service.sap.com/sap/support/notes/1815060","1815060")</f>
        <v>1815060</v>
      </c>
      <c r="F7763" t="s">
        <v>7273</v>
      </c>
    </row>
    <row r="7764" spans="1:6" x14ac:dyDescent="0.25">
      <c r="A7764" t="s">
        <v>7132</v>
      </c>
      <c r="B7764" t="s">
        <v>647</v>
      </c>
      <c r="C7764" t="s">
        <v>648</v>
      </c>
      <c r="D7764" t="str">
        <f>HYPERLINK("http://service.sap.com/sap/support/notes/1819864","1819864")</f>
        <v>1819864</v>
      </c>
      <c r="F7764" t="s">
        <v>7274</v>
      </c>
    </row>
    <row r="7765" spans="1:6" x14ac:dyDescent="0.25">
      <c r="A7765" t="s">
        <v>7132</v>
      </c>
      <c r="B7765" t="s">
        <v>647</v>
      </c>
      <c r="C7765" t="s">
        <v>648</v>
      </c>
      <c r="D7765" t="str">
        <f>HYPERLINK("http://service.sap.com/sap/support/notes/1824964","1824964")</f>
        <v>1824964</v>
      </c>
      <c r="F7765" t="s">
        <v>7275</v>
      </c>
    </row>
    <row r="7766" spans="1:6" x14ac:dyDescent="0.25">
      <c r="A7766" t="s">
        <v>7132</v>
      </c>
      <c r="B7766" t="s">
        <v>647</v>
      </c>
      <c r="C7766" t="s">
        <v>648</v>
      </c>
      <c r="D7766" t="str">
        <f>HYPERLINK("http://service.sap.com/sap/support/notes/1824997","1824997")</f>
        <v>1824997</v>
      </c>
      <c r="E7766">
        <v>1</v>
      </c>
      <c r="F7766" t="s">
        <v>7276</v>
      </c>
    </row>
    <row r="7767" spans="1:6" x14ac:dyDescent="0.25">
      <c r="A7767" t="s">
        <v>7132</v>
      </c>
      <c r="B7767" t="s">
        <v>647</v>
      </c>
      <c r="C7767" t="s">
        <v>648</v>
      </c>
      <c r="D7767" t="str">
        <f>HYPERLINK("http://service.sap.com/sap/support/notes/1826101","1826101")</f>
        <v>1826101</v>
      </c>
      <c r="E7767">
        <v>4</v>
      </c>
      <c r="F7767" t="s">
        <v>7277</v>
      </c>
    </row>
    <row r="7768" spans="1:6" x14ac:dyDescent="0.25">
      <c r="A7768" t="s">
        <v>7132</v>
      </c>
      <c r="B7768" t="s">
        <v>647</v>
      </c>
      <c r="C7768" t="s">
        <v>648</v>
      </c>
      <c r="D7768" t="str">
        <f>HYPERLINK("http://service.sap.com/sap/support/notes/1828953","1828953")</f>
        <v>1828953</v>
      </c>
      <c r="E7768">
        <v>2</v>
      </c>
      <c r="F7768" t="s">
        <v>7278</v>
      </c>
    </row>
    <row r="7769" spans="1:6" x14ac:dyDescent="0.25">
      <c r="A7769" t="s">
        <v>7132</v>
      </c>
      <c r="B7769" t="s">
        <v>647</v>
      </c>
      <c r="C7769" t="s">
        <v>648</v>
      </c>
      <c r="D7769" t="str">
        <f>HYPERLINK("http://service.sap.com/sap/support/notes/1833873","1833873")</f>
        <v>1833873</v>
      </c>
      <c r="E7769">
        <v>1</v>
      </c>
      <c r="F7769" t="s">
        <v>7279</v>
      </c>
    </row>
    <row r="7770" spans="1:6" x14ac:dyDescent="0.25">
      <c r="A7770" t="s">
        <v>7132</v>
      </c>
      <c r="B7770" t="s">
        <v>647</v>
      </c>
      <c r="C7770" t="s">
        <v>648</v>
      </c>
      <c r="D7770" t="str">
        <f>HYPERLINK("http://service.sap.com/sap/support/notes/1834990","1834990")</f>
        <v>1834990</v>
      </c>
      <c r="E7770">
        <v>1</v>
      </c>
      <c r="F7770" t="s">
        <v>7280</v>
      </c>
    </row>
    <row r="7771" spans="1:6" x14ac:dyDescent="0.25">
      <c r="A7771" t="s">
        <v>7132</v>
      </c>
      <c r="B7771" t="s">
        <v>95</v>
      </c>
      <c r="C7771" t="s">
        <v>96</v>
      </c>
    </row>
    <row r="7772" spans="1:6" x14ac:dyDescent="0.25">
      <c r="A7772" t="s">
        <v>7132</v>
      </c>
      <c r="B7772" t="s">
        <v>97</v>
      </c>
      <c r="C7772" t="s">
        <v>98</v>
      </c>
      <c r="D7772" t="str">
        <f>HYPERLINK("http://service.sap.com/sap/support/notes/1837365","1837365")</f>
        <v>1837365</v>
      </c>
      <c r="E7772">
        <v>1</v>
      </c>
      <c r="F7772" t="s">
        <v>7281</v>
      </c>
    </row>
    <row r="7773" spans="1:6" x14ac:dyDescent="0.25">
      <c r="A7773" t="s">
        <v>7132</v>
      </c>
      <c r="B7773" t="s">
        <v>114</v>
      </c>
      <c r="C7773" t="s">
        <v>115</v>
      </c>
      <c r="D7773" t="str">
        <f>HYPERLINK("http://service.sap.com/sap/support/notes/1752666","1752666")</f>
        <v>1752666</v>
      </c>
      <c r="E7773">
        <v>3</v>
      </c>
      <c r="F7773" t="s">
        <v>2863</v>
      </c>
    </row>
    <row r="7774" spans="1:6" x14ac:dyDescent="0.25">
      <c r="A7774" t="s">
        <v>7132</v>
      </c>
      <c r="B7774" t="s">
        <v>114</v>
      </c>
      <c r="C7774" t="s">
        <v>115</v>
      </c>
      <c r="D7774" t="str">
        <f>HYPERLINK("http://service.sap.com/sap/support/notes/1829965","1829965")</f>
        <v>1829965</v>
      </c>
      <c r="E7774">
        <v>2</v>
      </c>
      <c r="F7774" t="s">
        <v>2866</v>
      </c>
    </row>
    <row r="7775" spans="1:6" x14ac:dyDescent="0.25">
      <c r="A7775" t="s">
        <v>7132</v>
      </c>
      <c r="B7775" t="s">
        <v>114</v>
      </c>
      <c r="C7775" t="s">
        <v>115</v>
      </c>
      <c r="D7775" t="str">
        <f>HYPERLINK("http://service.sap.com/sap/support/notes/1834199","1834199")</f>
        <v>1834199</v>
      </c>
      <c r="E7775">
        <v>1</v>
      </c>
      <c r="F7775" t="s">
        <v>2869</v>
      </c>
    </row>
    <row r="7776" spans="1:6" x14ac:dyDescent="0.25">
      <c r="A7776" t="s">
        <v>7132</v>
      </c>
      <c r="B7776" t="s">
        <v>114</v>
      </c>
      <c r="C7776" t="s">
        <v>115</v>
      </c>
      <c r="D7776" t="str">
        <f>HYPERLINK("http://service.sap.com/sap/support/notes/1834672","1834672")</f>
        <v>1834672</v>
      </c>
      <c r="E7776">
        <v>1</v>
      </c>
      <c r="F7776" t="s">
        <v>2872</v>
      </c>
    </row>
    <row r="7777" spans="1:6" x14ac:dyDescent="0.25">
      <c r="A7777" t="s">
        <v>7132</v>
      </c>
      <c r="B7777" t="s">
        <v>114</v>
      </c>
      <c r="C7777" t="s">
        <v>115</v>
      </c>
      <c r="D7777" t="str">
        <f>HYPERLINK("http://service.sap.com/sap/support/notes/1835352","1835352")</f>
        <v>1835352</v>
      </c>
      <c r="E7777">
        <v>1</v>
      </c>
      <c r="F7777" t="s">
        <v>2873</v>
      </c>
    </row>
    <row r="7778" spans="1:6" x14ac:dyDescent="0.25">
      <c r="A7778" t="s">
        <v>7132</v>
      </c>
      <c r="B7778" t="s">
        <v>685</v>
      </c>
      <c r="C7778" t="s">
        <v>686</v>
      </c>
      <c r="D7778" t="str">
        <f>HYPERLINK("http://service.sap.com/sap/support/notes/1712257","1712257")</f>
        <v>1712257</v>
      </c>
      <c r="E7778">
        <v>2</v>
      </c>
      <c r="F7778" t="s">
        <v>7282</v>
      </c>
    </row>
    <row r="7779" spans="1:6" x14ac:dyDescent="0.25">
      <c r="A7779" t="s">
        <v>7132</v>
      </c>
      <c r="B7779" t="s">
        <v>685</v>
      </c>
      <c r="C7779" t="s">
        <v>686</v>
      </c>
      <c r="D7779" t="str">
        <f>HYPERLINK("http://service.sap.com/sap/support/notes/1824961","1824961")</f>
        <v>1824961</v>
      </c>
      <c r="E7779">
        <v>1</v>
      </c>
      <c r="F7779" t="s">
        <v>7283</v>
      </c>
    </row>
    <row r="7780" spans="1:6" x14ac:dyDescent="0.25">
      <c r="A7780" t="s">
        <v>7132</v>
      </c>
      <c r="B7780" t="s">
        <v>685</v>
      </c>
      <c r="C7780" t="s">
        <v>686</v>
      </c>
      <c r="D7780" t="str">
        <f>HYPERLINK("http://service.sap.com/sap/support/notes/1825588","1825588")</f>
        <v>1825588</v>
      </c>
      <c r="E7780">
        <v>1</v>
      </c>
      <c r="F7780" t="s">
        <v>7284</v>
      </c>
    </row>
    <row r="7781" spans="1:6" x14ac:dyDescent="0.25">
      <c r="A7781" t="s">
        <v>7132</v>
      </c>
      <c r="B7781" t="s">
        <v>685</v>
      </c>
      <c r="C7781" t="s">
        <v>686</v>
      </c>
      <c r="D7781" t="str">
        <f>HYPERLINK("http://service.sap.com/sap/support/notes/1826299","1826299")</f>
        <v>1826299</v>
      </c>
      <c r="E7781">
        <v>1</v>
      </c>
      <c r="F7781" t="s">
        <v>7285</v>
      </c>
    </row>
    <row r="7782" spans="1:6" x14ac:dyDescent="0.25">
      <c r="A7782" t="s">
        <v>7132</v>
      </c>
      <c r="B7782" t="s">
        <v>685</v>
      </c>
      <c r="C7782" t="s">
        <v>686</v>
      </c>
      <c r="D7782" t="str">
        <f>HYPERLINK("http://service.sap.com/sap/support/notes/1833000","1833000")</f>
        <v>1833000</v>
      </c>
      <c r="E7782">
        <v>1</v>
      </c>
      <c r="F7782" t="s">
        <v>7286</v>
      </c>
    </row>
    <row r="7783" spans="1:6" x14ac:dyDescent="0.25">
      <c r="A7783" t="s">
        <v>7132</v>
      </c>
      <c r="B7783" t="s">
        <v>127</v>
      </c>
      <c r="C7783" t="s">
        <v>128</v>
      </c>
    </row>
    <row r="7784" spans="1:6" x14ac:dyDescent="0.25">
      <c r="A7784" t="s">
        <v>7132</v>
      </c>
      <c r="B7784" t="s">
        <v>4426</v>
      </c>
      <c r="C7784" t="s">
        <v>4427</v>
      </c>
      <c r="D7784" t="str">
        <f>HYPERLINK("http://service.sap.com/sap/support/notes/1821302","1821302")</f>
        <v>1821302</v>
      </c>
      <c r="E7784">
        <v>2</v>
      </c>
      <c r="F7784" t="s">
        <v>7287</v>
      </c>
    </row>
    <row r="7785" spans="1:6" x14ac:dyDescent="0.25">
      <c r="A7785" t="s">
        <v>7132</v>
      </c>
      <c r="B7785" t="s">
        <v>150</v>
      </c>
      <c r="C7785" t="s">
        <v>151</v>
      </c>
      <c r="D7785" t="str">
        <f>HYPERLINK("http://service.sap.com/sap/support/notes/1834695","1834695")</f>
        <v>1834695</v>
      </c>
      <c r="E7785">
        <v>1</v>
      </c>
      <c r="F7785" t="s">
        <v>7288</v>
      </c>
    </row>
    <row r="7786" spans="1:6" x14ac:dyDescent="0.25">
      <c r="A7786" t="s">
        <v>7132</v>
      </c>
      <c r="B7786" t="s">
        <v>688</v>
      </c>
      <c r="C7786" t="s">
        <v>689</v>
      </c>
      <c r="D7786" t="str">
        <f>HYPERLINK("http://service.sap.com/sap/support/notes/1819993","1819993")</f>
        <v>1819993</v>
      </c>
      <c r="E7786">
        <v>1</v>
      </c>
      <c r="F7786" t="s">
        <v>7289</v>
      </c>
    </row>
    <row r="7787" spans="1:6" x14ac:dyDescent="0.25">
      <c r="A7787" t="s">
        <v>7132</v>
      </c>
      <c r="B7787" t="s">
        <v>159</v>
      </c>
      <c r="C7787" t="s">
        <v>160</v>
      </c>
      <c r="D7787" t="str">
        <f>HYPERLINK("http://service.sap.com/sap/support/notes/1800547","1800547")</f>
        <v>1800547</v>
      </c>
      <c r="E7787">
        <v>2</v>
      </c>
      <c r="F7787" t="s">
        <v>7290</v>
      </c>
    </row>
    <row r="7788" spans="1:6" x14ac:dyDescent="0.25">
      <c r="A7788" t="s">
        <v>7132</v>
      </c>
      <c r="B7788" t="s">
        <v>229</v>
      </c>
      <c r="C7788" t="s">
        <v>230</v>
      </c>
      <c r="D7788" t="str">
        <f>HYPERLINK("http://service.sap.com/sap/support/notes/1765713","1765713")</f>
        <v>1765713</v>
      </c>
      <c r="E7788">
        <v>3</v>
      </c>
      <c r="F7788" t="s">
        <v>1178</v>
      </c>
    </row>
    <row r="7789" spans="1:6" x14ac:dyDescent="0.25">
      <c r="A7789" t="s">
        <v>7132</v>
      </c>
      <c r="B7789" t="s">
        <v>319</v>
      </c>
      <c r="C7789" t="s">
        <v>320</v>
      </c>
      <c r="D7789" t="str">
        <f>HYPERLINK("http://service.sap.com/sap/support/notes/1829618","1829618")</f>
        <v>1829618</v>
      </c>
      <c r="E7789">
        <v>5</v>
      </c>
      <c r="F7789" t="s">
        <v>3079</v>
      </c>
    </row>
    <row r="7790" spans="1:6" x14ac:dyDescent="0.25">
      <c r="A7790" t="s">
        <v>7132</v>
      </c>
      <c r="B7790" t="s">
        <v>319</v>
      </c>
      <c r="C7790" t="s">
        <v>320</v>
      </c>
      <c r="D7790" t="str">
        <f>HYPERLINK("http://service.sap.com/sap/support/notes/1833739","1833739")</f>
        <v>1833739</v>
      </c>
      <c r="E7790">
        <v>4</v>
      </c>
      <c r="F7790" t="s">
        <v>7291</v>
      </c>
    </row>
    <row r="7791" spans="1:6" x14ac:dyDescent="0.25">
      <c r="A7791" t="s">
        <v>7132</v>
      </c>
      <c r="B7791" t="s">
        <v>2263</v>
      </c>
      <c r="C7791" t="s">
        <v>2264</v>
      </c>
      <c r="D7791" t="str">
        <f>HYPERLINK("http://service.sap.com/sap/support/notes/1813934","1813934")</f>
        <v>1813934</v>
      </c>
      <c r="E7791">
        <v>2</v>
      </c>
      <c r="F7791" t="s">
        <v>7292</v>
      </c>
    </row>
    <row r="7792" spans="1:6" x14ac:dyDescent="0.25">
      <c r="A7792" t="s">
        <v>7132</v>
      </c>
      <c r="B7792" t="s">
        <v>2263</v>
      </c>
      <c r="C7792" t="s">
        <v>2264</v>
      </c>
      <c r="D7792" t="str">
        <f>HYPERLINK("http://service.sap.com/sap/support/notes/1825593","1825593")</f>
        <v>1825593</v>
      </c>
      <c r="E7792">
        <v>2</v>
      </c>
      <c r="F7792" t="s">
        <v>7293</v>
      </c>
    </row>
    <row r="7793" spans="1:6" x14ac:dyDescent="0.25">
      <c r="A7793" t="s">
        <v>7132</v>
      </c>
      <c r="B7793" t="s">
        <v>2263</v>
      </c>
      <c r="C7793" t="s">
        <v>2264</v>
      </c>
      <c r="D7793" t="str">
        <f>HYPERLINK("http://service.sap.com/sap/support/notes/1832435","1832435")</f>
        <v>1832435</v>
      </c>
      <c r="E7793">
        <v>2</v>
      </c>
      <c r="F7793" t="s">
        <v>7294</v>
      </c>
    </row>
    <row r="7794" spans="1:6" x14ac:dyDescent="0.25">
      <c r="A7794" t="s">
        <v>7132</v>
      </c>
      <c r="B7794" t="s">
        <v>2263</v>
      </c>
      <c r="C7794" t="s">
        <v>2264</v>
      </c>
      <c r="D7794" t="str">
        <f>HYPERLINK("http://service.sap.com/sap/support/notes/1833034","1833034")</f>
        <v>1833034</v>
      </c>
      <c r="E7794">
        <v>1</v>
      </c>
      <c r="F7794" t="s">
        <v>7295</v>
      </c>
    </row>
    <row r="7795" spans="1:6" x14ac:dyDescent="0.25">
      <c r="A7795" t="s">
        <v>7132</v>
      </c>
      <c r="B7795" t="s">
        <v>384</v>
      </c>
      <c r="C7795" t="s">
        <v>385</v>
      </c>
      <c r="D7795" t="str">
        <f>HYPERLINK("http://service.sap.com/sap/support/notes/1724017","1724017")</f>
        <v>1724017</v>
      </c>
      <c r="E7795">
        <v>1</v>
      </c>
      <c r="F7795" t="s">
        <v>387</v>
      </c>
    </row>
    <row r="7796" spans="1:6" x14ac:dyDescent="0.25">
      <c r="A7796" t="s">
        <v>7132</v>
      </c>
      <c r="B7796" t="s">
        <v>423</v>
      </c>
      <c r="C7796" t="s">
        <v>424</v>
      </c>
      <c r="D7796" t="str">
        <f>HYPERLINK("http://service.sap.com/sap/support/notes/1820271","1820271")</f>
        <v>1820271</v>
      </c>
      <c r="E7796">
        <v>1</v>
      </c>
      <c r="F7796" t="s">
        <v>7296</v>
      </c>
    </row>
    <row r="7797" spans="1:6" x14ac:dyDescent="0.25">
      <c r="A7797" t="s">
        <v>7132</v>
      </c>
      <c r="B7797" t="s">
        <v>423</v>
      </c>
      <c r="C7797" t="s">
        <v>424</v>
      </c>
      <c r="D7797" t="str">
        <f>HYPERLINK("http://service.sap.com/sap/support/notes/1824975","1824975")</f>
        <v>1824975</v>
      </c>
      <c r="E7797">
        <v>1</v>
      </c>
      <c r="F7797" t="s">
        <v>3156</v>
      </c>
    </row>
    <row r="7798" spans="1:6" x14ac:dyDescent="0.25">
      <c r="A7798" t="s">
        <v>7132</v>
      </c>
      <c r="B7798" t="s">
        <v>423</v>
      </c>
      <c r="C7798" t="s">
        <v>424</v>
      </c>
      <c r="D7798" t="str">
        <f>HYPERLINK("http://service.sap.com/sap/support/notes/1827800","1827800")</f>
        <v>1827800</v>
      </c>
      <c r="E7798">
        <v>1</v>
      </c>
      <c r="F7798" t="s">
        <v>3158</v>
      </c>
    </row>
    <row r="7799" spans="1:6" x14ac:dyDescent="0.25">
      <c r="A7799" t="s">
        <v>7132</v>
      </c>
      <c r="B7799" t="s">
        <v>423</v>
      </c>
      <c r="C7799" t="s">
        <v>424</v>
      </c>
      <c r="D7799" t="str">
        <f>HYPERLINK("http://service.sap.com/sap/support/notes/1828620","1828620")</f>
        <v>1828620</v>
      </c>
      <c r="E7799">
        <v>2</v>
      </c>
      <c r="F7799" t="s">
        <v>3159</v>
      </c>
    </row>
    <row r="7800" spans="1:6" x14ac:dyDescent="0.25">
      <c r="A7800" t="s">
        <v>7132</v>
      </c>
      <c r="B7800" t="s">
        <v>423</v>
      </c>
      <c r="C7800" t="s">
        <v>424</v>
      </c>
      <c r="D7800" t="str">
        <f>HYPERLINK("http://service.sap.com/sap/support/notes/1829463","1829463")</f>
        <v>1829463</v>
      </c>
      <c r="E7800">
        <v>2</v>
      </c>
      <c r="F7800" t="s">
        <v>3160</v>
      </c>
    </row>
    <row r="7801" spans="1:6" x14ac:dyDescent="0.25">
      <c r="A7801" t="s">
        <v>7132</v>
      </c>
      <c r="B7801" t="s">
        <v>423</v>
      </c>
      <c r="C7801" t="s">
        <v>424</v>
      </c>
      <c r="D7801" t="str">
        <f>HYPERLINK("http://service.sap.com/sap/support/notes/1829561","1829561")</f>
        <v>1829561</v>
      </c>
      <c r="E7801">
        <v>5</v>
      </c>
      <c r="F7801" t="s">
        <v>3161</v>
      </c>
    </row>
    <row r="7802" spans="1:6" x14ac:dyDescent="0.25">
      <c r="A7802" t="s">
        <v>7132</v>
      </c>
      <c r="B7802" t="s">
        <v>423</v>
      </c>
      <c r="C7802" t="s">
        <v>424</v>
      </c>
      <c r="D7802" t="str">
        <f>HYPERLINK("http://service.sap.com/sap/support/notes/1830512","1830512")</f>
        <v>1830512</v>
      </c>
      <c r="E7802">
        <v>8</v>
      </c>
      <c r="F7802" t="s">
        <v>3163</v>
      </c>
    </row>
    <row r="7803" spans="1:6" x14ac:dyDescent="0.25">
      <c r="A7803" t="s">
        <v>7132</v>
      </c>
      <c r="B7803" t="s">
        <v>423</v>
      </c>
      <c r="C7803" t="s">
        <v>424</v>
      </c>
      <c r="D7803" t="str">
        <f>HYPERLINK("http://service.sap.com/sap/support/notes/1830748","1830748")</f>
        <v>1830748</v>
      </c>
      <c r="E7803">
        <v>1</v>
      </c>
      <c r="F7803" t="s">
        <v>3164</v>
      </c>
    </row>
    <row r="7804" spans="1:6" x14ac:dyDescent="0.25">
      <c r="A7804" t="s">
        <v>7132</v>
      </c>
      <c r="B7804" t="s">
        <v>423</v>
      </c>
      <c r="C7804" t="s">
        <v>424</v>
      </c>
      <c r="D7804" t="str">
        <f>HYPERLINK("http://service.sap.com/sap/support/notes/1831708","1831708")</f>
        <v>1831708</v>
      </c>
      <c r="E7804">
        <v>1</v>
      </c>
      <c r="F7804" t="s">
        <v>3166</v>
      </c>
    </row>
    <row r="7805" spans="1:6" x14ac:dyDescent="0.25">
      <c r="A7805" t="s">
        <v>7132</v>
      </c>
      <c r="B7805" t="s">
        <v>430</v>
      </c>
      <c r="C7805" t="s">
        <v>431</v>
      </c>
      <c r="D7805" t="str">
        <f>HYPERLINK("http://service.sap.com/sap/support/notes/1814476","1814476")</f>
        <v>1814476</v>
      </c>
      <c r="E7805">
        <v>2</v>
      </c>
      <c r="F7805" t="s">
        <v>3169</v>
      </c>
    </row>
    <row r="7806" spans="1:6" x14ac:dyDescent="0.25">
      <c r="A7806" t="s">
        <v>7132</v>
      </c>
      <c r="B7806" t="s">
        <v>453</v>
      </c>
      <c r="C7806" t="s">
        <v>74</v>
      </c>
      <c r="D7806" t="str">
        <f>HYPERLINK("http://service.sap.com/sap/support/notes/1808952","1808952")</f>
        <v>1808952</v>
      </c>
      <c r="E7806">
        <v>2</v>
      </c>
      <c r="F7806" t="s">
        <v>3199</v>
      </c>
    </row>
    <row r="7807" spans="1:6" x14ac:dyDescent="0.25">
      <c r="A7807" t="s">
        <v>7132</v>
      </c>
      <c r="B7807" t="s">
        <v>457</v>
      </c>
      <c r="C7807" t="s">
        <v>458</v>
      </c>
      <c r="D7807" t="str">
        <f>HYPERLINK("http://service.sap.com/sap/support/notes/1826040","1826040")</f>
        <v>1826040</v>
      </c>
      <c r="E7807">
        <v>2</v>
      </c>
      <c r="F7807" t="s">
        <v>7297</v>
      </c>
    </row>
    <row r="7808" spans="1:6" x14ac:dyDescent="0.25">
      <c r="A7808" t="s">
        <v>7132</v>
      </c>
      <c r="B7808" t="s">
        <v>610</v>
      </c>
      <c r="C7808" t="s">
        <v>635</v>
      </c>
    </row>
    <row r="7809" spans="1:6" x14ac:dyDescent="0.25">
      <c r="A7809" t="s">
        <v>7132</v>
      </c>
      <c r="B7809" t="s">
        <v>612</v>
      </c>
      <c r="C7809" t="s">
        <v>5696</v>
      </c>
      <c r="D7809" t="str">
        <f>HYPERLINK("http://service.sap.com/sap/support/notes/1819203","1819203")</f>
        <v>1819203</v>
      </c>
      <c r="E7809">
        <v>2</v>
      </c>
      <c r="F7809" t="s">
        <v>7298</v>
      </c>
    </row>
    <row r="7810" spans="1:6" x14ac:dyDescent="0.25">
      <c r="A7810" t="s">
        <v>7132</v>
      </c>
      <c r="B7810" t="s">
        <v>614</v>
      </c>
      <c r="C7810" t="s">
        <v>615</v>
      </c>
      <c r="D7810" t="str">
        <f>HYPERLINK("http://service.sap.com/sap/support/notes/1716160","1716160")</f>
        <v>1716160</v>
      </c>
      <c r="E7810">
        <v>6</v>
      </c>
      <c r="F7810" t="s">
        <v>3800</v>
      </c>
    </row>
    <row r="7811" spans="1:6" x14ac:dyDescent="0.25">
      <c r="A7811" t="s">
        <v>7132</v>
      </c>
      <c r="B7811" t="s">
        <v>622</v>
      </c>
      <c r="C7811" t="s">
        <v>623</v>
      </c>
      <c r="D7811" t="str">
        <f>HYPERLINK("http://service.sap.com/sap/support/notes/1823244","1823244")</f>
        <v>1823244</v>
      </c>
      <c r="E7811">
        <v>1</v>
      </c>
      <c r="F7811" t="s">
        <v>7299</v>
      </c>
    </row>
    <row r="7812" spans="1:6" x14ac:dyDescent="0.25">
      <c r="A7812" t="s">
        <v>7132</v>
      </c>
      <c r="B7812" t="s">
        <v>670</v>
      </c>
      <c r="C7812" t="s">
        <v>671</v>
      </c>
    </row>
    <row r="7813" spans="1:6" x14ac:dyDescent="0.25">
      <c r="A7813" t="s">
        <v>7132</v>
      </c>
      <c r="B7813" t="s">
        <v>672</v>
      </c>
      <c r="C7813" t="s">
        <v>673</v>
      </c>
    </row>
    <row r="7814" spans="1:6" x14ac:dyDescent="0.25">
      <c r="A7814" t="s">
        <v>7132</v>
      </c>
      <c r="B7814" t="s">
        <v>5707</v>
      </c>
      <c r="C7814" t="s">
        <v>5708</v>
      </c>
    </row>
    <row r="7815" spans="1:6" x14ac:dyDescent="0.25">
      <c r="A7815" t="s">
        <v>7132</v>
      </c>
      <c r="B7815" t="s">
        <v>5709</v>
      </c>
      <c r="C7815" t="s">
        <v>5710</v>
      </c>
      <c r="D7815" t="str">
        <f>HYPERLINK("http://service.sap.com/sap/support/notes/1826893","1826893")</f>
        <v>1826893</v>
      </c>
      <c r="E7815">
        <v>1</v>
      </c>
      <c r="F7815" t="s">
        <v>7300</v>
      </c>
    </row>
    <row r="7816" spans="1:6" x14ac:dyDescent="0.25">
      <c r="A7816" t="s">
        <v>7132</v>
      </c>
      <c r="B7816" t="s">
        <v>5709</v>
      </c>
      <c r="C7816" t="s">
        <v>5710</v>
      </c>
      <c r="D7816" t="str">
        <f>HYPERLINK("http://service.sap.com/sap/support/notes/1829986","1829986")</f>
        <v>1829986</v>
      </c>
      <c r="E7816">
        <v>1</v>
      </c>
      <c r="F7816" t="s">
        <v>7301</v>
      </c>
    </row>
    <row r="7817" spans="1:6" x14ac:dyDescent="0.25">
      <c r="A7817" t="s">
        <v>7132</v>
      </c>
      <c r="B7817" t="s">
        <v>5713</v>
      </c>
      <c r="C7817" t="s">
        <v>5714</v>
      </c>
    </row>
    <row r="7818" spans="1:6" x14ac:dyDescent="0.25">
      <c r="A7818" t="s">
        <v>7132</v>
      </c>
      <c r="B7818" t="s">
        <v>5715</v>
      </c>
      <c r="C7818" t="s">
        <v>5710</v>
      </c>
      <c r="D7818" t="str">
        <f>HYPERLINK("http://service.sap.com/sap/support/notes/1822593","1822593")</f>
        <v>1822593</v>
      </c>
      <c r="E7818">
        <v>2</v>
      </c>
      <c r="F7818" t="s">
        <v>7302</v>
      </c>
    </row>
    <row r="7819" spans="1:6" x14ac:dyDescent="0.25">
      <c r="A7819" t="s">
        <v>7132</v>
      </c>
      <c r="B7819" t="s">
        <v>5715</v>
      </c>
      <c r="C7819" t="s">
        <v>5710</v>
      </c>
      <c r="D7819" t="str">
        <f>HYPERLINK("http://service.sap.com/sap/support/notes/1824167","1824167")</f>
        <v>1824167</v>
      </c>
      <c r="E7819">
        <v>6</v>
      </c>
      <c r="F7819" t="s">
        <v>7303</v>
      </c>
    </row>
    <row r="7820" spans="1:6" x14ac:dyDescent="0.25">
      <c r="A7820" t="s">
        <v>7132</v>
      </c>
      <c r="B7820" t="s">
        <v>5715</v>
      </c>
      <c r="C7820" t="s">
        <v>5710</v>
      </c>
      <c r="D7820" t="str">
        <f>HYPERLINK("http://service.sap.com/sap/support/notes/1828739","1828739")</f>
        <v>1828739</v>
      </c>
      <c r="E7820">
        <v>2</v>
      </c>
      <c r="F7820" t="s">
        <v>7304</v>
      </c>
    </row>
    <row r="7821" spans="1:6" x14ac:dyDescent="0.25">
      <c r="A7821" t="s">
        <v>7132</v>
      </c>
      <c r="B7821" t="s">
        <v>5715</v>
      </c>
      <c r="C7821" t="s">
        <v>5710</v>
      </c>
      <c r="D7821" t="str">
        <f>HYPERLINK("http://service.sap.com/sap/support/notes/1830700","1830700")</f>
        <v>1830700</v>
      </c>
      <c r="E7821">
        <v>1</v>
      </c>
      <c r="F7821" t="s">
        <v>7305</v>
      </c>
    </row>
    <row r="7822" spans="1:6" x14ac:dyDescent="0.25">
      <c r="A7822" t="s">
        <v>7433</v>
      </c>
      <c r="B7822" t="s">
        <v>481</v>
      </c>
      <c r="C7822" t="s">
        <v>482</v>
      </c>
    </row>
    <row r="7823" spans="1:6" x14ac:dyDescent="0.25">
      <c r="A7823" t="s">
        <v>7433</v>
      </c>
      <c r="B7823" t="s">
        <v>487</v>
      </c>
      <c r="C7823" t="s">
        <v>488</v>
      </c>
    </row>
    <row r="7824" spans="1:6" x14ac:dyDescent="0.25">
      <c r="A7824" t="s">
        <v>7433</v>
      </c>
      <c r="B7824" t="s">
        <v>489</v>
      </c>
      <c r="C7824" t="s">
        <v>641</v>
      </c>
      <c r="D7824" t="str">
        <f>HYPERLINK("http://service.sap.com/sap/support/notes/1826696","1826696")</f>
        <v>1826696</v>
      </c>
      <c r="E7824">
        <v>2</v>
      </c>
      <c r="F7824" t="s">
        <v>7306</v>
      </c>
    </row>
    <row r="7825" spans="1:6" x14ac:dyDescent="0.25">
      <c r="A7825" t="s">
        <v>7433</v>
      </c>
      <c r="B7825" t="s">
        <v>489</v>
      </c>
      <c r="C7825" t="s">
        <v>641</v>
      </c>
      <c r="D7825" t="str">
        <f>HYPERLINK("http://service.sap.com/sap/support/notes/1834018","1834018")</f>
        <v>1834018</v>
      </c>
      <c r="E7825">
        <v>4</v>
      </c>
      <c r="F7825" t="s">
        <v>7307</v>
      </c>
    </row>
    <row r="7826" spans="1:6" x14ac:dyDescent="0.25">
      <c r="A7826" t="s">
        <v>7433</v>
      </c>
      <c r="B7826" t="s">
        <v>489</v>
      </c>
      <c r="C7826" t="s">
        <v>641</v>
      </c>
      <c r="D7826" t="str">
        <f>HYPERLINK("http://service.sap.com/sap/support/notes/1838101","1838101")</f>
        <v>1838101</v>
      </c>
      <c r="E7826">
        <v>1</v>
      </c>
      <c r="F7826" t="s">
        <v>7308</v>
      </c>
    </row>
    <row r="7827" spans="1:6" x14ac:dyDescent="0.25">
      <c r="A7827" t="s">
        <v>7433</v>
      </c>
      <c r="B7827" t="s">
        <v>489</v>
      </c>
      <c r="C7827" t="s">
        <v>641</v>
      </c>
      <c r="D7827" t="str">
        <f>HYPERLINK("http://service.sap.com/sap/support/notes/1841873","1841873")</f>
        <v>1841873</v>
      </c>
      <c r="E7827">
        <v>2</v>
      </c>
      <c r="F7827" t="s">
        <v>7309</v>
      </c>
    </row>
    <row r="7828" spans="1:6" x14ac:dyDescent="0.25">
      <c r="A7828" t="s">
        <v>7433</v>
      </c>
      <c r="B7828" t="s">
        <v>489</v>
      </c>
      <c r="C7828" t="s">
        <v>641</v>
      </c>
      <c r="D7828" t="str">
        <f>HYPERLINK("http://service.sap.com/sap/support/notes/1842870","1842870")</f>
        <v>1842870</v>
      </c>
      <c r="E7828">
        <v>2</v>
      </c>
      <c r="F7828" t="s">
        <v>7310</v>
      </c>
    </row>
    <row r="7829" spans="1:6" x14ac:dyDescent="0.25">
      <c r="A7829" t="s">
        <v>7433</v>
      </c>
      <c r="B7829" t="s">
        <v>489</v>
      </c>
      <c r="C7829" t="s">
        <v>641</v>
      </c>
      <c r="D7829" t="str">
        <f>HYPERLINK("http://service.sap.com/sap/support/notes/1844476","1844476")</f>
        <v>1844476</v>
      </c>
      <c r="E7829">
        <v>1</v>
      </c>
      <c r="F7829" t="s">
        <v>7311</v>
      </c>
    </row>
    <row r="7830" spans="1:6" x14ac:dyDescent="0.25">
      <c r="A7830" t="s">
        <v>7433</v>
      </c>
      <c r="B7830" t="s">
        <v>15</v>
      </c>
      <c r="C7830" t="s">
        <v>16</v>
      </c>
    </row>
    <row r="7831" spans="1:6" x14ac:dyDescent="0.25">
      <c r="A7831" t="s">
        <v>7433</v>
      </c>
      <c r="B7831" t="s">
        <v>17</v>
      </c>
      <c r="C7831" t="s">
        <v>18</v>
      </c>
    </row>
    <row r="7832" spans="1:6" x14ac:dyDescent="0.25">
      <c r="A7832" t="s">
        <v>7433</v>
      </c>
      <c r="B7832" t="s">
        <v>19</v>
      </c>
      <c r="C7832" t="s">
        <v>20</v>
      </c>
    </row>
    <row r="7833" spans="1:6" x14ac:dyDescent="0.25">
      <c r="A7833" t="s">
        <v>7433</v>
      </c>
      <c r="B7833" t="s">
        <v>21</v>
      </c>
      <c r="C7833" t="s">
        <v>22</v>
      </c>
      <c r="D7833" t="str">
        <f>HYPERLINK("http://service.sap.com/sap/support/notes/1839847","1839847")</f>
        <v>1839847</v>
      </c>
      <c r="E7833">
        <v>2</v>
      </c>
      <c r="F7833" t="s">
        <v>7312</v>
      </c>
    </row>
    <row r="7834" spans="1:6" x14ac:dyDescent="0.25">
      <c r="A7834" t="s">
        <v>7433</v>
      </c>
      <c r="B7834" t="s">
        <v>493</v>
      </c>
      <c r="C7834" t="s">
        <v>494</v>
      </c>
    </row>
    <row r="7835" spans="1:6" x14ac:dyDescent="0.25">
      <c r="A7835" t="s">
        <v>7433</v>
      </c>
      <c r="B7835" t="s">
        <v>495</v>
      </c>
      <c r="C7835" t="s">
        <v>655</v>
      </c>
      <c r="D7835" t="str">
        <f>HYPERLINK("http://service.sap.com/sap/support/notes/1706835","1706835")</f>
        <v>1706835</v>
      </c>
      <c r="E7835">
        <v>1</v>
      </c>
      <c r="F7835" t="s">
        <v>1567</v>
      </c>
    </row>
    <row r="7836" spans="1:6" x14ac:dyDescent="0.25">
      <c r="A7836" t="s">
        <v>7433</v>
      </c>
      <c r="B7836" t="s">
        <v>495</v>
      </c>
      <c r="C7836" t="s">
        <v>655</v>
      </c>
      <c r="D7836" t="str">
        <f>HYPERLINK("http://service.sap.com/sap/support/notes/1834426","1834426")</f>
        <v>1834426</v>
      </c>
      <c r="E7836">
        <v>3</v>
      </c>
      <c r="F7836" t="s">
        <v>7313</v>
      </c>
    </row>
    <row r="7837" spans="1:6" x14ac:dyDescent="0.25">
      <c r="A7837" t="s">
        <v>7433</v>
      </c>
      <c r="B7837" t="s">
        <v>495</v>
      </c>
      <c r="C7837" t="s">
        <v>655</v>
      </c>
      <c r="D7837" t="str">
        <f>HYPERLINK("http://service.sap.com/sap/support/notes/1843032","1843032")</f>
        <v>1843032</v>
      </c>
      <c r="E7837">
        <v>1</v>
      </c>
      <c r="F7837" t="s">
        <v>7314</v>
      </c>
    </row>
    <row r="7838" spans="1:6" x14ac:dyDescent="0.25">
      <c r="A7838" t="s">
        <v>7433</v>
      </c>
      <c r="B7838" t="s">
        <v>495</v>
      </c>
      <c r="C7838" t="s">
        <v>655</v>
      </c>
      <c r="D7838" t="str">
        <f>HYPERLINK("http://service.sap.com/sap/support/notes/1845954","1845954")</f>
        <v>1845954</v>
      </c>
      <c r="E7838">
        <v>2</v>
      </c>
      <c r="F7838" t="s">
        <v>7315</v>
      </c>
    </row>
    <row r="7839" spans="1:6" x14ac:dyDescent="0.25">
      <c r="A7839" t="s">
        <v>7433</v>
      </c>
      <c r="B7839" t="s">
        <v>495</v>
      </c>
      <c r="C7839" t="s">
        <v>655</v>
      </c>
      <c r="D7839" t="str">
        <f>HYPERLINK("http://service.sap.com/sap/support/notes/1847351","1847351")</f>
        <v>1847351</v>
      </c>
      <c r="E7839">
        <v>2</v>
      </c>
      <c r="F7839" t="s">
        <v>7316</v>
      </c>
    </row>
    <row r="7840" spans="1:6" x14ac:dyDescent="0.25">
      <c r="A7840" t="s">
        <v>7433</v>
      </c>
      <c r="B7840" t="s">
        <v>497</v>
      </c>
      <c r="C7840" t="s">
        <v>498</v>
      </c>
      <c r="D7840" t="str">
        <f>HYPERLINK("http://service.sap.com/sap/support/notes/1815189","1815189")</f>
        <v>1815189</v>
      </c>
      <c r="E7840">
        <v>8</v>
      </c>
      <c r="F7840" t="s">
        <v>7317</v>
      </c>
    </row>
    <row r="7841" spans="1:6" x14ac:dyDescent="0.25">
      <c r="A7841" t="s">
        <v>7433</v>
      </c>
      <c r="B7841" t="s">
        <v>497</v>
      </c>
      <c r="C7841" t="s">
        <v>498</v>
      </c>
      <c r="D7841" t="str">
        <f>HYPERLINK("http://service.sap.com/sap/support/notes/1833943","1833943")</f>
        <v>1833943</v>
      </c>
      <c r="E7841">
        <v>2</v>
      </c>
      <c r="F7841" t="s">
        <v>7155</v>
      </c>
    </row>
    <row r="7842" spans="1:6" x14ac:dyDescent="0.25">
      <c r="A7842" t="s">
        <v>7433</v>
      </c>
      <c r="B7842" t="s">
        <v>497</v>
      </c>
      <c r="C7842" t="s">
        <v>498</v>
      </c>
      <c r="D7842" t="str">
        <f>HYPERLINK("http://service.sap.com/sap/support/notes/1836277","1836277")</f>
        <v>1836277</v>
      </c>
      <c r="E7842">
        <v>3</v>
      </c>
      <c r="F7842" t="s">
        <v>7318</v>
      </c>
    </row>
    <row r="7843" spans="1:6" x14ac:dyDescent="0.25">
      <c r="A7843" t="s">
        <v>7433</v>
      </c>
      <c r="B7843" t="s">
        <v>497</v>
      </c>
      <c r="C7843" t="s">
        <v>498</v>
      </c>
      <c r="D7843" t="str">
        <f>HYPERLINK("http://service.sap.com/sap/support/notes/1838957","1838957")</f>
        <v>1838957</v>
      </c>
      <c r="E7843">
        <v>1</v>
      </c>
      <c r="F7843" t="s">
        <v>7319</v>
      </c>
    </row>
    <row r="7844" spans="1:6" x14ac:dyDescent="0.25">
      <c r="A7844" t="s">
        <v>7433</v>
      </c>
      <c r="B7844" t="s">
        <v>497</v>
      </c>
      <c r="C7844" t="s">
        <v>498</v>
      </c>
      <c r="D7844" t="str">
        <f>HYPERLINK("http://service.sap.com/sap/support/notes/1838959","1838959")</f>
        <v>1838959</v>
      </c>
      <c r="E7844">
        <v>2</v>
      </c>
      <c r="F7844" t="s">
        <v>7320</v>
      </c>
    </row>
    <row r="7845" spans="1:6" x14ac:dyDescent="0.25">
      <c r="A7845" t="s">
        <v>7433</v>
      </c>
      <c r="B7845" t="s">
        <v>497</v>
      </c>
      <c r="C7845" t="s">
        <v>498</v>
      </c>
      <c r="D7845" t="str">
        <f>HYPERLINK("http://service.sap.com/sap/support/notes/1839105","1839105")</f>
        <v>1839105</v>
      </c>
      <c r="E7845">
        <v>1</v>
      </c>
      <c r="F7845" t="s">
        <v>7321</v>
      </c>
    </row>
    <row r="7846" spans="1:6" x14ac:dyDescent="0.25">
      <c r="A7846" t="s">
        <v>7433</v>
      </c>
      <c r="B7846" t="s">
        <v>497</v>
      </c>
      <c r="C7846" t="s">
        <v>498</v>
      </c>
      <c r="D7846" t="str">
        <f>HYPERLINK("http://service.sap.com/sap/support/notes/1841145","1841145")</f>
        <v>1841145</v>
      </c>
      <c r="E7846">
        <v>2</v>
      </c>
      <c r="F7846" t="s">
        <v>7322</v>
      </c>
    </row>
    <row r="7847" spans="1:6" x14ac:dyDescent="0.25">
      <c r="A7847" t="s">
        <v>7433</v>
      </c>
      <c r="B7847" t="s">
        <v>497</v>
      </c>
      <c r="C7847" t="s">
        <v>498</v>
      </c>
      <c r="D7847" t="str">
        <f>HYPERLINK("http://service.sap.com/sap/support/notes/1842274","1842274")</f>
        <v>1842274</v>
      </c>
      <c r="E7847">
        <v>1</v>
      </c>
      <c r="F7847" t="s">
        <v>7323</v>
      </c>
    </row>
    <row r="7848" spans="1:6" x14ac:dyDescent="0.25">
      <c r="A7848" t="s">
        <v>7433</v>
      </c>
      <c r="B7848" t="s">
        <v>497</v>
      </c>
      <c r="C7848" t="s">
        <v>498</v>
      </c>
      <c r="D7848" t="str">
        <f>HYPERLINK("http://service.sap.com/sap/support/notes/1844172","1844172")</f>
        <v>1844172</v>
      </c>
      <c r="E7848">
        <v>1</v>
      </c>
      <c r="F7848" t="s">
        <v>7324</v>
      </c>
    </row>
    <row r="7849" spans="1:6" x14ac:dyDescent="0.25">
      <c r="A7849" t="s">
        <v>7433</v>
      </c>
      <c r="B7849" t="s">
        <v>497</v>
      </c>
      <c r="C7849" t="s">
        <v>498</v>
      </c>
      <c r="D7849" t="str">
        <f>HYPERLINK("http://service.sap.com/sap/support/notes/1845580","1845580")</f>
        <v>1845580</v>
      </c>
      <c r="E7849">
        <v>1</v>
      </c>
      <c r="F7849" t="s">
        <v>7325</v>
      </c>
    </row>
    <row r="7850" spans="1:6" x14ac:dyDescent="0.25">
      <c r="A7850" t="s">
        <v>7433</v>
      </c>
      <c r="B7850" t="s">
        <v>497</v>
      </c>
      <c r="C7850" t="s">
        <v>498</v>
      </c>
      <c r="D7850" t="str">
        <f>HYPERLINK("http://service.sap.com/sap/support/notes/1845854","1845854")</f>
        <v>1845854</v>
      </c>
      <c r="E7850">
        <v>1</v>
      </c>
      <c r="F7850" t="s">
        <v>7326</v>
      </c>
    </row>
    <row r="7851" spans="1:6" x14ac:dyDescent="0.25">
      <c r="A7851" t="s">
        <v>7433</v>
      </c>
      <c r="B7851" t="s">
        <v>497</v>
      </c>
      <c r="C7851" t="s">
        <v>498</v>
      </c>
      <c r="D7851" t="str">
        <f>HYPERLINK("http://service.sap.com/sap/support/notes/1847803","1847803")</f>
        <v>1847803</v>
      </c>
      <c r="E7851">
        <v>1</v>
      </c>
      <c r="F7851" t="s">
        <v>7327</v>
      </c>
    </row>
    <row r="7852" spans="1:6" x14ac:dyDescent="0.25">
      <c r="A7852" t="s">
        <v>7433</v>
      </c>
      <c r="B7852" t="s">
        <v>497</v>
      </c>
      <c r="C7852" t="s">
        <v>498</v>
      </c>
      <c r="D7852" t="str">
        <f>HYPERLINK("http://service.sap.com/sap/support/notes/1848194","1848194")</f>
        <v>1848194</v>
      </c>
      <c r="E7852">
        <v>2</v>
      </c>
      <c r="F7852" t="s">
        <v>7328</v>
      </c>
    </row>
    <row r="7853" spans="1:6" x14ac:dyDescent="0.25">
      <c r="A7853" t="s">
        <v>7433</v>
      </c>
      <c r="B7853" t="s">
        <v>656</v>
      </c>
      <c r="C7853" t="s">
        <v>657</v>
      </c>
      <c r="D7853" t="str">
        <f>HYPERLINK("http://service.sap.com/sap/support/notes/1758754","1758754")</f>
        <v>1758754</v>
      </c>
      <c r="E7853">
        <v>1</v>
      </c>
      <c r="F7853" t="s">
        <v>7329</v>
      </c>
    </row>
    <row r="7854" spans="1:6" x14ac:dyDescent="0.25">
      <c r="A7854" t="s">
        <v>7433</v>
      </c>
      <c r="B7854" t="s">
        <v>656</v>
      </c>
      <c r="C7854" t="s">
        <v>657</v>
      </c>
      <c r="D7854" t="str">
        <f>HYPERLINK("http://service.sap.com/sap/support/notes/1816300","1816300")</f>
        <v>1816300</v>
      </c>
      <c r="E7854">
        <v>1</v>
      </c>
      <c r="F7854" t="s">
        <v>7330</v>
      </c>
    </row>
    <row r="7855" spans="1:6" x14ac:dyDescent="0.25">
      <c r="A7855" t="s">
        <v>7433</v>
      </c>
      <c r="B7855" t="s">
        <v>656</v>
      </c>
      <c r="C7855" t="s">
        <v>657</v>
      </c>
      <c r="D7855" t="str">
        <f>HYPERLINK("http://service.sap.com/sap/support/notes/1837749","1837749")</f>
        <v>1837749</v>
      </c>
      <c r="E7855">
        <v>1</v>
      </c>
      <c r="F7855" t="s">
        <v>7331</v>
      </c>
    </row>
    <row r="7856" spans="1:6" x14ac:dyDescent="0.25">
      <c r="A7856" t="s">
        <v>7433</v>
      </c>
      <c r="B7856" t="s">
        <v>656</v>
      </c>
      <c r="C7856" t="s">
        <v>657</v>
      </c>
      <c r="D7856" t="str">
        <f>HYPERLINK("http://service.sap.com/sap/support/notes/1838204","1838204")</f>
        <v>1838204</v>
      </c>
      <c r="E7856">
        <v>1</v>
      </c>
      <c r="F7856" t="s">
        <v>7332</v>
      </c>
    </row>
    <row r="7857" spans="1:6" x14ac:dyDescent="0.25">
      <c r="A7857" t="s">
        <v>7433</v>
      </c>
      <c r="B7857" t="s">
        <v>656</v>
      </c>
      <c r="C7857" t="s">
        <v>657</v>
      </c>
      <c r="D7857" t="str">
        <f>HYPERLINK("http://service.sap.com/sap/support/notes/1838851","1838851")</f>
        <v>1838851</v>
      </c>
      <c r="E7857">
        <v>3</v>
      </c>
      <c r="F7857" t="s">
        <v>7333</v>
      </c>
    </row>
    <row r="7858" spans="1:6" x14ac:dyDescent="0.25">
      <c r="A7858" t="s">
        <v>7433</v>
      </c>
      <c r="B7858" t="s">
        <v>656</v>
      </c>
      <c r="C7858" t="s">
        <v>657</v>
      </c>
      <c r="D7858" t="str">
        <f>HYPERLINK("http://service.sap.com/sap/support/notes/1842555","1842555")</f>
        <v>1842555</v>
      </c>
      <c r="E7858">
        <v>1</v>
      </c>
      <c r="F7858" t="s">
        <v>7334</v>
      </c>
    </row>
    <row r="7859" spans="1:6" x14ac:dyDescent="0.25">
      <c r="A7859" t="s">
        <v>7433</v>
      </c>
      <c r="B7859" t="s">
        <v>656</v>
      </c>
      <c r="C7859" t="s">
        <v>657</v>
      </c>
      <c r="D7859" t="str">
        <f>HYPERLINK("http://service.sap.com/sap/support/notes/1844721","1844721")</f>
        <v>1844721</v>
      </c>
      <c r="E7859">
        <v>2</v>
      </c>
      <c r="F7859" t="s">
        <v>7335</v>
      </c>
    </row>
    <row r="7860" spans="1:6" x14ac:dyDescent="0.25">
      <c r="A7860" t="s">
        <v>7433</v>
      </c>
      <c r="B7860" t="s">
        <v>656</v>
      </c>
      <c r="C7860" t="s">
        <v>657</v>
      </c>
      <c r="D7860" t="str">
        <f>HYPERLINK("http://service.sap.com/sap/support/notes/1847001","1847001")</f>
        <v>1847001</v>
      </c>
      <c r="E7860">
        <v>1</v>
      </c>
      <c r="F7860" t="s">
        <v>7336</v>
      </c>
    </row>
    <row r="7861" spans="1:6" x14ac:dyDescent="0.25">
      <c r="A7861" t="s">
        <v>7433</v>
      </c>
      <c r="B7861" t="s">
        <v>656</v>
      </c>
      <c r="C7861" t="s">
        <v>657</v>
      </c>
      <c r="D7861" t="str">
        <f>HYPERLINK("http://service.sap.com/sap/support/notes/1847913","1847913")</f>
        <v>1847913</v>
      </c>
      <c r="E7861">
        <v>1</v>
      </c>
      <c r="F7861" t="s">
        <v>7337</v>
      </c>
    </row>
    <row r="7862" spans="1:6" x14ac:dyDescent="0.25">
      <c r="A7862" t="s">
        <v>7433</v>
      </c>
      <c r="B7862" t="s">
        <v>656</v>
      </c>
      <c r="C7862" t="s">
        <v>657</v>
      </c>
      <c r="D7862" t="str">
        <f>HYPERLINK("http://service.sap.com/sap/support/notes/1848532","1848532")</f>
        <v>1848532</v>
      </c>
      <c r="E7862">
        <v>1</v>
      </c>
      <c r="F7862" t="s">
        <v>7338</v>
      </c>
    </row>
    <row r="7863" spans="1:6" x14ac:dyDescent="0.25">
      <c r="A7863" t="s">
        <v>7433</v>
      </c>
      <c r="B7863" t="s">
        <v>694</v>
      </c>
      <c r="C7863" t="s">
        <v>695</v>
      </c>
      <c r="D7863" t="str">
        <f>HYPERLINK("http://service.sap.com/sap/support/notes/1839714","1839714")</f>
        <v>1839714</v>
      </c>
      <c r="E7863">
        <v>2</v>
      </c>
      <c r="F7863" t="s">
        <v>7339</v>
      </c>
    </row>
    <row r="7864" spans="1:6" x14ac:dyDescent="0.25">
      <c r="A7864" t="s">
        <v>7433</v>
      </c>
      <c r="B7864" t="s">
        <v>694</v>
      </c>
      <c r="C7864" t="s">
        <v>695</v>
      </c>
      <c r="D7864" t="str">
        <f>HYPERLINK("http://service.sap.com/sap/support/notes/1842468","1842468")</f>
        <v>1842468</v>
      </c>
      <c r="E7864">
        <v>2</v>
      </c>
      <c r="F7864" t="s">
        <v>7340</v>
      </c>
    </row>
    <row r="7865" spans="1:6" x14ac:dyDescent="0.25">
      <c r="A7865" t="s">
        <v>7433</v>
      </c>
      <c r="B7865" t="s">
        <v>694</v>
      </c>
      <c r="C7865" t="s">
        <v>695</v>
      </c>
      <c r="D7865" t="str">
        <f>HYPERLINK("http://service.sap.com/sap/support/notes/1843175","1843175")</f>
        <v>1843175</v>
      </c>
      <c r="E7865">
        <v>3</v>
      </c>
      <c r="F7865" t="s">
        <v>7341</v>
      </c>
    </row>
    <row r="7866" spans="1:6" x14ac:dyDescent="0.25">
      <c r="A7866" t="s">
        <v>7433</v>
      </c>
      <c r="B7866" t="s">
        <v>5795</v>
      </c>
      <c r="C7866" t="s">
        <v>5796</v>
      </c>
      <c r="D7866" t="str">
        <f>HYPERLINK("http://service.sap.com/sap/support/notes/1845361","1845361")</f>
        <v>1845361</v>
      </c>
      <c r="E7866">
        <v>2</v>
      </c>
      <c r="F7866" t="s">
        <v>7342</v>
      </c>
    </row>
    <row r="7867" spans="1:6" x14ac:dyDescent="0.25">
      <c r="A7867" t="s">
        <v>7433</v>
      </c>
      <c r="B7867" t="s">
        <v>5498</v>
      </c>
      <c r="C7867" t="s">
        <v>5499</v>
      </c>
      <c r="D7867" t="str">
        <f>HYPERLINK("http://service.sap.com/sap/support/notes/1847995","1847995")</f>
        <v>1847995</v>
      </c>
      <c r="E7867">
        <v>1</v>
      </c>
      <c r="F7867" t="s">
        <v>7343</v>
      </c>
    </row>
    <row r="7868" spans="1:6" x14ac:dyDescent="0.25">
      <c r="A7868" t="s">
        <v>7433</v>
      </c>
      <c r="B7868" t="s">
        <v>5798</v>
      </c>
      <c r="C7868" t="s">
        <v>5799</v>
      </c>
      <c r="D7868" t="str">
        <f>HYPERLINK("http://service.sap.com/sap/support/notes/1844100","1844100")</f>
        <v>1844100</v>
      </c>
      <c r="E7868">
        <v>3</v>
      </c>
      <c r="F7868" t="s">
        <v>7344</v>
      </c>
    </row>
    <row r="7869" spans="1:6" x14ac:dyDescent="0.25">
      <c r="A7869" t="s">
        <v>7433</v>
      </c>
      <c r="B7869" t="s">
        <v>24</v>
      </c>
      <c r="C7869" t="s">
        <v>10</v>
      </c>
    </row>
    <row r="7870" spans="1:6" x14ac:dyDescent="0.25">
      <c r="A7870" t="s">
        <v>7433</v>
      </c>
      <c r="B7870" t="s">
        <v>5505</v>
      </c>
      <c r="C7870" t="s">
        <v>5506</v>
      </c>
      <c r="D7870" t="str">
        <f>HYPERLINK("http://service.sap.com/sap/support/notes/1832967","1832967")</f>
        <v>1832967</v>
      </c>
      <c r="E7870">
        <v>2</v>
      </c>
      <c r="F7870" t="s">
        <v>7345</v>
      </c>
    </row>
    <row r="7871" spans="1:6" x14ac:dyDescent="0.25">
      <c r="A7871" t="s">
        <v>7433</v>
      </c>
      <c r="B7871" t="s">
        <v>5514</v>
      </c>
      <c r="C7871" t="s">
        <v>5515</v>
      </c>
      <c r="D7871" t="str">
        <f>HYPERLINK("http://service.sap.com/sap/support/notes/1832045","1832045")</f>
        <v>1832045</v>
      </c>
      <c r="E7871">
        <v>2</v>
      </c>
      <c r="F7871" t="s">
        <v>7346</v>
      </c>
    </row>
    <row r="7872" spans="1:6" x14ac:dyDescent="0.25">
      <c r="A7872" t="s">
        <v>7433</v>
      </c>
      <c r="B7872" t="s">
        <v>5514</v>
      </c>
      <c r="C7872" t="s">
        <v>5515</v>
      </c>
      <c r="D7872" t="str">
        <f>HYPERLINK("http://service.sap.com/sap/support/notes/1844260","1844260")</f>
        <v>1844260</v>
      </c>
      <c r="E7872">
        <v>1</v>
      </c>
      <c r="F7872" t="s">
        <v>7347</v>
      </c>
    </row>
    <row r="7873" spans="1:6" x14ac:dyDescent="0.25">
      <c r="A7873" t="s">
        <v>7433</v>
      </c>
      <c r="B7873" t="s">
        <v>5524</v>
      </c>
      <c r="C7873" t="s">
        <v>5525</v>
      </c>
      <c r="D7873" t="str">
        <f>HYPERLINK("http://service.sap.com/sap/support/notes/1839763","1839763")</f>
        <v>1839763</v>
      </c>
      <c r="E7873">
        <v>1</v>
      </c>
      <c r="F7873" t="s">
        <v>7348</v>
      </c>
    </row>
    <row r="7874" spans="1:6" x14ac:dyDescent="0.25">
      <c r="A7874" t="s">
        <v>7433</v>
      </c>
      <c r="B7874" t="s">
        <v>5536</v>
      </c>
      <c r="C7874" t="s">
        <v>5537</v>
      </c>
      <c r="D7874" t="str">
        <f>HYPERLINK("http://service.sap.com/sap/support/notes/1835645","1835645")</f>
        <v>1835645</v>
      </c>
      <c r="E7874">
        <v>1</v>
      </c>
      <c r="F7874" t="s">
        <v>7349</v>
      </c>
    </row>
    <row r="7875" spans="1:6" x14ac:dyDescent="0.25">
      <c r="A7875" t="s">
        <v>7433</v>
      </c>
      <c r="B7875" t="s">
        <v>5536</v>
      </c>
      <c r="C7875" t="s">
        <v>5537</v>
      </c>
      <c r="D7875" t="str">
        <f>HYPERLINK("http://service.sap.com/sap/support/notes/1843324","1843324")</f>
        <v>1843324</v>
      </c>
      <c r="E7875">
        <v>1</v>
      </c>
      <c r="F7875" t="s">
        <v>7350</v>
      </c>
    </row>
    <row r="7876" spans="1:6" x14ac:dyDescent="0.25">
      <c r="A7876" t="s">
        <v>7433</v>
      </c>
      <c r="B7876" t="s">
        <v>5536</v>
      </c>
      <c r="C7876" t="s">
        <v>5537</v>
      </c>
      <c r="D7876" t="str">
        <f>HYPERLINK("http://service.sap.com/sap/support/notes/1843977","1843977")</f>
        <v>1843977</v>
      </c>
      <c r="E7876">
        <v>1</v>
      </c>
      <c r="F7876" t="s">
        <v>7351</v>
      </c>
    </row>
    <row r="7877" spans="1:6" x14ac:dyDescent="0.25">
      <c r="A7877" t="s">
        <v>7433</v>
      </c>
      <c r="B7877" t="s">
        <v>2808</v>
      </c>
      <c r="C7877" t="s">
        <v>2809</v>
      </c>
    </row>
    <row r="7878" spans="1:6" x14ac:dyDescent="0.25">
      <c r="A7878" t="s">
        <v>7433</v>
      </c>
      <c r="B7878" t="s">
        <v>3248</v>
      </c>
      <c r="C7878" t="s">
        <v>7352</v>
      </c>
      <c r="D7878" t="str">
        <f>HYPERLINK("http://service.sap.com/sap/support/notes/1794637","1794637")</f>
        <v>1794637</v>
      </c>
      <c r="E7878">
        <v>3</v>
      </c>
      <c r="F7878" t="s">
        <v>3250</v>
      </c>
    </row>
    <row r="7879" spans="1:6" x14ac:dyDescent="0.25">
      <c r="A7879" t="s">
        <v>7433</v>
      </c>
      <c r="B7879" t="s">
        <v>5539</v>
      </c>
      <c r="C7879" t="s">
        <v>5540</v>
      </c>
    </row>
    <row r="7880" spans="1:6" x14ac:dyDescent="0.25">
      <c r="A7880" t="s">
        <v>7433</v>
      </c>
      <c r="B7880" t="s">
        <v>5541</v>
      </c>
      <c r="C7880" t="s">
        <v>5542</v>
      </c>
      <c r="D7880" t="str">
        <f>HYPERLINK("http://service.sap.com/sap/support/notes/1769653","1769653")</f>
        <v>1769653</v>
      </c>
      <c r="E7880">
        <v>1</v>
      </c>
      <c r="F7880" t="s">
        <v>7353</v>
      </c>
    </row>
    <row r="7881" spans="1:6" x14ac:dyDescent="0.25">
      <c r="A7881" t="s">
        <v>7433</v>
      </c>
      <c r="B7881" t="s">
        <v>5541</v>
      </c>
      <c r="C7881" t="s">
        <v>5542</v>
      </c>
      <c r="D7881" t="str">
        <f>HYPERLINK("http://service.sap.com/sap/support/notes/1833893","1833893")</f>
        <v>1833893</v>
      </c>
      <c r="E7881">
        <v>3</v>
      </c>
      <c r="F7881" t="s">
        <v>7354</v>
      </c>
    </row>
    <row r="7882" spans="1:6" x14ac:dyDescent="0.25">
      <c r="A7882" t="s">
        <v>7433</v>
      </c>
      <c r="B7882" t="s">
        <v>5541</v>
      </c>
      <c r="C7882" t="s">
        <v>5542</v>
      </c>
      <c r="D7882" t="str">
        <f>HYPERLINK("http://service.sap.com/sap/support/notes/1841598","1841598")</f>
        <v>1841598</v>
      </c>
      <c r="E7882">
        <v>2</v>
      </c>
      <c r="F7882" t="s">
        <v>7355</v>
      </c>
    </row>
    <row r="7883" spans="1:6" x14ac:dyDescent="0.25">
      <c r="A7883" t="s">
        <v>7433</v>
      </c>
      <c r="B7883" t="s">
        <v>5546</v>
      </c>
      <c r="C7883" t="s">
        <v>5547</v>
      </c>
      <c r="D7883" t="str">
        <f>HYPERLINK("http://service.sap.com/sap/support/notes/1838300","1838300")</f>
        <v>1838300</v>
      </c>
      <c r="E7883">
        <v>2</v>
      </c>
      <c r="F7883" t="s">
        <v>7356</v>
      </c>
    </row>
    <row r="7884" spans="1:6" x14ac:dyDescent="0.25">
      <c r="A7884" t="s">
        <v>7433</v>
      </c>
      <c r="B7884" t="s">
        <v>5558</v>
      </c>
      <c r="C7884" t="s">
        <v>5559</v>
      </c>
      <c r="D7884" t="str">
        <f>HYPERLINK("http://service.sap.com/sap/support/notes/1835448","1835448")</f>
        <v>1835448</v>
      </c>
      <c r="E7884">
        <v>3</v>
      </c>
      <c r="F7884" t="s">
        <v>7357</v>
      </c>
    </row>
    <row r="7885" spans="1:6" x14ac:dyDescent="0.25">
      <c r="A7885" t="s">
        <v>7433</v>
      </c>
      <c r="B7885" t="s">
        <v>5558</v>
      </c>
      <c r="C7885" t="s">
        <v>5559</v>
      </c>
      <c r="D7885" t="str">
        <f>HYPERLINK("http://service.sap.com/sap/support/notes/1839703","1839703")</f>
        <v>1839703</v>
      </c>
      <c r="E7885">
        <v>1</v>
      </c>
      <c r="F7885" t="s">
        <v>7358</v>
      </c>
    </row>
    <row r="7886" spans="1:6" x14ac:dyDescent="0.25">
      <c r="A7886" t="s">
        <v>7433</v>
      </c>
      <c r="B7886" t="s">
        <v>512</v>
      </c>
      <c r="C7886" t="s">
        <v>513</v>
      </c>
      <c r="D7886" t="str">
        <f>HYPERLINK("http://service.sap.com/sap/support/notes/1842543","1842543")</f>
        <v>1842543</v>
      </c>
      <c r="E7886">
        <v>2</v>
      </c>
      <c r="F7886" t="s">
        <v>7359</v>
      </c>
    </row>
    <row r="7887" spans="1:6" x14ac:dyDescent="0.25">
      <c r="A7887" t="s">
        <v>7433</v>
      </c>
      <c r="B7887" t="s">
        <v>25</v>
      </c>
      <c r="C7887" t="s">
        <v>26</v>
      </c>
    </row>
    <row r="7888" spans="1:6" x14ac:dyDescent="0.25">
      <c r="A7888" t="s">
        <v>7433</v>
      </c>
      <c r="B7888" t="s">
        <v>40</v>
      </c>
      <c r="C7888" t="s">
        <v>41</v>
      </c>
      <c r="D7888" t="str">
        <f>HYPERLINK("http://service.sap.com/sap/support/notes/1847912","1847912")</f>
        <v>1847912</v>
      </c>
      <c r="E7888">
        <v>2</v>
      </c>
      <c r="F7888" t="s">
        <v>7360</v>
      </c>
    </row>
    <row r="7889" spans="1:6" x14ac:dyDescent="0.25">
      <c r="A7889" t="s">
        <v>7433</v>
      </c>
      <c r="B7889" t="s">
        <v>40</v>
      </c>
      <c r="C7889" t="s">
        <v>41</v>
      </c>
      <c r="D7889" t="str">
        <f>HYPERLINK("http://service.sap.com/sap/support/notes/1848675","1848675")</f>
        <v>1848675</v>
      </c>
      <c r="E7889">
        <v>1</v>
      </c>
      <c r="F7889" t="s">
        <v>7361</v>
      </c>
    </row>
    <row r="7890" spans="1:6" x14ac:dyDescent="0.25">
      <c r="A7890" t="s">
        <v>7433</v>
      </c>
      <c r="B7890" t="s">
        <v>1580</v>
      </c>
      <c r="C7890" t="s">
        <v>307</v>
      </c>
      <c r="D7890" t="str">
        <f>HYPERLINK("http://service.sap.com/sap/support/notes/1839508","1839508")</f>
        <v>1839508</v>
      </c>
      <c r="E7890">
        <v>1</v>
      </c>
      <c r="F7890" t="s">
        <v>7362</v>
      </c>
    </row>
    <row r="7891" spans="1:6" x14ac:dyDescent="0.25">
      <c r="A7891" t="s">
        <v>7433</v>
      </c>
      <c r="B7891" t="s">
        <v>51</v>
      </c>
      <c r="C7891" t="s">
        <v>52</v>
      </c>
      <c r="D7891" t="str">
        <f>HYPERLINK("http://service.sap.com/sap/support/notes/1843407","1843407")</f>
        <v>1843407</v>
      </c>
      <c r="E7891">
        <v>2</v>
      </c>
      <c r="F7891" t="s">
        <v>7363</v>
      </c>
    </row>
    <row r="7892" spans="1:6" x14ac:dyDescent="0.25">
      <c r="A7892" t="s">
        <v>7433</v>
      </c>
      <c r="B7892" t="s">
        <v>525</v>
      </c>
      <c r="C7892" t="s">
        <v>351</v>
      </c>
      <c r="D7892" t="str">
        <f>HYPERLINK("http://service.sap.com/sap/support/notes/1845741","1845741")</f>
        <v>1845741</v>
      </c>
      <c r="E7892">
        <v>1</v>
      </c>
      <c r="F7892" t="s">
        <v>7364</v>
      </c>
    </row>
    <row r="7893" spans="1:6" x14ac:dyDescent="0.25">
      <c r="A7893" t="s">
        <v>7433</v>
      </c>
      <c r="B7893" t="s">
        <v>63</v>
      </c>
      <c r="C7893" t="s">
        <v>64</v>
      </c>
      <c r="D7893" t="str">
        <f>HYPERLINK("http://service.sap.com/sap/support/notes/1823379","1823379")</f>
        <v>1823379</v>
      </c>
      <c r="E7893">
        <v>1</v>
      </c>
      <c r="F7893" t="s">
        <v>2400</v>
      </c>
    </row>
    <row r="7894" spans="1:6" x14ac:dyDescent="0.25">
      <c r="A7894" t="s">
        <v>7433</v>
      </c>
      <c r="B7894" t="s">
        <v>63</v>
      </c>
      <c r="C7894" t="s">
        <v>64</v>
      </c>
      <c r="D7894" t="str">
        <f>HYPERLINK("http://service.sap.com/sap/support/notes/1838126","1838126")</f>
        <v>1838126</v>
      </c>
      <c r="E7894">
        <v>3</v>
      </c>
      <c r="F7894" t="s">
        <v>3292</v>
      </c>
    </row>
    <row r="7895" spans="1:6" x14ac:dyDescent="0.25">
      <c r="A7895" t="s">
        <v>7433</v>
      </c>
      <c r="B7895" t="s">
        <v>63</v>
      </c>
      <c r="C7895" t="s">
        <v>64</v>
      </c>
      <c r="D7895" t="str">
        <f>HYPERLINK("http://service.sap.com/sap/support/notes/1840797","1840797")</f>
        <v>1840797</v>
      </c>
      <c r="E7895">
        <v>1</v>
      </c>
      <c r="F7895" t="s">
        <v>3295</v>
      </c>
    </row>
    <row r="7896" spans="1:6" x14ac:dyDescent="0.25">
      <c r="A7896" t="s">
        <v>7433</v>
      </c>
      <c r="B7896" t="s">
        <v>63</v>
      </c>
      <c r="C7896" t="s">
        <v>64</v>
      </c>
      <c r="D7896" t="str">
        <f>HYPERLINK("http://service.sap.com/sap/support/notes/1842683","1842683")</f>
        <v>1842683</v>
      </c>
      <c r="E7896">
        <v>2</v>
      </c>
      <c r="F7896" t="s">
        <v>7365</v>
      </c>
    </row>
    <row r="7897" spans="1:6" x14ac:dyDescent="0.25">
      <c r="A7897" t="s">
        <v>7433</v>
      </c>
      <c r="B7897" t="s">
        <v>63</v>
      </c>
      <c r="C7897" t="s">
        <v>64</v>
      </c>
      <c r="D7897" t="str">
        <f>HYPERLINK("http://service.sap.com/sap/support/notes/1845085","1845085")</f>
        <v>1845085</v>
      </c>
      <c r="E7897">
        <v>1</v>
      </c>
      <c r="F7897" t="s">
        <v>3298</v>
      </c>
    </row>
    <row r="7898" spans="1:6" x14ac:dyDescent="0.25">
      <c r="A7898" t="s">
        <v>7433</v>
      </c>
      <c r="B7898" t="s">
        <v>63</v>
      </c>
      <c r="C7898" t="s">
        <v>64</v>
      </c>
      <c r="D7898" t="str">
        <f>HYPERLINK("http://service.sap.com/sap/support/notes/1847361","1847361")</f>
        <v>1847361</v>
      </c>
      <c r="E7898">
        <v>1</v>
      </c>
      <c r="F7898" t="s">
        <v>7366</v>
      </c>
    </row>
    <row r="7899" spans="1:6" x14ac:dyDescent="0.25">
      <c r="A7899" t="s">
        <v>7433</v>
      </c>
      <c r="B7899" t="s">
        <v>7367</v>
      </c>
      <c r="C7899" t="s">
        <v>462</v>
      </c>
      <c r="D7899" t="str">
        <f>HYPERLINK("http://service.sap.com/sap/support/notes/1804291","1804291")</f>
        <v>1804291</v>
      </c>
      <c r="E7899">
        <v>2</v>
      </c>
      <c r="F7899" t="s">
        <v>7368</v>
      </c>
    </row>
    <row r="7900" spans="1:6" x14ac:dyDescent="0.25">
      <c r="A7900" t="s">
        <v>7433</v>
      </c>
      <c r="B7900" t="s">
        <v>531</v>
      </c>
      <c r="C7900" t="s">
        <v>532</v>
      </c>
      <c r="D7900" t="str">
        <f>HYPERLINK("http://service.sap.com/sap/support/notes/1798884","1798884")</f>
        <v>1798884</v>
      </c>
      <c r="E7900">
        <v>1</v>
      </c>
      <c r="F7900" t="s">
        <v>7064</v>
      </c>
    </row>
    <row r="7901" spans="1:6" x14ac:dyDescent="0.25">
      <c r="A7901" t="s">
        <v>7433</v>
      </c>
      <c r="B7901" t="s">
        <v>531</v>
      </c>
      <c r="C7901" t="s">
        <v>532</v>
      </c>
      <c r="D7901" t="str">
        <f>HYPERLINK("http://service.sap.com/sap/support/notes/1811073","1811073")</f>
        <v>1811073</v>
      </c>
      <c r="E7901">
        <v>2</v>
      </c>
      <c r="F7901" t="s">
        <v>7369</v>
      </c>
    </row>
    <row r="7902" spans="1:6" x14ac:dyDescent="0.25">
      <c r="A7902" t="s">
        <v>7433</v>
      </c>
      <c r="B7902" t="s">
        <v>531</v>
      </c>
      <c r="C7902" t="s">
        <v>532</v>
      </c>
      <c r="D7902" t="str">
        <f>HYPERLINK("http://service.sap.com/sap/support/notes/1812780","1812780")</f>
        <v>1812780</v>
      </c>
      <c r="E7902">
        <v>1</v>
      </c>
      <c r="F7902" t="s">
        <v>7370</v>
      </c>
    </row>
    <row r="7903" spans="1:6" x14ac:dyDescent="0.25">
      <c r="A7903" t="s">
        <v>7433</v>
      </c>
      <c r="B7903" t="s">
        <v>531</v>
      </c>
      <c r="C7903" t="s">
        <v>532</v>
      </c>
      <c r="D7903" t="str">
        <f>HYPERLINK("http://service.sap.com/sap/support/notes/1836766","1836766")</f>
        <v>1836766</v>
      </c>
      <c r="E7903">
        <v>1</v>
      </c>
      <c r="F7903" t="s">
        <v>7371</v>
      </c>
    </row>
    <row r="7904" spans="1:6" x14ac:dyDescent="0.25">
      <c r="A7904" t="s">
        <v>7433</v>
      </c>
      <c r="B7904" t="s">
        <v>531</v>
      </c>
      <c r="C7904" t="s">
        <v>532</v>
      </c>
      <c r="D7904" t="str">
        <f>HYPERLINK("http://service.sap.com/sap/support/notes/1837667","1837667")</f>
        <v>1837667</v>
      </c>
      <c r="E7904">
        <v>2</v>
      </c>
      <c r="F7904" t="s">
        <v>7372</v>
      </c>
    </row>
    <row r="7905" spans="1:6" x14ac:dyDescent="0.25">
      <c r="A7905" t="s">
        <v>7433</v>
      </c>
      <c r="B7905" t="s">
        <v>531</v>
      </c>
      <c r="C7905" t="s">
        <v>532</v>
      </c>
      <c r="D7905" t="str">
        <f>HYPERLINK("http://service.sap.com/sap/support/notes/1848642","1848642")</f>
        <v>1848642</v>
      </c>
      <c r="E7905">
        <v>1</v>
      </c>
      <c r="F7905" t="s">
        <v>7373</v>
      </c>
    </row>
    <row r="7906" spans="1:6" x14ac:dyDescent="0.25">
      <c r="A7906" t="s">
        <v>7433</v>
      </c>
      <c r="B7906" t="s">
        <v>6018</v>
      </c>
      <c r="C7906" t="s">
        <v>6019</v>
      </c>
      <c r="D7906" t="str">
        <f>HYPERLINK("http://service.sap.com/sap/support/notes/1838998","1838998")</f>
        <v>1838998</v>
      </c>
      <c r="E7906">
        <v>1</v>
      </c>
      <c r="F7906" t="s">
        <v>7374</v>
      </c>
    </row>
    <row r="7907" spans="1:6" x14ac:dyDescent="0.25">
      <c r="A7907" t="s">
        <v>7433</v>
      </c>
      <c r="B7907" t="s">
        <v>6018</v>
      </c>
      <c r="C7907" t="s">
        <v>6019</v>
      </c>
      <c r="D7907" t="str">
        <f>HYPERLINK("http://service.sap.com/sap/support/notes/1841321","1841321")</f>
        <v>1841321</v>
      </c>
      <c r="E7907">
        <v>1</v>
      </c>
      <c r="F7907" t="s">
        <v>7375</v>
      </c>
    </row>
    <row r="7908" spans="1:6" x14ac:dyDescent="0.25">
      <c r="A7908" t="s">
        <v>7433</v>
      </c>
      <c r="B7908" t="s">
        <v>6018</v>
      </c>
      <c r="C7908" t="s">
        <v>6019</v>
      </c>
      <c r="D7908" t="str">
        <f>HYPERLINK("http://service.sap.com/sap/support/notes/1844391","1844391")</f>
        <v>1844391</v>
      </c>
      <c r="E7908">
        <v>1</v>
      </c>
      <c r="F7908" t="s">
        <v>7376</v>
      </c>
    </row>
    <row r="7909" spans="1:6" x14ac:dyDescent="0.25">
      <c r="A7909" t="s">
        <v>7433</v>
      </c>
      <c r="B7909" t="s">
        <v>536</v>
      </c>
      <c r="C7909" t="s">
        <v>537</v>
      </c>
    </row>
    <row r="7910" spans="1:6" x14ac:dyDescent="0.25">
      <c r="A7910" t="s">
        <v>7433</v>
      </c>
      <c r="B7910" t="s">
        <v>5594</v>
      </c>
      <c r="C7910" t="s">
        <v>5595</v>
      </c>
      <c r="D7910" t="str">
        <f>HYPERLINK("http://service.sap.com/sap/support/notes/1822060","1822060")</f>
        <v>1822060</v>
      </c>
      <c r="E7910">
        <v>2</v>
      </c>
      <c r="F7910" t="s">
        <v>7077</v>
      </c>
    </row>
    <row r="7911" spans="1:6" x14ac:dyDescent="0.25">
      <c r="A7911" t="s">
        <v>7433</v>
      </c>
      <c r="B7911" t="s">
        <v>5594</v>
      </c>
      <c r="C7911" t="s">
        <v>5595</v>
      </c>
      <c r="D7911" t="str">
        <f>HYPERLINK("http://service.sap.com/sap/support/notes/1838170","1838170")</f>
        <v>1838170</v>
      </c>
      <c r="E7911">
        <v>2</v>
      </c>
      <c r="F7911" t="s">
        <v>7377</v>
      </c>
    </row>
    <row r="7912" spans="1:6" x14ac:dyDescent="0.25">
      <c r="A7912" t="s">
        <v>7433</v>
      </c>
      <c r="B7912" t="s">
        <v>5594</v>
      </c>
      <c r="C7912" t="s">
        <v>5595</v>
      </c>
      <c r="D7912" t="str">
        <f>HYPERLINK("http://service.sap.com/sap/support/notes/1848663","1848663")</f>
        <v>1848663</v>
      </c>
      <c r="E7912">
        <v>3</v>
      </c>
      <c r="F7912" t="s">
        <v>7378</v>
      </c>
    </row>
    <row r="7913" spans="1:6" x14ac:dyDescent="0.25">
      <c r="A7913" t="s">
        <v>7433</v>
      </c>
      <c r="B7913" t="s">
        <v>540</v>
      </c>
      <c r="C7913" t="s">
        <v>541</v>
      </c>
    </row>
    <row r="7914" spans="1:6" x14ac:dyDescent="0.25">
      <c r="A7914" t="s">
        <v>7433</v>
      </c>
      <c r="B7914" t="s">
        <v>542</v>
      </c>
      <c r="C7914" t="s">
        <v>5604</v>
      </c>
      <c r="D7914" t="str">
        <f>HYPERLINK("http://service.sap.com/sap/support/notes/1718139","1718139")</f>
        <v>1718139</v>
      </c>
      <c r="E7914">
        <v>14</v>
      </c>
      <c r="F7914" t="s">
        <v>7379</v>
      </c>
    </row>
    <row r="7915" spans="1:6" x14ac:dyDescent="0.25">
      <c r="A7915" t="s">
        <v>7433</v>
      </c>
      <c r="B7915" t="s">
        <v>542</v>
      </c>
      <c r="C7915" t="s">
        <v>5604</v>
      </c>
      <c r="D7915" t="str">
        <f>HYPERLINK("http://service.sap.com/sap/support/notes/1826288","1826288")</f>
        <v>1826288</v>
      </c>
      <c r="E7915">
        <v>29</v>
      </c>
      <c r="F7915" t="s">
        <v>7380</v>
      </c>
    </row>
    <row r="7916" spans="1:6" x14ac:dyDescent="0.25">
      <c r="A7916" t="s">
        <v>7433</v>
      </c>
      <c r="B7916" t="s">
        <v>544</v>
      </c>
      <c r="C7916" t="s">
        <v>5610</v>
      </c>
      <c r="D7916" t="str">
        <f>HYPERLINK("http://service.sap.com/sap/support/notes/1815082","1815082")</f>
        <v>1815082</v>
      </c>
      <c r="E7916">
        <v>2</v>
      </c>
      <c r="F7916" t="s">
        <v>7381</v>
      </c>
    </row>
    <row r="7917" spans="1:6" x14ac:dyDescent="0.25">
      <c r="A7917" t="s">
        <v>7433</v>
      </c>
      <c r="B7917" t="s">
        <v>544</v>
      </c>
      <c r="C7917" t="s">
        <v>5610</v>
      </c>
      <c r="D7917" t="str">
        <f>HYPERLINK("http://service.sap.com/sap/support/notes/1847317","1847317")</f>
        <v>1847317</v>
      </c>
      <c r="E7917">
        <v>3</v>
      </c>
      <c r="F7917" t="s">
        <v>7382</v>
      </c>
    </row>
    <row r="7918" spans="1:6" x14ac:dyDescent="0.25">
      <c r="A7918" t="s">
        <v>7433</v>
      </c>
      <c r="B7918" t="s">
        <v>5612</v>
      </c>
      <c r="C7918" t="s">
        <v>707</v>
      </c>
      <c r="D7918" t="str">
        <f>HYPERLINK("http://service.sap.com/sap/support/notes/1844106","1844106")</f>
        <v>1844106</v>
      </c>
      <c r="E7918">
        <v>2</v>
      </c>
      <c r="F7918" t="s">
        <v>7383</v>
      </c>
    </row>
    <row r="7919" spans="1:6" x14ac:dyDescent="0.25">
      <c r="A7919" t="s">
        <v>7433</v>
      </c>
      <c r="B7919" t="s">
        <v>5615</v>
      </c>
      <c r="C7919" t="s">
        <v>5616</v>
      </c>
      <c r="D7919" t="str">
        <f>HYPERLINK("http://service.sap.com/sap/support/notes/1837842","1837842")</f>
        <v>1837842</v>
      </c>
      <c r="E7919">
        <v>1</v>
      </c>
      <c r="F7919" t="s">
        <v>7384</v>
      </c>
    </row>
    <row r="7920" spans="1:6" x14ac:dyDescent="0.25">
      <c r="A7920" t="s">
        <v>7433</v>
      </c>
      <c r="B7920" t="s">
        <v>5615</v>
      </c>
      <c r="C7920" t="s">
        <v>5616</v>
      </c>
      <c r="D7920" t="str">
        <f>HYPERLINK("http://service.sap.com/sap/support/notes/1841847","1841847")</f>
        <v>1841847</v>
      </c>
      <c r="E7920">
        <v>1</v>
      </c>
      <c r="F7920" t="s">
        <v>7385</v>
      </c>
    </row>
    <row r="7921" spans="1:6" x14ac:dyDescent="0.25">
      <c r="A7921" t="s">
        <v>7433</v>
      </c>
      <c r="B7921" t="s">
        <v>5615</v>
      </c>
      <c r="C7921" t="s">
        <v>5616</v>
      </c>
      <c r="D7921" t="str">
        <f>HYPERLINK("http://service.sap.com/sap/support/notes/1843542","1843542")</f>
        <v>1843542</v>
      </c>
      <c r="E7921">
        <v>1</v>
      </c>
      <c r="F7921" t="s">
        <v>7386</v>
      </c>
    </row>
    <row r="7922" spans="1:6" x14ac:dyDescent="0.25">
      <c r="A7922" t="s">
        <v>7433</v>
      </c>
      <c r="B7922" t="s">
        <v>5615</v>
      </c>
      <c r="C7922" t="s">
        <v>5616</v>
      </c>
      <c r="D7922" t="str">
        <f>HYPERLINK("http://service.sap.com/sap/support/notes/1845685","1845685")</f>
        <v>1845685</v>
      </c>
      <c r="E7922">
        <v>1</v>
      </c>
      <c r="F7922" t="s">
        <v>7387</v>
      </c>
    </row>
    <row r="7923" spans="1:6" x14ac:dyDescent="0.25">
      <c r="A7923" t="s">
        <v>7433</v>
      </c>
      <c r="B7923" t="s">
        <v>5615</v>
      </c>
      <c r="C7923" t="s">
        <v>5616</v>
      </c>
      <c r="D7923" t="str">
        <f>HYPERLINK("http://service.sap.com/sap/support/notes/1847827","1847827")</f>
        <v>1847827</v>
      </c>
      <c r="E7923">
        <v>1</v>
      </c>
      <c r="F7923" t="s">
        <v>7388</v>
      </c>
    </row>
    <row r="7924" spans="1:6" x14ac:dyDescent="0.25">
      <c r="A7924" t="s">
        <v>7433</v>
      </c>
      <c r="B7924" t="s">
        <v>85</v>
      </c>
      <c r="C7924" t="s">
        <v>86</v>
      </c>
    </row>
    <row r="7925" spans="1:6" x14ac:dyDescent="0.25">
      <c r="A7925" t="s">
        <v>7433</v>
      </c>
      <c r="B7925" t="s">
        <v>696</v>
      </c>
      <c r="C7925" t="s">
        <v>697</v>
      </c>
    </row>
    <row r="7926" spans="1:6" x14ac:dyDescent="0.25">
      <c r="A7926" t="s">
        <v>7433</v>
      </c>
      <c r="B7926" t="s">
        <v>5868</v>
      </c>
      <c r="C7926" t="s">
        <v>5869</v>
      </c>
      <c r="D7926" t="str">
        <f>HYPERLINK("http://service.sap.com/sap/support/notes/1834687","1834687")</f>
        <v>1834687</v>
      </c>
      <c r="E7926">
        <v>1</v>
      </c>
      <c r="F7926" t="s">
        <v>7389</v>
      </c>
    </row>
    <row r="7927" spans="1:6" x14ac:dyDescent="0.25">
      <c r="A7927" t="s">
        <v>7433</v>
      </c>
      <c r="B7927" t="s">
        <v>3380</v>
      </c>
      <c r="C7927" t="s">
        <v>3381</v>
      </c>
      <c r="D7927" t="str">
        <f>HYPERLINK("http://service.sap.com/sap/support/notes/1831209","1831209")</f>
        <v>1831209</v>
      </c>
      <c r="E7927">
        <v>1</v>
      </c>
      <c r="F7927" t="s">
        <v>7390</v>
      </c>
    </row>
    <row r="7928" spans="1:6" x14ac:dyDescent="0.25">
      <c r="A7928" t="s">
        <v>7433</v>
      </c>
      <c r="B7928" t="s">
        <v>698</v>
      </c>
      <c r="C7928" t="s">
        <v>699</v>
      </c>
      <c r="D7928" t="str">
        <f>HYPERLINK("http://service.sap.com/sap/support/notes/1805974","1805974")</f>
        <v>1805974</v>
      </c>
      <c r="E7928">
        <v>1</v>
      </c>
      <c r="F7928" t="s">
        <v>7391</v>
      </c>
    </row>
    <row r="7929" spans="1:6" x14ac:dyDescent="0.25">
      <c r="A7929" t="s">
        <v>7433</v>
      </c>
      <c r="B7929" t="s">
        <v>698</v>
      </c>
      <c r="C7929" t="s">
        <v>699</v>
      </c>
      <c r="D7929" t="str">
        <f>HYPERLINK("http://service.sap.com/sap/support/notes/1815489","1815489")</f>
        <v>1815489</v>
      </c>
      <c r="E7929">
        <v>1</v>
      </c>
      <c r="F7929" t="s">
        <v>7392</v>
      </c>
    </row>
    <row r="7930" spans="1:6" x14ac:dyDescent="0.25">
      <c r="A7930" t="s">
        <v>7433</v>
      </c>
      <c r="B7930" t="s">
        <v>698</v>
      </c>
      <c r="C7930" t="s">
        <v>699</v>
      </c>
      <c r="D7930" t="str">
        <f>HYPERLINK("http://service.sap.com/sap/support/notes/1816115","1816115")</f>
        <v>1816115</v>
      </c>
      <c r="E7930">
        <v>1</v>
      </c>
      <c r="F7930" t="s">
        <v>7393</v>
      </c>
    </row>
    <row r="7931" spans="1:6" x14ac:dyDescent="0.25">
      <c r="A7931" t="s">
        <v>7433</v>
      </c>
      <c r="B7931" t="s">
        <v>698</v>
      </c>
      <c r="C7931" t="s">
        <v>699</v>
      </c>
      <c r="D7931" t="str">
        <f>HYPERLINK("http://service.sap.com/sap/support/notes/1817780","1817780")</f>
        <v>1817780</v>
      </c>
      <c r="E7931">
        <v>3</v>
      </c>
      <c r="F7931" t="s">
        <v>7394</v>
      </c>
    </row>
    <row r="7932" spans="1:6" x14ac:dyDescent="0.25">
      <c r="A7932" t="s">
        <v>7433</v>
      </c>
      <c r="B7932" t="s">
        <v>698</v>
      </c>
      <c r="C7932" t="s">
        <v>699</v>
      </c>
      <c r="D7932" t="str">
        <f>HYPERLINK("http://service.sap.com/sap/support/notes/1821759","1821759")</f>
        <v>1821759</v>
      </c>
      <c r="E7932">
        <v>1</v>
      </c>
      <c r="F7932" t="s">
        <v>7395</v>
      </c>
    </row>
    <row r="7933" spans="1:6" x14ac:dyDescent="0.25">
      <c r="A7933" t="s">
        <v>7433</v>
      </c>
      <c r="B7933" t="s">
        <v>698</v>
      </c>
      <c r="C7933" t="s">
        <v>699</v>
      </c>
      <c r="D7933" t="str">
        <f>HYPERLINK("http://service.sap.com/sap/support/notes/1826104","1826104")</f>
        <v>1826104</v>
      </c>
      <c r="E7933">
        <v>1</v>
      </c>
      <c r="F7933" t="s">
        <v>7396</v>
      </c>
    </row>
    <row r="7934" spans="1:6" x14ac:dyDescent="0.25">
      <c r="A7934" t="s">
        <v>7433</v>
      </c>
      <c r="B7934" t="s">
        <v>698</v>
      </c>
      <c r="C7934" t="s">
        <v>699</v>
      </c>
      <c r="D7934" t="str">
        <f>HYPERLINK("http://service.sap.com/sap/support/notes/1831771","1831771")</f>
        <v>1831771</v>
      </c>
      <c r="E7934">
        <v>1</v>
      </c>
      <c r="F7934" t="s">
        <v>7397</v>
      </c>
    </row>
    <row r="7935" spans="1:6" x14ac:dyDescent="0.25">
      <c r="A7935" t="s">
        <v>7433</v>
      </c>
      <c r="B7935" t="s">
        <v>6077</v>
      </c>
      <c r="C7935" t="s">
        <v>645</v>
      </c>
      <c r="D7935" t="str">
        <f>HYPERLINK("http://service.sap.com/sap/support/notes/1838882","1838882")</f>
        <v>1838882</v>
      </c>
      <c r="E7935">
        <v>2</v>
      </c>
      <c r="F7935" t="s">
        <v>7398</v>
      </c>
    </row>
    <row r="7936" spans="1:6" x14ac:dyDescent="0.25">
      <c r="A7936" t="s">
        <v>7433</v>
      </c>
      <c r="B7936" t="s">
        <v>90</v>
      </c>
      <c r="C7936" t="s">
        <v>13</v>
      </c>
    </row>
    <row r="7937" spans="1:6" x14ac:dyDescent="0.25">
      <c r="A7937" t="s">
        <v>7433</v>
      </c>
      <c r="B7937" t="s">
        <v>6308</v>
      </c>
      <c r="C7937" t="s">
        <v>6309</v>
      </c>
      <c r="D7937" t="str">
        <f>HYPERLINK("http://service.sap.com/sap/support/notes/1835409","1835409")</f>
        <v>1835409</v>
      </c>
      <c r="E7937">
        <v>1</v>
      </c>
      <c r="F7937" t="s">
        <v>7399</v>
      </c>
    </row>
    <row r="7938" spans="1:6" x14ac:dyDescent="0.25">
      <c r="A7938" t="s">
        <v>7433</v>
      </c>
      <c r="B7938" t="s">
        <v>551</v>
      </c>
      <c r="C7938" t="s">
        <v>552</v>
      </c>
    </row>
    <row r="7939" spans="1:6" x14ac:dyDescent="0.25">
      <c r="A7939" t="s">
        <v>7433</v>
      </c>
      <c r="B7939" t="s">
        <v>553</v>
      </c>
      <c r="C7939" t="s">
        <v>554</v>
      </c>
      <c r="D7939" t="str">
        <f>HYPERLINK("http://service.sap.com/sap/support/notes/1497229","1497229")</f>
        <v>1497229</v>
      </c>
      <c r="E7939">
        <v>5</v>
      </c>
      <c r="F7939" t="s">
        <v>7400</v>
      </c>
    </row>
    <row r="7940" spans="1:6" x14ac:dyDescent="0.25">
      <c r="A7940" t="s">
        <v>7433</v>
      </c>
      <c r="B7940" t="s">
        <v>553</v>
      </c>
      <c r="C7940" t="s">
        <v>554</v>
      </c>
      <c r="D7940" t="str">
        <f>HYPERLINK("http://service.sap.com/sap/support/notes/1502958","1502958")</f>
        <v>1502958</v>
      </c>
      <c r="E7940">
        <v>2</v>
      </c>
      <c r="F7940" t="s">
        <v>7401</v>
      </c>
    </row>
    <row r="7941" spans="1:6" x14ac:dyDescent="0.25">
      <c r="A7941" t="s">
        <v>7433</v>
      </c>
      <c r="B7941" t="s">
        <v>553</v>
      </c>
      <c r="C7941" t="s">
        <v>554</v>
      </c>
      <c r="D7941" t="str">
        <f>HYPERLINK("http://service.sap.com/sap/support/notes/1536033","1536033")</f>
        <v>1536033</v>
      </c>
      <c r="E7941">
        <v>4</v>
      </c>
      <c r="F7941" t="s">
        <v>7402</v>
      </c>
    </row>
    <row r="7942" spans="1:6" x14ac:dyDescent="0.25">
      <c r="A7942" t="s">
        <v>7433</v>
      </c>
      <c r="B7942" t="s">
        <v>553</v>
      </c>
      <c r="C7942" t="s">
        <v>554</v>
      </c>
      <c r="D7942" t="str">
        <f>HYPERLINK("http://service.sap.com/sap/support/notes/1715478","1715478")</f>
        <v>1715478</v>
      </c>
      <c r="E7942">
        <v>1</v>
      </c>
      <c r="F7942" t="s">
        <v>7403</v>
      </c>
    </row>
    <row r="7943" spans="1:6" x14ac:dyDescent="0.25">
      <c r="A7943" t="s">
        <v>7433</v>
      </c>
      <c r="B7943" t="s">
        <v>553</v>
      </c>
      <c r="C7943" t="s">
        <v>554</v>
      </c>
      <c r="D7943" t="str">
        <f>HYPERLINK("http://service.sap.com/sap/support/notes/1763621","1763621")</f>
        <v>1763621</v>
      </c>
      <c r="E7943">
        <v>3</v>
      </c>
      <c r="F7943" t="s">
        <v>7404</v>
      </c>
    </row>
    <row r="7944" spans="1:6" x14ac:dyDescent="0.25">
      <c r="A7944" t="s">
        <v>7433</v>
      </c>
      <c r="B7944" t="s">
        <v>553</v>
      </c>
      <c r="C7944" t="s">
        <v>554</v>
      </c>
      <c r="D7944" t="str">
        <f>HYPERLINK("http://service.sap.com/sap/support/notes/1844576","1844576")</f>
        <v>1844576</v>
      </c>
      <c r="E7944">
        <v>1</v>
      </c>
      <c r="F7944" t="s">
        <v>7405</v>
      </c>
    </row>
    <row r="7945" spans="1:6" x14ac:dyDescent="0.25">
      <c r="A7945" t="s">
        <v>7433</v>
      </c>
      <c r="B7945" t="s">
        <v>553</v>
      </c>
      <c r="C7945" t="s">
        <v>554</v>
      </c>
      <c r="D7945" t="str">
        <f>HYPERLINK("http://service.sap.com/sap/support/notes/1846224","1846224")</f>
        <v>1846224</v>
      </c>
      <c r="E7945">
        <v>1</v>
      </c>
      <c r="F7945" t="s">
        <v>7406</v>
      </c>
    </row>
    <row r="7946" spans="1:6" x14ac:dyDescent="0.25">
      <c r="A7946" t="s">
        <v>7433</v>
      </c>
      <c r="B7946" t="s">
        <v>557</v>
      </c>
      <c r="C7946" t="s">
        <v>646</v>
      </c>
    </row>
    <row r="7947" spans="1:6" x14ac:dyDescent="0.25">
      <c r="A7947" t="s">
        <v>7433</v>
      </c>
      <c r="B7947" t="s">
        <v>563</v>
      </c>
      <c r="C7947" t="s">
        <v>564</v>
      </c>
    </row>
    <row r="7948" spans="1:6" x14ac:dyDescent="0.25">
      <c r="A7948" t="s">
        <v>7433</v>
      </c>
      <c r="B7948" t="s">
        <v>647</v>
      </c>
      <c r="C7948" t="s">
        <v>648</v>
      </c>
      <c r="D7948" t="str">
        <f>HYPERLINK("http://service.sap.com/sap/support/notes/1718647","1718647")</f>
        <v>1718647</v>
      </c>
      <c r="E7948">
        <v>9</v>
      </c>
      <c r="F7948" t="s">
        <v>7407</v>
      </c>
    </row>
    <row r="7949" spans="1:6" x14ac:dyDescent="0.25">
      <c r="A7949" t="s">
        <v>7433</v>
      </c>
      <c r="B7949" t="s">
        <v>647</v>
      </c>
      <c r="C7949" t="s">
        <v>648</v>
      </c>
      <c r="D7949" t="str">
        <f>HYPERLINK("http://service.sap.com/sap/support/notes/1725193","1725193")</f>
        <v>1725193</v>
      </c>
      <c r="E7949">
        <v>2</v>
      </c>
      <c r="F7949" t="s">
        <v>7408</v>
      </c>
    </row>
    <row r="7950" spans="1:6" x14ac:dyDescent="0.25">
      <c r="A7950" t="s">
        <v>7433</v>
      </c>
      <c r="B7950" t="s">
        <v>647</v>
      </c>
      <c r="C7950" t="s">
        <v>648</v>
      </c>
      <c r="D7950" t="str">
        <f>HYPERLINK("http://service.sap.com/sap/support/notes/1830604","1830604")</f>
        <v>1830604</v>
      </c>
      <c r="F7950" t="s">
        <v>7409</v>
      </c>
    </row>
    <row r="7951" spans="1:6" x14ac:dyDescent="0.25">
      <c r="A7951" t="s">
        <v>7433</v>
      </c>
      <c r="B7951" t="s">
        <v>647</v>
      </c>
      <c r="C7951" t="s">
        <v>648</v>
      </c>
      <c r="D7951" t="str">
        <f>HYPERLINK("http://service.sap.com/sap/support/notes/1835788","1835788")</f>
        <v>1835788</v>
      </c>
      <c r="F7951" t="s">
        <v>7410</v>
      </c>
    </row>
    <row r="7952" spans="1:6" x14ac:dyDescent="0.25">
      <c r="A7952" t="s">
        <v>7433</v>
      </c>
      <c r="B7952" t="s">
        <v>647</v>
      </c>
      <c r="C7952" t="s">
        <v>648</v>
      </c>
      <c r="D7952" t="str">
        <f>HYPERLINK("http://service.sap.com/sap/support/notes/1837638","1837638")</f>
        <v>1837638</v>
      </c>
      <c r="F7952" t="s">
        <v>7411</v>
      </c>
    </row>
    <row r="7953" spans="1:6" x14ac:dyDescent="0.25">
      <c r="A7953" t="s">
        <v>7433</v>
      </c>
      <c r="B7953" t="s">
        <v>647</v>
      </c>
      <c r="C7953" t="s">
        <v>648</v>
      </c>
      <c r="D7953" t="str">
        <f>HYPERLINK("http://service.sap.com/sap/support/notes/1838053","1838053")</f>
        <v>1838053</v>
      </c>
      <c r="E7953">
        <v>1</v>
      </c>
      <c r="F7953" t="s">
        <v>7412</v>
      </c>
    </row>
    <row r="7954" spans="1:6" x14ac:dyDescent="0.25">
      <c r="A7954" t="s">
        <v>7433</v>
      </c>
      <c r="B7954" t="s">
        <v>647</v>
      </c>
      <c r="C7954" t="s">
        <v>648</v>
      </c>
      <c r="D7954" t="str">
        <f>HYPERLINK("http://service.sap.com/sap/support/notes/1840722","1840722")</f>
        <v>1840722</v>
      </c>
      <c r="F7954" t="s">
        <v>7413</v>
      </c>
    </row>
    <row r="7955" spans="1:6" x14ac:dyDescent="0.25">
      <c r="A7955" t="s">
        <v>7433</v>
      </c>
      <c r="B7955" t="s">
        <v>647</v>
      </c>
      <c r="C7955" t="s">
        <v>648</v>
      </c>
      <c r="D7955" t="str">
        <f>HYPERLINK("http://service.sap.com/sap/support/notes/1843203","1843203")</f>
        <v>1843203</v>
      </c>
      <c r="F7955" t="s">
        <v>7414</v>
      </c>
    </row>
    <row r="7956" spans="1:6" x14ac:dyDescent="0.25">
      <c r="A7956" t="s">
        <v>7433</v>
      </c>
      <c r="B7956" t="s">
        <v>95</v>
      </c>
      <c r="C7956" t="s">
        <v>96</v>
      </c>
    </row>
    <row r="7957" spans="1:6" x14ac:dyDescent="0.25">
      <c r="A7957" t="s">
        <v>7433</v>
      </c>
      <c r="B7957" t="s">
        <v>114</v>
      </c>
      <c r="C7957" t="s">
        <v>115</v>
      </c>
      <c r="D7957" t="str">
        <f>HYPERLINK("http://service.sap.com/sap/support/notes/1839884","1839884")</f>
        <v>1839884</v>
      </c>
      <c r="E7957">
        <v>1</v>
      </c>
      <c r="F7957" t="s">
        <v>3440</v>
      </c>
    </row>
    <row r="7958" spans="1:6" x14ac:dyDescent="0.25">
      <c r="A7958" t="s">
        <v>7433</v>
      </c>
      <c r="B7958" t="s">
        <v>114</v>
      </c>
      <c r="C7958" t="s">
        <v>115</v>
      </c>
      <c r="D7958" t="str">
        <f>HYPERLINK("http://service.sap.com/sap/support/notes/1842237","1842237")</f>
        <v>1842237</v>
      </c>
      <c r="E7958">
        <v>1</v>
      </c>
      <c r="F7958" t="s">
        <v>3442</v>
      </c>
    </row>
    <row r="7959" spans="1:6" x14ac:dyDescent="0.25">
      <c r="A7959" t="s">
        <v>7433</v>
      </c>
      <c r="B7959" t="s">
        <v>114</v>
      </c>
      <c r="C7959" t="s">
        <v>115</v>
      </c>
      <c r="D7959" t="str">
        <f>HYPERLINK("http://service.sap.com/sap/support/notes/1847871","1847871")</f>
        <v>1847871</v>
      </c>
      <c r="E7959">
        <v>1</v>
      </c>
      <c r="F7959" t="s">
        <v>3447</v>
      </c>
    </row>
    <row r="7960" spans="1:6" x14ac:dyDescent="0.25">
      <c r="A7960" t="s">
        <v>7433</v>
      </c>
      <c r="B7960" t="s">
        <v>685</v>
      </c>
      <c r="C7960" t="s">
        <v>686</v>
      </c>
      <c r="D7960" t="str">
        <f>HYPERLINK("http://service.sap.com/sap/support/notes/1840034","1840034")</f>
        <v>1840034</v>
      </c>
      <c r="E7960">
        <v>1</v>
      </c>
      <c r="F7960" t="s">
        <v>7415</v>
      </c>
    </row>
    <row r="7961" spans="1:6" x14ac:dyDescent="0.25">
      <c r="A7961" t="s">
        <v>7433</v>
      </c>
      <c r="B7961" t="s">
        <v>685</v>
      </c>
      <c r="C7961" t="s">
        <v>686</v>
      </c>
      <c r="D7961" t="str">
        <f>HYPERLINK("http://service.sap.com/sap/support/notes/1840782","1840782")</f>
        <v>1840782</v>
      </c>
      <c r="E7961">
        <v>1</v>
      </c>
      <c r="F7961" t="s">
        <v>7416</v>
      </c>
    </row>
    <row r="7962" spans="1:6" x14ac:dyDescent="0.25">
      <c r="A7962" t="s">
        <v>7433</v>
      </c>
      <c r="B7962" t="s">
        <v>685</v>
      </c>
      <c r="C7962" t="s">
        <v>686</v>
      </c>
      <c r="D7962" t="str">
        <f>HYPERLINK("http://service.sap.com/sap/support/notes/1848906","1848906")</f>
        <v>1848906</v>
      </c>
      <c r="E7962">
        <v>1</v>
      </c>
      <c r="F7962" t="s">
        <v>3450</v>
      </c>
    </row>
    <row r="7963" spans="1:6" x14ac:dyDescent="0.25">
      <c r="A7963" t="s">
        <v>7433</v>
      </c>
      <c r="B7963" t="s">
        <v>159</v>
      </c>
      <c r="C7963" t="s">
        <v>160</v>
      </c>
      <c r="D7963" t="str">
        <f>HYPERLINK("http://service.sap.com/sap/support/notes/1706933","1706933")</f>
        <v>1706933</v>
      </c>
      <c r="E7963">
        <v>2</v>
      </c>
      <c r="F7963" t="s">
        <v>2496</v>
      </c>
    </row>
    <row r="7964" spans="1:6" x14ac:dyDescent="0.25">
      <c r="A7964" t="s">
        <v>7433</v>
      </c>
      <c r="B7964" t="s">
        <v>175</v>
      </c>
      <c r="C7964" t="s">
        <v>176</v>
      </c>
    </row>
    <row r="7965" spans="1:6" x14ac:dyDescent="0.25">
      <c r="A7965" t="s">
        <v>7433</v>
      </c>
      <c r="B7965" t="s">
        <v>183</v>
      </c>
      <c r="C7965" t="s">
        <v>184</v>
      </c>
    </row>
    <row r="7966" spans="1:6" x14ac:dyDescent="0.25">
      <c r="A7966" t="s">
        <v>7433</v>
      </c>
      <c r="B7966" t="s">
        <v>578</v>
      </c>
      <c r="C7966" t="s">
        <v>4485</v>
      </c>
      <c r="D7966" t="str">
        <f>HYPERLINK("http://service.sap.com/sap/support/notes/1833986","1833986")</f>
        <v>1833986</v>
      </c>
      <c r="E7966">
        <v>4</v>
      </c>
      <c r="F7966" t="s">
        <v>3516</v>
      </c>
    </row>
    <row r="7967" spans="1:6" x14ac:dyDescent="0.25">
      <c r="A7967" t="s">
        <v>7433</v>
      </c>
      <c r="B7967" t="s">
        <v>319</v>
      </c>
      <c r="C7967" t="s">
        <v>320</v>
      </c>
      <c r="D7967" t="str">
        <f>HYPERLINK("http://service.sap.com/sap/support/notes/1788995","1788995")</f>
        <v>1788995</v>
      </c>
      <c r="E7967">
        <v>1</v>
      </c>
      <c r="F7967" t="s">
        <v>3623</v>
      </c>
    </row>
    <row r="7968" spans="1:6" x14ac:dyDescent="0.25">
      <c r="A7968" t="s">
        <v>7433</v>
      </c>
      <c r="B7968" t="s">
        <v>319</v>
      </c>
      <c r="C7968" t="s">
        <v>320</v>
      </c>
      <c r="D7968" t="str">
        <f>HYPERLINK("http://service.sap.com/sap/support/notes/1835814","1835814")</f>
        <v>1835814</v>
      </c>
      <c r="E7968">
        <v>2</v>
      </c>
      <c r="F7968" t="s">
        <v>3624</v>
      </c>
    </row>
    <row r="7969" spans="1:6" x14ac:dyDescent="0.25">
      <c r="A7969" t="s">
        <v>7433</v>
      </c>
      <c r="B7969" t="s">
        <v>327</v>
      </c>
      <c r="C7969" t="s">
        <v>328</v>
      </c>
      <c r="D7969" t="str">
        <f>HYPERLINK("http://service.sap.com/sap/support/notes/1750476","1750476")</f>
        <v>1750476</v>
      </c>
      <c r="E7969">
        <v>1</v>
      </c>
      <c r="F7969" t="s">
        <v>7417</v>
      </c>
    </row>
    <row r="7970" spans="1:6" x14ac:dyDescent="0.25">
      <c r="A7970" t="s">
        <v>7433</v>
      </c>
      <c r="B7970" t="s">
        <v>395</v>
      </c>
      <c r="C7970" t="s">
        <v>396</v>
      </c>
      <c r="D7970" t="str">
        <f>HYPERLINK("http://service.sap.com/sap/support/notes/1836546","1836546")</f>
        <v>1836546</v>
      </c>
      <c r="E7970">
        <v>1</v>
      </c>
      <c r="F7970" t="s">
        <v>3691</v>
      </c>
    </row>
    <row r="7971" spans="1:6" x14ac:dyDescent="0.25">
      <c r="A7971" t="s">
        <v>7433</v>
      </c>
      <c r="B7971" t="s">
        <v>423</v>
      </c>
      <c r="C7971" t="s">
        <v>424</v>
      </c>
      <c r="D7971" t="str">
        <f>HYPERLINK("http://service.sap.com/sap/support/notes/1833670","1833670")</f>
        <v>1833670</v>
      </c>
      <c r="E7971">
        <v>1</v>
      </c>
      <c r="F7971" t="s">
        <v>7418</v>
      </c>
    </row>
    <row r="7972" spans="1:6" x14ac:dyDescent="0.25">
      <c r="A7972" t="s">
        <v>7433</v>
      </c>
      <c r="B7972" t="s">
        <v>423</v>
      </c>
      <c r="C7972" t="s">
        <v>424</v>
      </c>
      <c r="D7972" t="str">
        <f>HYPERLINK("http://service.sap.com/sap/support/notes/1837290","1837290")</f>
        <v>1837290</v>
      </c>
      <c r="E7972">
        <v>1</v>
      </c>
      <c r="F7972" t="s">
        <v>3726</v>
      </c>
    </row>
    <row r="7973" spans="1:6" x14ac:dyDescent="0.25">
      <c r="A7973" t="s">
        <v>7433</v>
      </c>
      <c r="B7973" t="s">
        <v>423</v>
      </c>
      <c r="C7973" t="s">
        <v>424</v>
      </c>
      <c r="D7973" t="str">
        <f>HYPERLINK("http://service.sap.com/sap/support/notes/1839145","1839145")</f>
        <v>1839145</v>
      </c>
      <c r="E7973">
        <v>2</v>
      </c>
      <c r="F7973" t="s">
        <v>7419</v>
      </c>
    </row>
    <row r="7974" spans="1:6" x14ac:dyDescent="0.25">
      <c r="A7974" t="s">
        <v>7433</v>
      </c>
      <c r="B7974" t="s">
        <v>423</v>
      </c>
      <c r="C7974" t="s">
        <v>424</v>
      </c>
      <c r="D7974" t="str">
        <f>HYPERLINK("http://service.sap.com/sap/support/notes/1839648","1839648")</f>
        <v>1839648</v>
      </c>
      <c r="E7974">
        <v>2</v>
      </c>
      <c r="F7974" t="s">
        <v>3727</v>
      </c>
    </row>
    <row r="7975" spans="1:6" x14ac:dyDescent="0.25">
      <c r="A7975" t="s">
        <v>7433</v>
      </c>
      <c r="B7975" t="s">
        <v>423</v>
      </c>
      <c r="C7975" t="s">
        <v>424</v>
      </c>
      <c r="D7975" t="str">
        <f>HYPERLINK("http://service.sap.com/sap/support/notes/1840750","1840750")</f>
        <v>1840750</v>
      </c>
      <c r="E7975">
        <v>2</v>
      </c>
      <c r="F7975" t="s">
        <v>3730</v>
      </c>
    </row>
    <row r="7976" spans="1:6" x14ac:dyDescent="0.25">
      <c r="A7976" t="s">
        <v>7433</v>
      </c>
      <c r="B7976" t="s">
        <v>423</v>
      </c>
      <c r="C7976" t="s">
        <v>424</v>
      </c>
      <c r="D7976" t="str">
        <f>HYPERLINK("http://service.sap.com/sap/support/notes/1841630","1841630")</f>
        <v>1841630</v>
      </c>
      <c r="E7976">
        <v>1</v>
      </c>
      <c r="F7976" t="s">
        <v>3731</v>
      </c>
    </row>
    <row r="7977" spans="1:6" x14ac:dyDescent="0.25">
      <c r="A7977" t="s">
        <v>7433</v>
      </c>
      <c r="B7977" t="s">
        <v>423</v>
      </c>
      <c r="C7977" t="s">
        <v>424</v>
      </c>
      <c r="D7977" t="str">
        <f>HYPERLINK("http://service.sap.com/sap/support/notes/1845275","1845275")</f>
        <v>1845275</v>
      </c>
      <c r="E7977">
        <v>7</v>
      </c>
      <c r="F7977" t="s">
        <v>3732</v>
      </c>
    </row>
    <row r="7978" spans="1:6" x14ac:dyDescent="0.25">
      <c r="A7978" t="s">
        <v>7433</v>
      </c>
      <c r="B7978" t="s">
        <v>430</v>
      </c>
      <c r="C7978" t="s">
        <v>431</v>
      </c>
      <c r="D7978" t="str">
        <f>HYPERLINK("http://service.sap.com/sap/support/notes/1814476","1814476")</f>
        <v>1814476</v>
      </c>
      <c r="E7978">
        <v>2</v>
      </c>
      <c r="F7978" t="s">
        <v>3169</v>
      </c>
    </row>
    <row r="7979" spans="1:6" x14ac:dyDescent="0.25">
      <c r="A7979" t="s">
        <v>7433</v>
      </c>
      <c r="B7979" t="s">
        <v>610</v>
      </c>
      <c r="C7979" t="s">
        <v>635</v>
      </c>
    </row>
    <row r="7980" spans="1:6" x14ac:dyDescent="0.25">
      <c r="A7980" t="s">
        <v>7433</v>
      </c>
      <c r="B7980" t="s">
        <v>612</v>
      </c>
      <c r="C7980" t="s">
        <v>5696</v>
      </c>
      <c r="D7980" t="str">
        <f>HYPERLINK("http://service.sap.com/sap/support/notes/1605387","1605387")</f>
        <v>1605387</v>
      </c>
      <c r="E7980">
        <v>2</v>
      </c>
      <c r="F7980" t="s">
        <v>7420</v>
      </c>
    </row>
    <row r="7981" spans="1:6" x14ac:dyDescent="0.25">
      <c r="A7981" t="s">
        <v>7433</v>
      </c>
      <c r="B7981" t="s">
        <v>612</v>
      </c>
      <c r="C7981" t="s">
        <v>5696</v>
      </c>
      <c r="D7981" t="str">
        <f>HYPERLINK("http://service.sap.com/sap/support/notes/1823631","1823631")</f>
        <v>1823631</v>
      </c>
      <c r="E7981">
        <v>2</v>
      </c>
      <c r="F7981" t="s">
        <v>7421</v>
      </c>
    </row>
    <row r="7982" spans="1:6" x14ac:dyDescent="0.25">
      <c r="A7982" t="s">
        <v>7433</v>
      </c>
      <c r="B7982" t="s">
        <v>612</v>
      </c>
      <c r="C7982" t="s">
        <v>5696</v>
      </c>
      <c r="D7982" t="str">
        <f>HYPERLINK("http://service.sap.com/sap/support/notes/1826932","1826932")</f>
        <v>1826932</v>
      </c>
      <c r="E7982">
        <v>2</v>
      </c>
      <c r="F7982" t="s">
        <v>7422</v>
      </c>
    </row>
    <row r="7983" spans="1:6" x14ac:dyDescent="0.25">
      <c r="A7983" t="s">
        <v>7433</v>
      </c>
      <c r="B7983" t="s">
        <v>612</v>
      </c>
      <c r="C7983" t="s">
        <v>5696</v>
      </c>
      <c r="D7983" t="str">
        <f>HYPERLINK("http://service.sap.com/sap/support/notes/1827155","1827155")</f>
        <v>1827155</v>
      </c>
      <c r="E7983">
        <v>2</v>
      </c>
      <c r="F7983" t="s">
        <v>7423</v>
      </c>
    </row>
    <row r="7984" spans="1:6" x14ac:dyDescent="0.25">
      <c r="A7984" t="s">
        <v>7433</v>
      </c>
      <c r="B7984" t="s">
        <v>612</v>
      </c>
      <c r="C7984" t="s">
        <v>5696</v>
      </c>
      <c r="D7984" t="str">
        <f>HYPERLINK("http://service.sap.com/sap/support/notes/1836686","1836686")</f>
        <v>1836686</v>
      </c>
      <c r="E7984">
        <v>3</v>
      </c>
      <c r="F7984" t="s">
        <v>3798</v>
      </c>
    </row>
    <row r="7985" spans="1:6" x14ac:dyDescent="0.25">
      <c r="A7985" t="s">
        <v>7433</v>
      </c>
      <c r="B7985" t="s">
        <v>612</v>
      </c>
      <c r="C7985" t="s">
        <v>5696</v>
      </c>
      <c r="D7985" t="str">
        <f>HYPERLINK("http://service.sap.com/sap/support/notes/1837117","1837117")</f>
        <v>1837117</v>
      </c>
      <c r="E7985">
        <v>2</v>
      </c>
      <c r="F7985" t="s">
        <v>3799</v>
      </c>
    </row>
    <row r="7986" spans="1:6" x14ac:dyDescent="0.25">
      <c r="A7986" t="s">
        <v>7433</v>
      </c>
      <c r="B7986" t="s">
        <v>612</v>
      </c>
      <c r="C7986" t="s">
        <v>5696</v>
      </c>
      <c r="D7986" t="str">
        <f>HYPERLINK("http://service.sap.com/sap/support/notes/1844996","1844996")</f>
        <v>1844996</v>
      </c>
      <c r="E7986">
        <v>2</v>
      </c>
      <c r="F7986" t="s">
        <v>7424</v>
      </c>
    </row>
    <row r="7987" spans="1:6" x14ac:dyDescent="0.25">
      <c r="A7987" t="s">
        <v>7433</v>
      </c>
      <c r="B7987" t="s">
        <v>612</v>
      </c>
      <c r="C7987" t="s">
        <v>5696</v>
      </c>
      <c r="D7987" t="str">
        <f>HYPERLINK("http://service.sap.com/sap/support/notes/1846638","1846638")</f>
        <v>1846638</v>
      </c>
      <c r="E7987">
        <v>1</v>
      </c>
      <c r="F7987" t="s">
        <v>7425</v>
      </c>
    </row>
    <row r="7988" spans="1:6" x14ac:dyDescent="0.25">
      <c r="A7988" t="s">
        <v>7433</v>
      </c>
      <c r="B7988" t="s">
        <v>612</v>
      </c>
      <c r="C7988" t="s">
        <v>5696</v>
      </c>
      <c r="D7988" t="str">
        <f>HYPERLINK("http://service.sap.com/sap/support/notes/1846655","1846655")</f>
        <v>1846655</v>
      </c>
      <c r="E7988">
        <v>1</v>
      </c>
      <c r="F7988" t="s">
        <v>7426</v>
      </c>
    </row>
    <row r="7989" spans="1:6" x14ac:dyDescent="0.25">
      <c r="A7989" t="s">
        <v>7433</v>
      </c>
      <c r="B7989" t="s">
        <v>612</v>
      </c>
      <c r="C7989" t="s">
        <v>5696</v>
      </c>
      <c r="D7989" t="str">
        <f>HYPERLINK("http://service.sap.com/sap/support/notes/1848674","1848674")</f>
        <v>1848674</v>
      </c>
      <c r="E7989">
        <v>2</v>
      </c>
      <c r="F7989" t="s">
        <v>7427</v>
      </c>
    </row>
    <row r="7990" spans="1:6" x14ac:dyDescent="0.25">
      <c r="A7990" t="s">
        <v>7433</v>
      </c>
      <c r="B7990" t="s">
        <v>614</v>
      </c>
      <c r="C7990" t="s">
        <v>615</v>
      </c>
      <c r="D7990" t="str">
        <f>HYPERLINK("http://service.sap.com/sap/support/notes/1844462","1844462")</f>
        <v>1844462</v>
      </c>
      <c r="E7990">
        <v>1</v>
      </c>
      <c r="F7990" t="s">
        <v>3802</v>
      </c>
    </row>
    <row r="7991" spans="1:6" x14ac:dyDescent="0.25">
      <c r="A7991" t="s">
        <v>7433</v>
      </c>
      <c r="B7991" t="s">
        <v>616</v>
      </c>
      <c r="C7991" t="s">
        <v>617</v>
      </c>
      <c r="D7991" t="str">
        <f>HYPERLINK("http://service.sap.com/sap/support/notes/1823032","1823032")</f>
        <v>1823032</v>
      </c>
      <c r="E7991">
        <v>2</v>
      </c>
      <c r="F7991" t="s">
        <v>7428</v>
      </c>
    </row>
    <row r="7992" spans="1:6" x14ac:dyDescent="0.25">
      <c r="A7992" t="s">
        <v>7433</v>
      </c>
      <c r="B7992" t="s">
        <v>670</v>
      </c>
      <c r="C7992" t="s">
        <v>671</v>
      </c>
    </row>
    <row r="7993" spans="1:6" x14ac:dyDescent="0.25">
      <c r="A7993" t="s">
        <v>7433</v>
      </c>
      <c r="B7993" t="s">
        <v>672</v>
      </c>
      <c r="C7993" t="s">
        <v>673</v>
      </c>
    </row>
    <row r="7994" spans="1:6" x14ac:dyDescent="0.25">
      <c r="A7994" t="s">
        <v>7433</v>
      </c>
      <c r="B7994" t="s">
        <v>5707</v>
      </c>
      <c r="C7994" t="s">
        <v>5708</v>
      </c>
    </row>
    <row r="7995" spans="1:6" x14ac:dyDescent="0.25">
      <c r="A7995" t="s">
        <v>7433</v>
      </c>
      <c r="B7995" t="s">
        <v>5709</v>
      </c>
      <c r="C7995" t="s">
        <v>5710</v>
      </c>
      <c r="D7995" t="str">
        <f>HYPERLINK("http://service.sap.com/sap/support/notes/1840519","1840519")</f>
        <v>1840519</v>
      </c>
      <c r="E7995">
        <v>1</v>
      </c>
      <c r="F7995" t="s">
        <v>7429</v>
      </c>
    </row>
    <row r="7996" spans="1:6" x14ac:dyDescent="0.25">
      <c r="A7996" t="s">
        <v>7433</v>
      </c>
      <c r="B7996" t="s">
        <v>5713</v>
      </c>
      <c r="C7996" t="s">
        <v>5714</v>
      </c>
    </row>
    <row r="7997" spans="1:6" x14ac:dyDescent="0.25">
      <c r="A7997" t="s">
        <v>7433</v>
      </c>
      <c r="B7997" t="s">
        <v>5715</v>
      </c>
      <c r="C7997" t="s">
        <v>5710</v>
      </c>
      <c r="D7997" t="str">
        <f>HYPERLINK("http://service.sap.com/sap/support/notes/1835580","1835580")</f>
        <v>1835580</v>
      </c>
      <c r="E7997">
        <v>1</v>
      </c>
      <c r="F7997" t="s">
        <v>7430</v>
      </c>
    </row>
    <row r="7998" spans="1:6" x14ac:dyDescent="0.25">
      <c r="A7998" t="s">
        <v>7433</v>
      </c>
      <c r="B7998" t="s">
        <v>5715</v>
      </c>
      <c r="C7998" t="s">
        <v>5710</v>
      </c>
      <c r="D7998" t="str">
        <f>HYPERLINK("http://service.sap.com/sap/support/notes/1845450","1845450")</f>
        <v>1845450</v>
      </c>
      <c r="E7998">
        <v>3</v>
      </c>
      <c r="F7998" t="s">
        <v>7431</v>
      </c>
    </row>
    <row r="7999" spans="1:6" x14ac:dyDescent="0.25">
      <c r="A7999" t="s">
        <v>7433</v>
      </c>
      <c r="B7999" t="s">
        <v>5718</v>
      </c>
      <c r="C7999" t="s">
        <v>5719</v>
      </c>
    </row>
    <row r="8000" spans="1:6" x14ac:dyDescent="0.25">
      <c r="A8000" t="s">
        <v>7433</v>
      </c>
      <c r="B8000" t="s">
        <v>5720</v>
      </c>
      <c r="C8000" t="s">
        <v>5710</v>
      </c>
      <c r="D8000" t="str">
        <f>HYPERLINK("http://service.sap.com/sap/support/notes/1837664","1837664")</f>
        <v>1837664</v>
      </c>
      <c r="E8000">
        <v>2</v>
      </c>
      <c r="F8000" t="s">
        <v>7432</v>
      </c>
    </row>
    <row r="8001" spans="1:6" x14ac:dyDescent="0.25">
      <c r="A8001" t="s">
        <v>7434</v>
      </c>
      <c r="B8001" t="s">
        <v>5</v>
      </c>
      <c r="C8001" t="s">
        <v>6</v>
      </c>
    </row>
    <row r="8002" spans="1:6" x14ac:dyDescent="0.25">
      <c r="A8002" t="s">
        <v>7434</v>
      </c>
      <c r="B8002" t="s">
        <v>7</v>
      </c>
      <c r="C8002" t="s">
        <v>8</v>
      </c>
    </row>
    <row r="8003" spans="1:6" x14ac:dyDescent="0.25">
      <c r="A8003" t="s">
        <v>7434</v>
      </c>
      <c r="B8003" t="s">
        <v>3851</v>
      </c>
      <c r="C8003" t="s">
        <v>7134</v>
      </c>
      <c r="D8003" t="str">
        <f>HYPERLINK("http://service.sap.com/sap/support/notes/1500266","1500266")</f>
        <v>1500266</v>
      </c>
      <c r="E8003">
        <v>6</v>
      </c>
      <c r="F8003" t="s">
        <v>3853</v>
      </c>
    </row>
    <row r="8004" spans="1:6" x14ac:dyDescent="0.25">
      <c r="A8004" t="s">
        <v>7434</v>
      </c>
      <c r="B8004" t="s">
        <v>3851</v>
      </c>
      <c r="C8004" t="s">
        <v>7134</v>
      </c>
      <c r="D8004" t="str">
        <f>HYPERLINK("http://service.sap.com/sap/support/notes/1596433","1596433")</f>
        <v>1596433</v>
      </c>
      <c r="E8004">
        <v>7</v>
      </c>
      <c r="F8004" t="s">
        <v>7435</v>
      </c>
    </row>
    <row r="8005" spans="1:6" x14ac:dyDescent="0.25">
      <c r="A8005" t="s">
        <v>7434</v>
      </c>
      <c r="B8005" t="s">
        <v>3851</v>
      </c>
      <c r="C8005" t="s">
        <v>7134</v>
      </c>
      <c r="D8005" t="str">
        <f>HYPERLINK("http://service.sap.com/sap/support/notes/1658184","1658184")</f>
        <v>1658184</v>
      </c>
      <c r="E8005">
        <v>3</v>
      </c>
      <c r="F8005" t="s">
        <v>7436</v>
      </c>
    </row>
    <row r="8006" spans="1:6" x14ac:dyDescent="0.25">
      <c r="A8006" t="s">
        <v>7434</v>
      </c>
      <c r="B8006" t="s">
        <v>3851</v>
      </c>
      <c r="C8006" t="s">
        <v>7134</v>
      </c>
      <c r="D8006" t="str">
        <f>HYPERLINK("http://service.sap.com/sap/support/notes/1787287","1787287")</f>
        <v>1787287</v>
      </c>
      <c r="E8006">
        <v>3</v>
      </c>
      <c r="F8006" t="s">
        <v>7437</v>
      </c>
    </row>
    <row r="8007" spans="1:6" x14ac:dyDescent="0.25">
      <c r="A8007" t="s">
        <v>7434</v>
      </c>
      <c r="B8007" t="s">
        <v>3851</v>
      </c>
      <c r="C8007" t="s">
        <v>7134</v>
      </c>
      <c r="D8007" t="str">
        <f>HYPERLINK("http://service.sap.com/sap/support/notes/1830744","1830744")</f>
        <v>1830744</v>
      </c>
      <c r="E8007">
        <v>1</v>
      </c>
      <c r="F8007" t="s">
        <v>7438</v>
      </c>
    </row>
    <row r="8008" spans="1:6" x14ac:dyDescent="0.25">
      <c r="A8008" t="s">
        <v>7434</v>
      </c>
      <c r="B8008" t="s">
        <v>3851</v>
      </c>
      <c r="C8008" t="s">
        <v>7134</v>
      </c>
      <c r="D8008" t="str">
        <f>HYPERLINK("http://service.sap.com/sap/support/notes/1851522","1851522")</f>
        <v>1851522</v>
      </c>
      <c r="E8008">
        <v>1</v>
      </c>
      <c r="F8008" t="s">
        <v>7439</v>
      </c>
    </row>
    <row r="8009" spans="1:6" x14ac:dyDescent="0.25">
      <c r="A8009" t="s">
        <v>7434</v>
      </c>
      <c r="B8009" t="s">
        <v>481</v>
      </c>
      <c r="C8009" t="s">
        <v>482</v>
      </c>
    </row>
    <row r="8010" spans="1:6" x14ac:dyDescent="0.25">
      <c r="A8010" t="s">
        <v>7434</v>
      </c>
      <c r="B8010" t="s">
        <v>487</v>
      </c>
      <c r="C8010" t="s">
        <v>488</v>
      </c>
    </row>
    <row r="8011" spans="1:6" x14ac:dyDescent="0.25">
      <c r="A8011" t="s">
        <v>7434</v>
      </c>
      <c r="B8011" t="s">
        <v>489</v>
      </c>
      <c r="C8011" t="s">
        <v>641</v>
      </c>
      <c r="D8011" t="str">
        <f>HYPERLINK("http://service.sap.com/sap/support/notes/1851948","1851948")</f>
        <v>1851948</v>
      </c>
      <c r="E8011">
        <v>1</v>
      </c>
      <c r="F8011" t="s">
        <v>7440</v>
      </c>
    </row>
    <row r="8012" spans="1:6" x14ac:dyDescent="0.25">
      <c r="A8012" t="s">
        <v>7434</v>
      </c>
      <c r="B8012" t="s">
        <v>490</v>
      </c>
      <c r="C8012" t="s">
        <v>491</v>
      </c>
      <c r="D8012" t="str">
        <f>HYPERLINK("http://service.sap.com/sap/support/notes/1861977","1861977")</f>
        <v>1861977</v>
      </c>
      <c r="E8012">
        <v>2</v>
      </c>
      <c r="F8012" t="s">
        <v>4236</v>
      </c>
    </row>
    <row r="8013" spans="1:6" x14ac:dyDescent="0.25">
      <c r="A8013" t="s">
        <v>7434</v>
      </c>
      <c r="B8013" t="s">
        <v>722</v>
      </c>
      <c r="C8013" t="s">
        <v>723</v>
      </c>
    </row>
    <row r="8014" spans="1:6" x14ac:dyDescent="0.25">
      <c r="A8014" t="s">
        <v>7434</v>
      </c>
      <c r="B8014" t="s">
        <v>724</v>
      </c>
      <c r="C8014" t="s">
        <v>648</v>
      </c>
      <c r="D8014" t="str">
        <f>HYPERLINK("http://service.sap.com/sap/support/notes/1768511","1768511")</f>
        <v>1768511</v>
      </c>
      <c r="E8014">
        <v>2</v>
      </c>
      <c r="F8014" t="s">
        <v>7441</v>
      </c>
    </row>
    <row r="8015" spans="1:6" x14ac:dyDescent="0.25">
      <c r="A8015" t="s">
        <v>7434</v>
      </c>
      <c r="B8015" t="s">
        <v>724</v>
      </c>
      <c r="C8015" t="s">
        <v>648</v>
      </c>
      <c r="D8015" t="str">
        <f>HYPERLINK("http://service.sap.com/sap/support/notes/1796854","1796854")</f>
        <v>1796854</v>
      </c>
      <c r="E8015">
        <v>3</v>
      </c>
      <c r="F8015" t="s">
        <v>7442</v>
      </c>
    </row>
    <row r="8016" spans="1:6" x14ac:dyDescent="0.25">
      <c r="A8016" t="s">
        <v>7434</v>
      </c>
      <c r="B8016" t="s">
        <v>724</v>
      </c>
      <c r="C8016" t="s">
        <v>648</v>
      </c>
      <c r="D8016" t="str">
        <f>HYPERLINK("http://service.sap.com/sap/support/notes/1819761","1819761")</f>
        <v>1819761</v>
      </c>
      <c r="E8016">
        <v>1</v>
      </c>
      <c r="F8016" t="s">
        <v>7443</v>
      </c>
    </row>
    <row r="8017" spans="1:6" x14ac:dyDescent="0.25">
      <c r="A8017" t="s">
        <v>7434</v>
      </c>
      <c r="B8017" t="s">
        <v>724</v>
      </c>
      <c r="C8017" t="s">
        <v>648</v>
      </c>
      <c r="D8017" t="str">
        <f>HYPERLINK("http://service.sap.com/sap/support/notes/1824691","1824691")</f>
        <v>1824691</v>
      </c>
      <c r="E8017">
        <v>1</v>
      </c>
      <c r="F8017" t="s">
        <v>7444</v>
      </c>
    </row>
    <row r="8018" spans="1:6" x14ac:dyDescent="0.25">
      <c r="A8018" t="s">
        <v>7434</v>
      </c>
      <c r="B8018" t="s">
        <v>724</v>
      </c>
      <c r="C8018" t="s">
        <v>648</v>
      </c>
      <c r="D8018" t="str">
        <f>HYPERLINK("http://service.sap.com/sap/support/notes/1835815","1835815")</f>
        <v>1835815</v>
      </c>
      <c r="E8018">
        <v>1</v>
      </c>
      <c r="F8018" t="s">
        <v>7445</v>
      </c>
    </row>
    <row r="8019" spans="1:6" x14ac:dyDescent="0.25">
      <c r="A8019" t="s">
        <v>7434</v>
      </c>
      <c r="B8019" t="s">
        <v>724</v>
      </c>
      <c r="C8019" t="s">
        <v>648</v>
      </c>
      <c r="D8019" t="str">
        <f>HYPERLINK("http://service.sap.com/sap/support/notes/1836457","1836457")</f>
        <v>1836457</v>
      </c>
      <c r="E8019">
        <v>2</v>
      </c>
      <c r="F8019" t="s">
        <v>7446</v>
      </c>
    </row>
    <row r="8020" spans="1:6" x14ac:dyDescent="0.25">
      <c r="A8020" t="s">
        <v>7434</v>
      </c>
      <c r="B8020" t="s">
        <v>724</v>
      </c>
      <c r="C8020" t="s">
        <v>648</v>
      </c>
      <c r="D8020" t="str">
        <f>HYPERLINK("http://service.sap.com/sap/support/notes/1838380","1838380")</f>
        <v>1838380</v>
      </c>
      <c r="E8020">
        <v>1</v>
      </c>
      <c r="F8020" t="s">
        <v>7447</v>
      </c>
    </row>
    <row r="8021" spans="1:6" x14ac:dyDescent="0.25">
      <c r="A8021" t="s">
        <v>7434</v>
      </c>
      <c r="B8021" t="s">
        <v>724</v>
      </c>
      <c r="C8021" t="s">
        <v>648</v>
      </c>
      <c r="D8021" t="str">
        <f>HYPERLINK("http://service.sap.com/sap/support/notes/1844988","1844988")</f>
        <v>1844988</v>
      </c>
      <c r="E8021">
        <v>2</v>
      </c>
      <c r="F8021" t="s">
        <v>7448</v>
      </c>
    </row>
    <row r="8022" spans="1:6" x14ac:dyDescent="0.25">
      <c r="A8022" t="s">
        <v>7434</v>
      </c>
      <c r="B8022" t="s">
        <v>724</v>
      </c>
      <c r="C8022" t="s">
        <v>648</v>
      </c>
      <c r="D8022" t="str">
        <f>HYPERLINK("http://service.sap.com/sap/support/notes/1847642","1847642")</f>
        <v>1847642</v>
      </c>
      <c r="E8022">
        <v>2</v>
      </c>
      <c r="F8022" t="s">
        <v>7449</v>
      </c>
    </row>
    <row r="8023" spans="1:6" x14ac:dyDescent="0.25">
      <c r="A8023" t="s">
        <v>7434</v>
      </c>
      <c r="B8023" t="s">
        <v>493</v>
      </c>
      <c r="C8023" t="s">
        <v>494</v>
      </c>
    </row>
    <row r="8024" spans="1:6" x14ac:dyDescent="0.25">
      <c r="A8024" t="s">
        <v>7434</v>
      </c>
      <c r="B8024" t="s">
        <v>495</v>
      </c>
      <c r="C8024" t="s">
        <v>655</v>
      </c>
      <c r="D8024" t="str">
        <f>HYPERLINK("http://service.sap.com/sap/support/notes/1706835","1706835")</f>
        <v>1706835</v>
      </c>
      <c r="E8024">
        <v>3</v>
      </c>
      <c r="F8024" t="s">
        <v>1567</v>
      </c>
    </row>
    <row r="8025" spans="1:6" x14ac:dyDescent="0.25">
      <c r="A8025" t="s">
        <v>7434</v>
      </c>
      <c r="B8025" t="s">
        <v>495</v>
      </c>
      <c r="C8025" t="s">
        <v>655</v>
      </c>
      <c r="D8025" t="str">
        <f>HYPERLINK("http://service.sap.com/sap/support/notes/1851704","1851704")</f>
        <v>1851704</v>
      </c>
      <c r="E8025">
        <v>2</v>
      </c>
      <c r="F8025" t="s">
        <v>7450</v>
      </c>
    </row>
    <row r="8026" spans="1:6" x14ac:dyDescent="0.25">
      <c r="A8026" t="s">
        <v>7434</v>
      </c>
      <c r="B8026" t="s">
        <v>495</v>
      </c>
      <c r="C8026" t="s">
        <v>655</v>
      </c>
      <c r="D8026" t="str">
        <f>HYPERLINK("http://service.sap.com/sap/support/notes/1855887","1855887")</f>
        <v>1855887</v>
      </c>
      <c r="E8026">
        <v>4</v>
      </c>
      <c r="F8026" t="s">
        <v>7451</v>
      </c>
    </row>
    <row r="8027" spans="1:6" x14ac:dyDescent="0.25">
      <c r="A8027" t="s">
        <v>7434</v>
      </c>
      <c r="B8027" t="s">
        <v>497</v>
      </c>
      <c r="C8027" t="s">
        <v>498</v>
      </c>
      <c r="D8027" t="str">
        <f>HYPERLINK("http://service.sap.com/sap/support/notes/1835430","1835430")</f>
        <v>1835430</v>
      </c>
      <c r="E8027">
        <v>1</v>
      </c>
      <c r="F8027" t="s">
        <v>7452</v>
      </c>
    </row>
    <row r="8028" spans="1:6" x14ac:dyDescent="0.25">
      <c r="A8028" t="s">
        <v>7434</v>
      </c>
      <c r="B8028" t="s">
        <v>497</v>
      </c>
      <c r="C8028" t="s">
        <v>498</v>
      </c>
      <c r="D8028" t="str">
        <f>HYPERLINK("http://service.sap.com/sap/support/notes/1842355","1842355")</f>
        <v>1842355</v>
      </c>
      <c r="E8028">
        <v>2</v>
      </c>
      <c r="F8028" t="s">
        <v>7453</v>
      </c>
    </row>
    <row r="8029" spans="1:6" x14ac:dyDescent="0.25">
      <c r="A8029" t="s">
        <v>7434</v>
      </c>
      <c r="B8029" t="s">
        <v>497</v>
      </c>
      <c r="C8029" t="s">
        <v>498</v>
      </c>
      <c r="D8029" t="str">
        <f>HYPERLINK("http://service.sap.com/sap/support/notes/1844411","1844411")</f>
        <v>1844411</v>
      </c>
      <c r="E8029">
        <v>4</v>
      </c>
      <c r="F8029" t="s">
        <v>7454</v>
      </c>
    </row>
    <row r="8030" spans="1:6" x14ac:dyDescent="0.25">
      <c r="A8030" t="s">
        <v>7434</v>
      </c>
      <c r="B8030" t="s">
        <v>497</v>
      </c>
      <c r="C8030" t="s">
        <v>498</v>
      </c>
      <c r="D8030" t="str">
        <f>HYPERLINK("http://service.sap.com/sap/support/notes/1846768","1846768")</f>
        <v>1846768</v>
      </c>
      <c r="E8030">
        <v>1</v>
      </c>
      <c r="F8030" t="s">
        <v>7455</v>
      </c>
    </row>
    <row r="8031" spans="1:6" x14ac:dyDescent="0.25">
      <c r="A8031" t="s">
        <v>7434</v>
      </c>
      <c r="B8031" t="s">
        <v>497</v>
      </c>
      <c r="C8031" t="s">
        <v>498</v>
      </c>
      <c r="D8031" t="str">
        <f>HYPERLINK("http://service.sap.com/sap/support/notes/1846835","1846835")</f>
        <v>1846835</v>
      </c>
      <c r="E8031">
        <v>1</v>
      </c>
      <c r="F8031" t="s">
        <v>7456</v>
      </c>
    </row>
    <row r="8032" spans="1:6" x14ac:dyDescent="0.25">
      <c r="A8032" t="s">
        <v>7434</v>
      </c>
      <c r="B8032" t="s">
        <v>497</v>
      </c>
      <c r="C8032" t="s">
        <v>498</v>
      </c>
      <c r="D8032" t="str">
        <f>HYPERLINK("http://service.sap.com/sap/support/notes/1849569","1849569")</f>
        <v>1849569</v>
      </c>
      <c r="E8032">
        <v>1</v>
      </c>
      <c r="F8032" t="s">
        <v>7457</v>
      </c>
    </row>
    <row r="8033" spans="1:6" x14ac:dyDescent="0.25">
      <c r="A8033" t="s">
        <v>7434</v>
      </c>
      <c r="B8033" t="s">
        <v>497</v>
      </c>
      <c r="C8033" t="s">
        <v>498</v>
      </c>
      <c r="D8033" t="str">
        <f>HYPERLINK("http://service.sap.com/sap/support/notes/1850986","1850986")</f>
        <v>1850986</v>
      </c>
      <c r="E8033">
        <v>1</v>
      </c>
      <c r="F8033" t="s">
        <v>7458</v>
      </c>
    </row>
    <row r="8034" spans="1:6" x14ac:dyDescent="0.25">
      <c r="A8034" t="s">
        <v>7434</v>
      </c>
      <c r="B8034" t="s">
        <v>497</v>
      </c>
      <c r="C8034" t="s">
        <v>498</v>
      </c>
      <c r="D8034" t="str">
        <f>HYPERLINK("http://service.sap.com/sap/support/notes/1851480","1851480")</f>
        <v>1851480</v>
      </c>
      <c r="E8034">
        <v>1</v>
      </c>
      <c r="F8034" t="s">
        <v>7459</v>
      </c>
    </row>
    <row r="8035" spans="1:6" x14ac:dyDescent="0.25">
      <c r="A8035" t="s">
        <v>7434</v>
      </c>
      <c r="B8035" t="s">
        <v>497</v>
      </c>
      <c r="C8035" t="s">
        <v>498</v>
      </c>
      <c r="D8035" t="str">
        <f>HYPERLINK("http://service.sap.com/sap/support/notes/1852809","1852809")</f>
        <v>1852809</v>
      </c>
      <c r="E8035">
        <v>1</v>
      </c>
      <c r="F8035" t="s">
        <v>7460</v>
      </c>
    </row>
    <row r="8036" spans="1:6" x14ac:dyDescent="0.25">
      <c r="A8036" t="s">
        <v>7434</v>
      </c>
      <c r="B8036" t="s">
        <v>497</v>
      </c>
      <c r="C8036" t="s">
        <v>498</v>
      </c>
      <c r="D8036" t="str">
        <f>HYPERLINK("http://service.sap.com/sap/support/notes/1853645","1853645")</f>
        <v>1853645</v>
      </c>
      <c r="E8036">
        <v>1</v>
      </c>
      <c r="F8036" t="s">
        <v>7461</v>
      </c>
    </row>
    <row r="8037" spans="1:6" x14ac:dyDescent="0.25">
      <c r="A8037" t="s">
        <v>7434</v>
      </c>
      <c r="B8037" t="s">
        <v>497</v>
      </c>
      <c r="C8037" t="s">
        <v>498</v>
      </c>
      <c r="D8037" t="str">
        <f>HYPERLINK("http://service.sap.com/sap/support/notes/1854507","1854507")</f>
        <v>1854507</v>
      </c>
      <c r="E8037">
        <v>1</v>
      </c>
      <c r="F8037" t="s">
        <v>7462</v>
      </c>
    </row>
    <row r="8038" spans="1:6" x14ac:dyDescent="0.25">
      <c r="A8038" t="s">
        <v>7434</v>
      </c>
      <c r="B8038" t="s">
        <v>497</v>
      </c>
      <c r="C8038" t="s">
        <v>498</v>
      </c>
      <c r="D8038" t="str">
        <f>HYPERLINK("http://service.sap.com/sap/support/notes/1855833","1855833")</f>
        <v>1855833</v>
      </c>
      <c r="E8038">
        <v>1</v>
      </c>
      <c r="F8038" t="s">
        <v>7463</v>
      </c>
    </row>
    <row r="8039" spans="1:6" x14ac:dyDescent="0.25">
      <c r="A8039" t="s">
        <v>7434</v>
      </c>
      <c r="B8039" t="s">
        <v>497</v>
      </c>
      <c r="C8039" t="s">
        <v>498</v>
      </c>
      <c r="D8039" t="str">
        <f>HYPERLINK("http://service.sap.com/sap/support/notes/1856062","1856062")</f>
        <v>1856062</v>
      </c>
      <c r="E8039">
        <v>1</v>
      </c>
      <c r="F8039" t="s">
        <v>7464</v>
      </c>
    </row>
    <row r="8040" spans="1:6" x14ac:dyDescent="0.25">
      <c r="A8040" t="s">
        <v>7434</v>
      </c>
      <c r="B8040" t="s">
        <v>497</v>
      </c>
      <c r="C8040" t="s">
        <v>498</v>
      </c>
      <c r="D8040" t="str">
        <f>HYPERLINK("http://service.sap.com/sap/support/notes/1858489","1858489")</f>
        <v>1858489</v>
      </c>
      <c r="E8040">
        <v>1</v>
      </c>
      <c r="F8040" t="s">
        <v>7465</v>
      </c>
    </row>
    <row r="8041" spans="1:6" x14ac:dyDescent="0.25">
      <c r="A8041" t="s">
        <v>7434</v>
      </c>
      <c r="B8041" t="s">
        <v>497</v>
      </c>
      <c r="C8041" t="s">
        <v>498</v>
      </c>
      <c r="D8041" t="str">
        <f>HYPERLINK("http://service.sap.com/sap/support/notes/1859325","1859325")</f>
        <v>1859325</v>
      </c>
      <c r="E8041">
        <v>1</v>
      </c>
      <c r="F8041" t="s">
        <v>7466</v>
      </c>
    </row>
    <row r="8042" spans="1:6" x14ac:dyDescent="0.25">
      <c r="A8042" t="s">
        <v>7434</v>
      </c>
      <c r="B8042" t="s">
        <v>497</v>
      </c>
      <c r="C8042" t="s">
        <v>498</v>
      </c>
      <c r="D8042" t="str">
        <f>HYPERLINK("http://service.sap.com/sap/support/notes/1860064","1860064")</f>
        <v>1860064</v>
      </c>
      <c r="E8042">
        <v>2</v>
      </c>
      <c r="F8042" t="s">
        <v>7467</v>
      </c>
    </row>
    <row r="8043" spans="1:6" x14ac:dyDescent="0.25">
      <c r="A8043" t="s">
        <v>7434</v>
      </c>
      <c r="B8043" t="s">
        <v>497</v>
      </c>
      <c r="C8043" t="s">
        <v>498</v>
      </c>
      <c r="D8043" t="str">
        <f>HYPERLINK("http://service.sap.com/sap/support/notes/1861186","1861186")</f>
        <v>1861186</v>
      </c>
      <c r="E8043">
        <v>1</v>
      </c>
      <c r="F8043" t="s">
        <v>7468</v>
      </c>
    </row>
    <row r="8044" spans="1:6" x14ac:dyDescent="0.25">
      <c r="A8044" t="s">
        <v>7434</v>
      </c>
      <c r="B8044" t="s">
        <v>497</v>
      </c>
      <c r="C8044" t="s">
        <v>498</v>
      </c>
      <c r="D8044" t="str">
        <f>HYPERLINK("http://service.sap.com/sap/support/notes/1861784","1861784")</f>
        <v>1861784</v>
      </c>
      <c r="E8044">
        <v>2</v>
      </c>
      <c r="F8044" t="s">
        <v>7469</v>
      </c>
    </row>
    <row r="8045" spans="1:6" x14ac:dyDescent="0.25">
      <c r="A8045" t="s">
        <v>7434</v>
      </c>
      <c r="B8045" t="s">
        <v>497</v>
      </c>
      <c r="C8045" t="s">
        <v>498</v>
      </c>
      <c r="D8045" t="str">
        <f>HYPERLINK("http://service.sap.com/sap/support/notes/1862487","1862487")</f>
        <v>1862487</v>
      </c>
      <c r="E8045">
        <v>1</v>
      </c>
      <c r="F8045" t="s">
        <v>7470</v>
      </c>
    </row>
    <row r="8046" spans="1:6" x14ac:dyDescent="0.25">
      <c r="A8046" t="s">
        <v>7434</v>
      </c>
      <c r="B8046" t="s">
        <v>497</v>
      </c>
      <c r="C8046" t="s">
        <v>498</v>
      </c>
      <c r="D8046" t="str">
        <f>HYPERLINK("http://service.sap.com/sap/support/notes/1862797","1862797")</f>
        <v>1862797</v>
      </c>
      <c r="E8046">
        <v>1</v>
      </c>
      <c r="F8046" t="s">
        <v>7471</v>
      </c>
    </row>
    <row r="8047" spans="1:6" x14ac:dyDescent="0.25">
      <c r="A8047" t="s">
        <v>7434</v>
      </c>
      <c r="B8047" t="s">
        <v>497</v>
      </c>
      <c r="C8047" t="s">
        <v>498</v>
      </c>
      <c r="D8047" t="str">
        <f>HYPERLINK("http://service.sap.com/sap/support/notes/1863232","1863232")</f>
        <v>1863232</v>
      </c>
      <c r="E8047">
        <v>1</v>
      </c>
      <c r="F8047" t="s">
        <v>7472</v>
      </c>
    </row>
    <row r="8048" spans="1:6" x14ac:dyDescent="0.25">
      <c r="A8048" t="s">
        <v>7434</v>
      </c>
      <c r="B8048" t="s">
        <v>656</v>
      </c>
      <c r="C8048" t="s">
        <v>657</v>
      </c>
      <c r="D8048" t="str">
        <f>HYPERLINK("http://service.sap.com/sap/support/notes/1791542","1791542")</f>
        <v>1791542</v>
      </c>
      <c r="E8048">
        <v>3</v>
      </c>
      <c r="F8048" t="s">
        <v>7160</v>
      </c>
    </row>
    <row r="8049" spans="1:6" x14ac:dyDescent="0.25">
      <c r="A8049" t="s">
        <v>7434</v>
      </c>
      <c r="B8049" t="s">
        <v>656</v>
      </c>
      <c r="C8049" t="s">
        <v>657</v>
      </c>
      <c r="D8049" t="str">
        <f>HYPERLINK("http://service.sap.com/sap/support/notes/1815033","1815033")</f>
        <v>1815033</v>
      </c>
      <c r="E8049">
        <v>1</v>
      </c>
      <c r="F8049" t="s">
        <v>7473</v>
      </c>
    </row>
    <row r="8050" spans="1:6" x14ac:dyDescent="0.25">
      <c r="A8050" t="s">
        <v>7434</v>
      </c>
      <c r="B8050" t="s">
        <v>656</v>
      </c>
      <c r="C8050" t="s">
        <v>657</v>
      </c>
      <c r="D8050" t="str">
        <f>HYPERLINK("http://service.sap.com/sap/support/notes/1821238","1821238")</f>
        <v>1821238</v>
      </c>
      <c r="E8050">
        <v>1</v>
      </c>
      <c r="F8050" t="s">
        <v>7474</v>
      </c>
    </row>
    <row r="8051" spans="1:6" x14ac:dyDescent="0.25">
      <c r="A8051" t="s">
        <v>7434</v>
      </c>
      <c r="B8051" t="s">
        <v>656</v>
      </c>
      <c r="C8051" t="s">
        <v>657</v>
      </c>
      <c r="D8051" t="str">
        <f>HYPERLINK("http://service.sap.com/sap/support/notes/1830241","1830241")</f>
        <v>1830241</v>
      </c>
      <c r="E8051">
        <v>2</v>
      </c>
      <c r="F8051" t="s">
        <v>7475</v>
      </c>
    </row>
    <row r="8052" spans="1:6" x14ac:dyDescent="0.25">
      <c r="A8052" t="s">
        <v>7434</v>
      </c>
      <c r="B8052" t="s">
        <v>656</v>
      </c>
      <c r="C8052" t="s">
        <v>657</v>
      </c>
      <c r="D8052" t="str">
        <f>HYPERLINK("http://service.sap.com/sap/support/notes/1837723","1837723")</f>
        <v>1837723</v>
      </c>
      <c r="E8052">
        <v>2</v>
      </c>
      <c r="F8052" t="s">
        <v>7476</v>
      </c>
    </row>
    <row r="8053" spans="1:6" x14ac:dyDescent="0.25">
      <c r="A8053" t="s">
        <v>7434</v>
      </c>
      <c r="B8053" t="s">
        <v>656</v>
      </c>
      <c r="C8053" t="s">
        <v>657</v>
      </c>
      <c r="D8053" t="str">
        <f>HYPERLINK("http://service.sap.com/sap/support/notes/1838851","1838851")</f>
        <v>1838851</v>
      </c>
      <c r="E8053">
        <v>3</v>
      </c>
      <c r="F8053" t="s">
        <v>7333</v>
      </c>
    </row>
    <row r="8054" spans="1:6" x14ac:dyDescent="0.25">
      <c r="A8054" t="s">
        <v>7434</v>
      </c>
      <c r="B8054" t="s">
        <v>656</v>
      </c>
      <c r="C8054" t="s">
        <v>657</v>
      </c>
      <c r="D8054" t="str">
        <f>HYPERLINK("http://service.sap.com/sap/support/notes/1846425","1846425")</f>
        <v>1846425</v>
      </c>
      <c r="E8054">
        <v>1</v>
      </c>
      <c r="F8054" t="s">
        <v>7477</v>
      </c>
    </row>
    <row r="8055" spans="1:6" x14ac:dyDescent="0.25">
      <c r="A8055" t="s">
        <v>7434</v>
      </c>
      <c r="B8055" t="s">
        <v>656</v>
      </c>
      <c r="C8055" t="s">
        <v>657</v>
      </c>
      <c r="D8055" t="str">
        <f>HYPERLINK("http://service.sap.com/sap/support/notes/1849173","1849173")</f>
        <v>1849173</v>
      </c>
      <c r="E8055">
        <v>1</v>
      </c>
      <c r="F8055" t="s">
        <v>7478</v>
      </c>
    </row>
    <row r="8056" spans="1:6" x14ac:dyDescent="0.25">
      <c r="A8056" t="s">
        <v>7434</v>
      </c>
      <c r="B8056" t="s">
        <v>656</v>
      </c>
      <c r="C8056" t="s">
        <v>657</v>
      </c>
      <c r="D8056" t="str">
        <f>HYPERLINK("http://service.sap.com/sap/support/notes/1850210","1850210")</f>
        <v>1850210</v>
      </c>
      <c r="E8056">
        <v>1</v>
      </c>
      <c r="F8056" t="s">
        <v>7479</v>
      </c>
    </row>
    <row r="8057" spans="1:6" x14ac:dyDescent="0.25">
      <c r="A8057" t="s">
        <v>7434</v>
      </c>
      <c r="B8057" t="s">
        <v>656</v>
      </c>
      <c r="C8057" t="s">
        <v>657</v>
      </c>
      <c r="D8057" t="str">
        <f>HYPERLINK("http://service.sap.com/sap/support/notes/1850310","1850310")</f>
        <v>1850310</v>
      </c>
      <c r="E8057">
        <v>2</v>
      </c>
      <c r="F8057" t="s">
        <v>7480</v>
      </c>
    </row>
    <row r="8058" spans="1:6" x14ac:dyDescent="0.25">
      <c r="A8058" t="s">
        <v>7434</v>
      </c>
      <c r="B8058" t="s">
        <v>656</v>
      </c>
      <c r="C8058" t="s">
        <v>657</v>
      </c>
      <c r="D8058" t="str">
        <f>HYPERLINK("http://service.sap.com/sap/support/notes/1857722","1857722")</f>
        <v>1857722</v>
      </c>
      <c r="E8058">
        <v>2</v>
      </c>
      <c r="F8058" t="s">
        <v>7481</v>
      </c>
    </row>
    <row r="8059" spans="1:6" x14ac:dyDescent="0.25">
      <c r="A8059" t="s">
        <v>7434</v>
      </c>
      <c r="B8059" t="s">
        <v>656</v>
      </c>
      <c r="C8059" t="s">
        <v>657</v>
      </c>
      <c r="D8059" t="str">
        <f>HYPERLINK("http://service.sap.com/sap/support/notes/1860996","1860996")</f>
        <v>1860996</v>
      </c>
      <c r="E8059">
        <v>1</v>
      </c>
      <c r="F8059" t="s">
        <v>7482</v>
      </c>
    </row>
    <row r="8060" spans="1:6" x14ac:dyDescent="0.25">
      <c r="A8060" t="s">
        <v>7434</v>
      </c>
      <c r="B8060" t="s">
        <v>656</v>
      </c>
      <c r="C8060" t="s">
        <v>657</v>
      </c>
      <c r="D8060" t="str">
        <f>HYPERLINK("http://service.sap.com/sap/support/notes/1861446","1861446")</f>
        <v>1861446</v>
      </c>
      <c r="E8060">
        <v>1</v>
      </c>
      <c r="F8060" t="s">
        <v>7483</v>
      </c>
    </row>
    <row r="8061" spans="1:6" x14ac:dyDescent="0.25">
      <c r="A8061" t="s">
        <v>7434</v>
      </c>
      <c r="B8061" t="s">
        <v>656</v>
      </c>
      <c r="C8061" t="s">
        <v>657</v>
      </c>
      <c r="D8061" t="str">
        <f>HYPERLINK("http://service.sap.com/sap/support/notes/1862633","1862633")</f>
        <v>1862633</v>
      </c>
      <c r="E8061">
        <v>1</v>
      </c>
      <c r="F8061" t="s">
        <v>7484</v>
      </c>
    </row>
    <row r="8062" spans="1:6" x14ac:dyDescent="0.25">
      <c r="A8062" t="s">
        <v>7434</v>
      </c>
      <c r="B8062" t="s">
        <v>656</v>
      </c>
      <c r="C8062" t="s">
        <v>657</v>
      </c>
      <c r="D8062" t="str">
        <f>HYPERLINK("http://service.sap.com/sap/support/notes/1863251","1863251")</f>
        <v>1863251</v>
      </c>
      <c r="E8062">
        <v>1</v>
      </c>
      <c r="F8062" t="s">
        <v>7485</v>
      </c>
    </row>
    <row r="8063" spans="1:6" x14ac:dyDescent="0.25">
      <c r="A8063" t="s">
        <v>7434</v>
      </c>
      <c r="B8063" t="s">
        <v>656</v>
      </c>
      <c r="C8063" t="s">
        <v>657</v>
      </c>
      <c r="D8063" t="str">
        <f>HYPERLINK("http://service.sap.com/sap/support/notes/1863931","1863931")</f>
        <v>1863931</v>
      </c>
      <c r="E8063">
        <v>1</v>
      </c>
      <c r="F8063" t="s">
        <v>7486</v>
      </c>
    </row>
    <row r="8064" spans="1:6" x14ac:dyDescent="0.25">
      <c r="A8064" t="s">
        <v>7434</v>
      </c>
      <c r="B8064" t="s">
        <v>656</v>
      </c>
      <c r="C8064" t="s">
        <v>657</v>
      </c>
      <c r="D8064" t="str">
        <f>HYPERLINK("http://service.sap.com/sap/support/notes/1864035","1864035")</f>
        <v>1864035</v>
      </c>
      <c r="E8064">
        <v>1</v>
      </c>
      <c r="F8064" t="s">
        <v>7487</v>
      </c>
    </row>
    <row r="8065" spans="1:6" x14ac:dyDescent="0.25">
      <c r="A8065" t="s">
        <v>7434</v>
      </c>
      <c r="B8065" t="s">
        <v>656</v>
      </c>
      <c r="C8065" t="s">
        <v>657</v>
      </c>
      <c r="D8065" t="str">
        <f>HYPERLINK("http://service.sap.com/sap/support/notes/1864121","1864121")</f>
        <v>1864121</v>
      </c>
      <c r="E8065">
        <v>2</v>
      </c>
      <c r="F8065" t="s">
        <v>7488</v>
      </c>
    </row>
    <row r="8066" spans="1:6" x14ac:dyDescent="0.25">
      <c r="A8066" t="s">
        <v>7434</v>
      </c>
      <c r="B8066" t="s">
        <v>694</v>
      </c>
      <c r="C8066" t="s">
        <v>695</v>
      </c>
      <c r="D8066" t="str">
        <f>HYPERLINK("http://service.sap.com/sap/support/notes/1860038","1860038")</f>
        <v>1860038</v>
      </c>
      <c r="E8066">
        <v>2</v>
      </c>
      <c r="F8066" t="s">
        <v>7489</v>
      </c>
    </row>
    <row r="8067" spans="1:6" x14ac:dyDescent="0.25">
      <c r="A8067" t="s">
        <v>7434</v>
      </c>
      <c r="B8067" t="s">
        <v>694</v>
      </c>
      <c r="C8067" t="s">
        <v>695</v>
      </c>
      <c r="D8067" t="str">
        <f>HYPERLINK("http://service.sap.com/sap/support/notes/1861122","1861122")</f>
        <v>1861122</v>
      </c>
      <c r="E8067">
        <v>1</v>
      </c>
      <c r="F8067" t="s">
        <v>7490</v>
      </c>
    </row>
    <row r="8068" spans="1:6" x14ac:dyDescent="0.25">
      <c r="A8068" t="s">
        <v>7434</v>
      </c>
      <c r="B8068" t="s">
        <v>694</v>
      </c>
      <c r="C8068" t="s">
        <v>695</v>
      </c>
      <c r="D8068" t="str">
        <f>HYPERLINK("http://service.sap.com/sap/support/notes/1862694","1862694")</f>
        <v>1862694</v>
      </c>
      <c r="E8068">
        <v>3</v>
      </c>
      <c r="F8068" t="s">
        <v>7491</v>
      </c>
    </row>
    <row r="8069" spans="1:6" x14ac:dyDescent="0.25">
      <c r="A8069" t="s">
        <v>7434</v>
      </c>
      <c r="B8069" t="s">
        <v>694</v>
      </c>
      <c r="C8069" t="s">
        <v>695</v>
      </c>
      <c r="D8069" t="str">
        <f>HYPERLINK("http://service.sap.com/sap/support/notes/1864739","1864739")</f>
        <v>1864739</v>
      </c>
      <c r="E8069">
        <v>2</v>
      </c>
      <c r="F8069" t="s">
        <v>7492</v>
      </c>
    </row>
    <row r="8070" spans="1:6" x14ac:dyDescent="0.25">
      <c r="A8070" t="s">
        <v>7434</v>
      </c>
      <c r="B8070" t="s">
        <v>5795</v>
      </c>
      <c r="C8070" t="s">
        <v>5796</v>
      </c>
      <c r="D8070" t="str">
        <f>HYPERLINK("http://service.sap.com/sap/support/notes/1845271","1845271")</f>
        <v>1845271</v>
      </c>
      <c r="E8070">
        <v>1</v>
      </c>
      <c r="F8070" t="s">
        <v>7493</v>
      </c>
    </row>
    <row r="8071" spans="1:6" x14ac:dyDescent="0.25">
      <c r="A8071" t="s">
        <v>7434</v>
      </c>
      <c r="B8071" t="s">
        <v>5795</v>
      </c>
      <c r="C8071" t="s">
        <v>5796</v>
      </c>
      <c r="D8071" t="str">
        <f>HYPERLINK("http://service.sap.com/sap/support/notes/1853513","1853513")</f>
        <v>1853513</v>
      </c>
      <c r="E8071">
        <v>2</v>
      </c>
      <c r="F8071" t="s">
        <v>7494</v>
      </c>
    </row>
    <row r="8072" spans="1:6" x14ac:dyDescent="0.25">
      <c r="A8072" t="s">
        <v>7434</v>
      </c>
      <c r="B8072" t="s">
        <v>5795</v>
      </c>
      <c r="C8072" t="s">
        <v>5796</v>
      </c>
      <c r="D8072" t="str">
        <f>HYPERLINK("http://service.sap.com/sap/support/notes/1864516","1864516")</f>
        <v>1864516</v>
      </c>
      <c r="E8072">
        <v>1</v>
      </c>
      <c r="F8072" t="s">
        <v>7495</v>
      </c>
    </row>
    <row r="8073" spans="1:6" x14ac:dyDescent="0.25">
      <c r="A8073" t="s">
        <v>7434</v>
      </c>
      <c r="B8073" t="s">
        <v>24</v>
      </c>
      <c r="C8073" t="s">
        <v>10</v>
      </c>
    </row>
    <row r="8074" spans="1:6" x14ac:dyDescent="0.25">
      <c r="A8074" t="s">
        <v>7434</v>
      </c>
      <c r="B8074" t="s">
        <v>5505</v>
      </c>
      <c r="C8074" t="s">
        <v>5506</v>
      </c>
      <c r="D8074" t="str">
        <f>HYPERLINK("http://service.sap.com/sap/support/notes/1740249","1740249")</f>
        <v>1740249</v>
      </c>
      <c r="E8074">
        <v>3</v>
      </c>
      <c r="F8074" t="s">
        <v>7496</v>
      </c>
    </row>
    <row r="8075" spans="1:6" x14ac:dyDescent="0.25">
      <c r="A8075" t="s">
        <v>7434</v>
      </c>
      <c r="B8075" t="s">
        <v>5505</v>
      </c>
      <c r="C8075" t="s">
        <v>5506</v>
      </c>
      <c r="D8075" t="str">
        <f>HYPERLINK("http://service.sap.com/sap/support/notes/1822407","1822407")</f>
        <v>1822407</v>
      </c>
      <c r="E8075">
        <v>2</v>
      </c>
      <c r="F8075" t="s">
        <v>7027</v>
      </c>
    </row>
    <row r="8076" spans="1:6" x14ac:dyDescent="0.25">
      <c r="A8076" t="s">
        <v>7434</v>
      </c>
      <c r="B8076" t="s">
        <v>5505</v>
      </c>
      <c r="C8076" t="s">
        <v>5506</v>
      </c>
      <c r="D8076" t="str">
        <f>HYPERLINK("http://service.sap.com/sap/support/notes/1847252","1847252")</f>
        <v>1847252</v>
      </c>
      <c r="E8076">
        <v>1</v>
      </c>
      <c r="F8076" t="s">
        <v>7497</v>
      </c>
    </row>
    <row r="8077" spans="1:6" x14ac:dyDescent="0.25">
      <c r="A8077" t="s">
        <v>7434</v>
      </c>
      <c r="B8077" t="s">
        <v>5505</v>
      </c>
      <c r="C8077" t="s">
        <v>5506</v>
      </c>
      <c r="D8077" t="str">
        <f>HYPERLINK("http://service.sap.com/sap/support/notes/1850832","1850832")</f>
        <v>1850832</v>
      </c>
      <c r="E8077">
        <v>2</v>
      </c>
      <c r="F8077" t="s">
        <v>7498</v>
      </c>
    </row>
    <row r="8078" spans="1:6" x14ac:dyDescent="0.25">
      <c r="A8078" t="s">
        <v>7434</v>
      </c>
      <c r="B8078" t="s">
        <v>5505</v>
      </c>
      <c r="C8078" t="s">
        <v>5506</v>
      </c>
      <c r="D8078" t="str">
        <f>HYPERLINK("http://service.sap.com/sap/support/notes/1856642","1856642")</f>
        <v>1856642</v>
      </c>
      <c r="E8078">
        <v>2</v>
      </c>
      <c r="F8078" t="s">
        <v>7499</v>
      </c>
    </row>
    <row r="8079" spans="1:6" x14ac:dyDescent="0.25">
      <c r="A8079" t="s">
        <v>7434</v>
      </c>
      <c r="B8079" t="s">
        <v>5505</v>
      </c>
      <c r="C8079" t="s">
        <v>5506</v>
      </c>
      <c r="D8079" t="str">
        <f>HYPERLINK("http://service.sap.com/sap/support/notes/1857451","1857451")</f>
        <v>1857451</v>
      </c>
      <c r="E8079">
        <v>1</v>
      </c>
      <c r="F8079" t="s">
        <v>7500</v>
      </c>
    </row>
    <row r="8080" spans="1:6" x14ac:dyDescent="0.25">
      <c r="A8080" t="s">
        <v>7434</v>
      </c>
      <c r="B8080" t="s">
        <v>5505</v>
      </c>
      <c r="C8080" t="s">
        <v>5506</v>
      </c>
      <c r="D8080" t="str">
        <f>HYPERLINK("http://service.sap.com/sap/support/notes/1857800","1857800")</f>
        <v>1857800</v>
      </c>
      <c r="E8080">
        <v>1</v>
      </c>
      <c r="F8080" t="s">
        <v>7501</v>
      </c>
    </row>
    <row r="8081" spans="1:6" x14ac:dyDescent="0.25">
      <c r="A8081" t="s">
        <v>7434</v>
      </c>
      <c r="B8081" t="s">
        <v>5505</v>
      </c>
      <c r="C8081" t="s">
        <v>5506</v>
      </c>
      <c r="D8081" t="str">
        <f>HYPERLINK("http://service.sap.com/sap/support/notes/1859249","1859249")</f>
        <v>1859249</v>
      </c>
      <c r="E8081">
        <v>1</v>
      </c>
      <c r="F8081" t="s">
        <v>7502</v>
      </c>
    </row>
    <row r="8082" spans="1:6" x14ac:dyDescent="0.25">
      <c r="A8082" t="s">
        <v>7434</v>
      </c>
      <c r="B8082" t="s">
        <v>5505</v>
      </c>
      <c r="C8082" t="s">
        <v>5506</v>
      </c>
      <c r="D8082" t="str">
        <f>HYPERLINK("http://service.sap.com/sap/support/notes/1859488","1859488")</f>
        <v>1859488</v>
      </c>
      <c r="E8082">
        <v>2</v>
      </c>
      <c r="F8082" t="s">
        <v>7503</v>
      </c>
    </row>
    <row r="8083" spans="1:6" x14ac:dyDescent="0.25">
      <c r="A8083" t="s">
        <v>7434</v>
      </c>
      <c r="B8083" t="s">
        <v>5505</v>
      </c>
      <c r="C8083" t="s">
        <v>5506</v>
      </c>
      <c r="D8083" t="str">
        <f>HYPERLINK("http://service.sap.com/sap/support/notes/1859534","1859534")</f>
        <v>1859534</v>
      </c>
      <c r="E8083">
        <v>1</v>
      </c>
      <c r="F8083" t="s">
        <v>7504</v>
      </c>
    </row>
    <row r="8084" spans="1:6" x14ac:dyDescent="0.25">
      <c r="A8084" t="s">
        <v>7434</v>
      </c>
      <c r="B8084" t="s">
        <v>5505</v>
      </c>
      <c r="C8084" t="s">
        <v>5506</v>
      </c>
      <c r="D8084" t="str">
        <f>HYPERLINK("http://service.sap.com/sap/support/notes/1860549","1860549")</f>
        <v>1860549</v>
      </c>
      <c r="E8084">
        <v>2</v>
      </c>
      <c r="F8084" t="s">
        <v>7505</v>
      </c>
    </row>
    <row r="8085" spans="1:6" x14ac:dyDescent="0.25">
      <c r="A8085" t="s">
        <v>7434</v>
      </c>
      <c r="B8085" t="s">
        <v>5505</v>
      </c>
      <c r="C8085" t="s">
        <v>5506</v>
      </c>
      <c r="D8085" t="str">
        <f>HYPERLINK("http://service.sap.com/sap/support/notes/1860591","1860591")</f>
        <v>1860591</v>
      </c>
      <c r="E8085">
        <v>3</v>
      </c>
      <c r="F8085" t="s">
        <v>7506</v>
      </c>
    </row>
    <row r="8086" spans="1:6" x14ac:dyDescent="0.25">
      <c r="A8086" t="s">
        <v>7434</v>
      </c>
      <c r="B8086" t="s">
        <v>5505</v>
      </c>
      <c r="C8086" t="s">
        <v>5506</v>
      </c>
      <c r="D8086" t="str">
        <f>HYPERLINK("http://service.sap.com/sap/support/notes/1862152","1862152")</f>
        <v>1862152</v>
      </c>
      <c r="E8086">
        <v>2</v>
      </c>
      <c r="F8086" t="s">
        <v>7507</v>
      </c>
    </row>
    <row r="8087" spans="1:6" x14ac:dyDescent="0.25">
      <c r="A8087" t="s">
        <v>7434</v>
      </c>
      <c r="B8087" t="s">
        <v>5514</v>
      </c>
      <c r="C8087" t="s">
        <v>5515</v>
      </c>
      <c r="D8087" t="str">
        <f>HYPERLINK("http://service.sap.com/sap/support/notes/1816985","1816985")</f>
        <v>1816985</v>
      </c>
      <c r="E8087">
        <v>9</v>
      </c>
      <c r="F8087" t="s">
        <v>7031</v>
      </c>
    </row>
    <row r="8088" spans="1:6" x14ac:dyDescent="0.25">
      <c r="A8088" t="s">
        <v>7434</v>
      </c>
      <c r="B8088" t="s">
        <v>5524</v>
      </c>
      <c r="C8088" t="s">
        <v>5525</v>
      </c>
    </row>
    <row r="8089" spans="1:6" x14ac:dyDescent="0.25">
      <c r="A8089" t="s">
        <v>7434</v>
      </c>
      <c r="B8089" t="s">
        <v>6594</v>
      </c>
      <c r="C8089" t="s">
        <v>6595</v>
      </c>
      <c r="D8089" t="str">
        <f>HYPERLINK("http://service.sap.com/sap/support/notes/1856884","1856884")</f>
        <v>1856884</v>
      </c>
      <c r="E8089">
        <v>2</v>
      </c>
      <c r="F8089" t="s">
        <v>7508</v>
      </c>
    </row>
    <row r="8090" spans="1:6" x14ac:dyDescent="0.25">
      <c r="A8090" t="s">
        <v>7434</v>
      </c>
      <c r="B8090" t="s">
        <v>5536</v>
      </c>
      <c r="C8090" t="s">
        <v>5537</v>
      </c>
      <c r="D8090" t="str">
        <f>HYPERLINK("http://service.sap.com/sap/support/notes/1827852","1827852")</f>
        <v>1827852</v>
      </c>
      <c r="E8090">
        <v>5</v>
      </c>
      <c r="F8090" t="s">
        <v>7509</v>
      </c>
    </row>
    <row r="8091" spans="1:6" x14ac:dyDescent="0.25">
      <c r="A8091" t="s">
        <v>7434</v>
      </c>
      <c r="B8091" t="s">
        <v>5536</v>
      </c>
      <c r="C8091" t="s">
        <v>5537</v>
      </c>
      <c r="D8091" t="str">
        <f>HYPERLINK("http://service.sap.com/sap/support/notes/1834594","1834594")</f>
        <v>1834594</v>
      </c>
      <c r="E8091">
        <v>2</v>
      </c>
      <c r="F8091" t="s">
        <v>7510</v>
      </c>
    </row>
    <row r="8092" spans="1:6" x14ac:dyDescent="0.25">
      <c r="A8092" t="s">
        <v>7434</v>
      </c>
      <c r="B8092" t="s">
        <v>5539</v>
      </c>
      <c r="C8092" t="s">
        <v>5540</v>
      </c>
    </row>
    <row r="8093" spans="1:6" x14ac:dyDescent="0.25">
      <c r="A8093" t="s">
        <v>7434</v>
      </c>
      <c r="B8093" t="s">
        <v>5541</v>
      </c>
      <c r="C8093" t="s">
        <v>5542</v>
      </c>
    </row>
    <row r="8094" spans="1:6" x14ac:dyDescent="0.25">
      <c r="A8094" t="s">
        <v>7434</v>
      </c>
      <c r="B8094" t="s">
        <v>5546</v>
      </c>
      <c r="C8094" t="s">
        <v>5547</v>
      </c>
      <c r="D8094" t="str">
        <f>HYPERLINK("http://service.sap.com/sap/support/notes/1858558","1858558")</f>
        <v>1858558</v>
      </c>
      <c r="E8094">
        <v>1</v>
      </c>
      <c r="F8094" t="s">
        <v>7511</v>
      </c>
    </row>
    <row r="8095" spans="1:6" x14ac:dyDescent="0.25">
      <c r="A8095" t="s">
        <v>7434</v>
      </c>
      <c r="B8095" t="s">
        <v>25</v>
      </c>
      <c r="C8095" t="s">
        <v>26</v>
      </c>
    </row>
    <row r="8096" spans="1:6" x14ac:dyDescent="0.25">
      <c r="A8096" t="s">
        <v>7434</v>
      </c>
      <c r="B8096" t="s">
        <v>642</v>
      </c>
      <c r="C8096" t="s">
        <v>145</v>
      </c>
      <c r="D8096" t="str">
        <f>HYPERLINK("http://service.sap.com/sap/support/notes/1860520","1860520")</f>
        <v>1860520</v>
      </c>
      <c r="E8096">
        <v>1</v>
      </c>
      <c r="F8096" t="s">
        <v>7512</v>
      </c>
    </row>
    <row r="8097" spans="1:6" x14ac:dyDescent="0.25">
      <c r="A8097" t="s">
        <v>7434</v>
      </c>
      <c r="B8097" t="s">
        <v>520</v>
      </c>
      <c r="C8097" t="s">
        <v>176</v>
      </c>
      <c r="D8097" t="str">
        <f>HYPERLINK("http://service.sap.com/sap/support/notes/1852180","1852180")</f>
        <v>1852180</v>
      </c>
      <c r="E8097">
        <v>2</v>
      </c>
      <c r="F8097" t="s">
        <v>7513</v>
      </c>
    </row>
    <row r="8098" spans="1:6" x14ac:dyDescent="0.25">
      <c r="A8098" t="s">
        <v>7434</v>
      </c>
      <c r="B8098" t="s">
        <v>40</v>
      </c>
      <c r="C8098" t="s">
        <v>41</v>
      </c>
    </row>
    <row r="8099" spans="1:6" x14ac:dyDescent="0.25">
      <c r="A8099" t="s">
        <v>7434</v>
      </c>
      <c r="B8099" t="s">
        <v>43</v>
      </c>
      <c r="C8099" t="s">
        <v>44</v>
      </c>
      <c r="D8099" t="str">
        <f>HYPERLINK("http://service.sap.com/sap/support/notes/1853477","1853477")</f>
        <v>1853477</v>
      </c>
      <c r="E8099">
        <v>2</v>
      </c>
      <c r="F8099" t="s">
        <v>7514</v>
      </c>
    </row>
    <row r="8100" spans="1:6" x14ac:dyDescent="0.25">
      <c r="A8100" t="s">
        <v>7434</v>
      </c>
      <c r="B8100" t="s">
        <v>522</v>
      </c>
      <c r="C8100" t="s">
        <v>523</v>
      </c>
      <c r="D8100" t="str">
        <f>HYPERLINK("http://service.sap.com/sap/support/notes/1854497","1854497")</f>
        <v>1854497</v>
      </c>
      <c r="E8100">
        <v>2</v>
      </c>
      <c r="F8100" t="s">
        <v>7515</v>
      </c>
    </row>
    <row r="8101" spans="1:6" x14ac:dyDescent="0.25">
      <c r="A8101" t="s">
        <v>7434</v>
      </c>
      <c r="B8101" t="s">
        <v>681</v>
      </c>
      <c r="C8101" t="s">
        <v>320</v>
      </c>
      <c r="D8101" t="str">
        <f>HYPERLINK("http://service.sap.com/sap/support/notes/1854160","1854160")</f>
        <v>1854160</v>
      </c>
      <c r="E8101">
        <v>1</v>
      </c>
      <c r="F8101" t="s">
        <v>7516</v>
      </c>
    </row>
    <row r="8102" spans="1:6" x14ac:dyDescent="0.25">
      <c r="A8102" t="s">
        <v>7434</v>
      </c>
      <c r="B8102" t="s">
        <v>681</v>
      </c>
      <c r="C8102" t="s">
        <v>320</v>
      </c>
      <c r="D8102" t="str">
        <f>HYPERLINK("http://service.sap.com/sap/support/notes/1854451","1854451")</f>
        <v>1854451</v>
      </c>
      <c r="E8102">
        <v>4</v>
      </c>
      <c r="F8102" t="s">
        <v>7517</v>
      </c>
    </row>
    <row r="8103" spans="1:6" x14ac:dyDescent="0.25">
      <c r="A8103" t="s">
        <v>7434</v>
      </c>
      <c r="B8103" t="s">
        <v>681</v>
      </c>
      <c r="C8103" t="s">
        <v>320</v>
      </c>
      <c r="D8103" t="str">
        <f>HYPERLINK("http://service.sap.com/sap/support/notes/1861871","1861871")</f>
        <v>1861871</v>
      </c>
      <c r="E8103">
        <v>4</v>
      </c>
      <c r="F8103" t="s">
        <v>4236</v>
      </c>
    </row>
    <row r="8104" spans="1:6" x14ac:dyDescent="0.25">
      <c r="A8104" t="s">
        <v>7434</v>
      </c>
      <c r="B8104" t="s">
        <v>47</v>
      </c>
      <c r="C8104" t="s">
        <v>48</v>
      </c>
      <c r="D8104" t="str">
        <f>HYPERLINK("http://service.sap.com/sap/support/notes/1860561","1860561")</f>
        <v>1860561</v>
      </c>
      <c r="E8104">
        <v>1</v>
      </c>
      <c r="F8104" t="s">
        <v>3889</v>
      </c>
    </row>
    <row r="8105" spans="1:6" x14ac:dyDescent="0.25">
      <c r="A8105" t="s">
        <v>7434</v>
      </c>
      <c r="B8105" t="s">
        <v>2835</v>
      </c>
      <c r="C8105" t="s">
        <v>2836</v>
      </c>
      <c r="D8105" t="str">
        <f>HYPERLINK("http://service.sap.com/sap/support/notes/1825042","1825042")</f>
        <v>1825042</v>
      </c>
      <c r="E8105">
        <v>1</v>
      </c>
      <c r="F8105" t="s">
        <v>2837</v>
      </c>
    </row>
    <row r="8106" spans="1:6" x14ac:dyDescent="0.25">
      <c r="A8106" t="s">
        <v>7434</v>
      </c>
      <c r="B8106" t="s">
        <v>54</v>
      </c>
      <c r="C8106" t="s">
        <v>55</v>
      </c>
      <c r="D8106" t="str">
        <f>HYPERLINK("http://service.sap.com/sap/support/notes/1858427","1858427")</f>
        <v>1858427</v>
      </c>
      <c r="E8106">
        <v>2</v>
      </c>
      <c r="F8106" t="s">
        <v>3894</v>
      </c>
    </row>
    <row r="8107" spans="1:6" x14ac:dyDescent="0.25">
      <c r="A8107" t="s">
        <v>7434</v>
      </c>
      <c r="B8107" t="s">
        <v>54</v>
      </c>
      <c r="C8107" t="s">
        <v>55</v>
      </c>
      <c r="D8107" t="str">
        <f>HYPERLINK("http://service.sap.com/sap/support/notes/1862808","1862808")</f>
        <v>1862808</v>
      </c>
      <c r="E8107">
        <v>1</v>
      </c>
      <c r="F8107" t="s">
        <v>7518</v>
      </c>
    </row>
    <row r="8108" spans="1:6" x14ac:dyDescent="0.25">
      <c r="A8108" t="s">
        <v>7434</v>
      </c>
      <c r="B8108" t="s">
        <v>63</v>
      </c>
      <c r="C8108" t="s">
        <v>64</v>
      </c>
      <c r="D8108" t="str">
        <f>HYPERLINK("http://service.sap.com/sap/support/notes/1851057","1851057")</f>
        <v>1851057</v>
      </c>
      <c r="E8108">
        <v>3</v>
      </c>
      <c r="F8108" t="s">
        <v>7519</v>
      </c>
    </row>
    <row r="8109" spans="1:6" x14ac:dyDescent="0.25">
      <c r="A8109" t="s">
        <v>7434</v>
      </c>
      <c r="B8109" t="s">
        <v>63</v>
      </c>
      <c r="C8109" t="s">
        <v>64</v>
      </c>
      <c r="D8109" t="str">
        <f>HYPERLINK("http://service.sap.com/sap/support/notes/1851796","1851796")</f>
        <v>1851796</v>
      </c>
      <c r="E8109">
        <v>1</v>
      </c>
      <c r="F8109" t="s">
        <v>7520</v>
      </c>
    </row>
    <row r="8110" spans="1:6" x14ac:dyDescent="0.25">
      <c r="A8110" t="s">
        <v>7434</v>
      </c>
      <c r="B8110" t="s">
        <v>63</v>
      </c>
      <c r="C8110" t="s">
        <v>64</v>
      </c>
      <c r="D8110" t="str">
        <f>HYPERLINK("http://service.sap.com/sap/support/notes/1860215","1860215")</f>
        <v>1860215</v>
      </c>
      <c r="E8110">
        <v>1</v>
      </c>
      <c r="F8110" t="s">
        <v>3896</v>
      </c>
    </row>
    <row r="8111" spans="1:6" x14ac:dyDescent="0.25">
      <c r="A8111" t="s">
        <v>7434</v>
      </c>
      <c r="B8111" t="s">
        <v>73</v>
      </c>
      <c r="C8111" t="s">
        <v>74</v>
      </c>
      <c r="D8111" t="str">
        <f>HYPERLINK("http://service.sap.com/sap/support/notes/1694839","1694839")</f>
        <v>1694839</v>
      </c>
      <c r="E8111">
        <v>2</v>
      </c>
      <c r="F8111" t="s">
        <v>7521</v>
      </c>
    </row>
    <row r="8112" spans="1:6" x14ac:dyDescent="0.25">
      <c r="A8112" t="s">
        <v>7434</v>
      </c>
      <c r="B8112" t="s">
        <v>73</v>
      </c>
      <c r="C8112" t="s">
        <v>74</v>
      </c>
      <c r="D8112" t="str">
        <f>HYPERLINK("http://service.sap.com/sap/support/notes/1825249","1825249")</f>
        <v>1825249</v>
      </c>
      <c r="E8112">
        <v>2</v>
      </c>
      <c r="F8112" t="s">
        <v>7522</v>
      </c>
    </row>
    <row r="8113" spans="1:6" x14ac:dyDescent="0.25">
      <c r="A8113" t="s">
        <v>7434</v>
      </c>
      <c r="B8113" t="s">
        <v>73</v>
      </c>
      <c r="C8113" t="s">
        <v>74</v>
      </c>
      <c r="D8113" t="str">
        <f>HYPERLINK("http://service.sap.com/sap/support/notes/1854678","1854678")</f>
        <v>1854678</v>
      </c>
      <c r="E8113">
        <v>1</v>
      </c>
      <c r="F8113" t="s">
        <v>7512</v>
      </c>
    </row>
    <row r="8114" spans="1:6" x14ac:dyDescent="0.25">
      <c r="A8114" t="s">
        <v>7434</v>
      </c>
      <c r="B8114" t="s">
        <v>6619</v>
      </c>
      <c r="C8114" t="s">
        <v>6620</v>
      </c>
      <c r="D8114" t="str">
        <f>HYPERLINK("http://service.sap.com/sap/support/notes/1843257","1843257")</f>
        <v>1843257</v>
      </c>
      <c r="E8114">
        <v>1</v>
      </c>
      <c r="F8114" t="s">
        <v>7523</v>
      </c>
    </row>
    <row r="8115" spans="1:6" x14ac:dyDescent="0.25">
      <c r="A8115" t="s">
        <v>7434</v>
      </c>
      <c r="B8115" t="s">
        <v>5580</v>
      </c>
      <c r="C8115" t="s">
        <v>5581</v>
      </c>
      <c r="D8115" t="str">
        <f>HYPERLINK("http://service.sap.com/sap/support/notes/1861974","1861974")</f>
        <v>1861974</v>
      </c>
      <c r="E8115">
        <v>2</v>
      </c>
      <c r="F8115" t="s">
        <v>4236</v>
      </c>
    </row>
    <row r="8116" spans="1:6" x14ac:dyDescent="0.25">
      <c r="A8116" t="s">
        <v>7434</v>
      </c>
      <c r="B8116" t="s">
        <v>531</v>
      </c>
      <c r="C8116" t="s">
        <v>532</v>
      </c>
      <c r="D8116" t="str">
        <f>HYPERLINK("http://service.sap.com/sap/support/notes/1858360","1858360")</f>
        <v>1858360</v>
      </c>
      <c r="E8116">
        <v>1</v>
      </c>
      <c r="F8116" t="s">
        <v>5086</v>
      </c>
    </row>
    <row r="8117" spans="1:6" x14ac:dyDescent="0.25">
      <c r="A8117" t="s">
        <v>7434</v>
      </c>
      <c r="B8117" t="s">
        <v>6018</v>
      </c>
      <c r="C8117" t="s">
        <v>6019</v>
      </c>
      <c r="D8117" t="str">
        <f>HYPERLINK("http://service.sap.com/sap/support/notes/1749161","1749161")</f>
        <v>1749161</v>
      </c>
      <c r="E8117">
        <v>1</v>
      </c>
      <c r="F8117" t="s">
        <v>6025</v>
      </c>
    </row>
    <row r="8118" spans="1:6" x14ac:dyDescent="0.25">
      <c r="A8118" t="s">
        <v>7434</v>
      </c>
      <c r="B8118" t="s">
        <v>6018</v>
      </c>
      <c r="C8118" t="s">
        <v>6019</v>
      </c>
      <c r="D8118" t="str">
        <f>HYPERLINK("http://service.sap.com/sap/support/notes/1781360","1781360")</f>
        <v>1781360</v>
      </c>
      <c r="E8118">
        <v>4</v>
      </c>
      <c r="F8118" t="s">
        <v>7065</v>
      </c>
    </row>
    <row r="8119" spans="1:6" x14ac:dyDescent="0.25">
      <c r="A8119" t="s">
        <v>7434</v>
      </c>
      <c r="B8119" t="s">
        <v>6018</v>
      </c>
      <c r="C8119" t="s">
        <v>6019</v>
      </c>
      <c r="D8119" t="str">
        <f>HYPERLINK("http://service.sap.com/sap/support/notes/1850453","1850453")</f>
        <v>1850453</v>
      </c>
      <c r="E8119">
        <v>1</v>
      </c>
      <c r="F8119" t="s">
        <v>7524</v>
      </c>
    </row>
    <row r="8120" spans="1:6" x14ac:dyDescent="0.25">
      <c r="A8120" t="s">
        <v>7434</v>
      </c>
      <c r="B8120" t="s">
        <v>6018</v>
      </c>
      <c r="C8120" t="s">
        <v>6019</v>
      </c>
      <c r="D8120" t="str">
        <f>HYPERLINK("http://service.sap.com/sap/support/notes/1850980","1850980")</f>
        <v>1850980</v>
      </c>
      <c r="E8120">
        <v>1</v>
      </c>
      <c r="F8120" t="s">
        <v>7525</v>
      </c>
    </row>
    <row r="8121" spans="1:6" x14ac:dyDescent="0.25">
      <c r="A8121" t="s">
        <v>7434</v>
      </c>
      <c r="B8121" t="s">
        <v>6018</v>
      </c>
      <c r="C8121" t="s">
        <v>6019</v>
      </c>
      <c r="D8121" t="str">
        <f>HYPERLINK("http://service.sap.com/sap/support/notes/1851699","1851699")</f>
        <v>1851699</v>
      </c>
      <c r="E8121">
        <v>1</v>
      </c>
      <c r="F8121" t="s">
        <v>7526</v>
      </c>
    </row>
    <row r="8122" spans="1:6" x14ac:dyDescent="0.25">
      <c r="A8122" t="s">
        <v>7434</v>
      </c>
      <c r="B8122" t="s">
        <v>6018</v>
      </c>
      <c r="C8122" t="s">
        <v>6019</v>
      </c>
      <c r="D8122" t="str">
        <f>HYPERLINK("http://service.sap.com/sap/support/notes/1853418","1853418")</f>
        <v>1853418</v>
      </c>
      <c r="E8122">
        <v>1</v>
      </c>
      <c r="F8122" t="s">
        <v>7527</v>
      </c>
    </row>
    <row r="8123" spans="1:6" x14ac:dyDescent="0.25">
      <c r="A8123" t="s">
        <v>7434</v>
      </c>
      <c r="B8123" t="s">
        <v>6018</v>
      </c>
      <c r="C8123" t="s">
        <v>6019</v>
      </c>
      <c r="D8123" t="str">
        <f>HYPERLINK("http://service.sap.com/sap/support/notes/1854955","1854955")</f>
        <v>1854955</v>
      </c>
      <c r="E8123">
        <v>1</v>
      </c>
      <c r="F8123" t="s">
        <v>7528</v>
      </c>
    </row>
    <row r="8124" spans="1:6" x14ac:dyDescent="0.25">
      <c r="A8124" t="s">
        <v>7434</v>
      </c>
      <c r="B8124" t="s">
        <v>6018</v>
      </c>
      <c r="C8124" t="s">
        <v>6019</v>
      </c>
      <c r="D8124" t="str">
        <f>HYPERLINK("http://service.sap.com/sap/support/notes/1855431","1855431")</f>
        <v>1855431</v>
      </c>
      <c r="E8124">
        <v>1</v>
      </c>
      <c r="F8124" t="s">
        <v>7529</v>
      </c>
    </row>
    <row r="8125" spans="1:6" x14ac:dyDescent="0.25">
      <c r="A8125" t="s">
        <v>7434</v>
      </c>
      <c r="B8125" t="s">
        <v>6018</v>
      </c>
      <c r="C8125" t="s">
        <v>6019</v>
      </c>
      <c r="D8125" t="str">
        <f>HYPERLINK("http://service.sap.com/sap/support/notes/1855493","1855493")</f>
        <v>1855493</v>
      </c>
      <c r="E8125">
        <v>1</v>
      </c>
      <c r="F8125" t="s">
        <v>7530</v>
      </c>
    </row>
    <row r="8126" spans="1:6" x14ac:dyDescent="0.25">
      <c r="A8126" t="s">
        <v>7434</v>
      </c>
      <c r="B8126" t="s">
        <v>6018</v>
      </c>
      <c r="C8126" t="s">
        <v>6019</v>
      </c>
      <c r="D8126" t="str">
        <f>HYPERLINK("http://service.sap.com/sap/support/notes/1859795","1859795")</f>
        <v>1859795</v>
      </c>
      <c r="E8126">
        <v>1</v>
      </c>
      <c r="F8126" t="s">
        <v>7531</v>
      </c>
    </row>
    <row r="8127" spans="1:6" x14ac:dyDescent="0.25">
      <c r="A8127" t="s">
        <v>7434</v>
      </c>
      <c r="B8127" t="s">
        <v>6018</v>
      </c>
      <c r="C8127" t="s">
        <v>6019</v>
      </c>
      <c r="D8127" t="str">
        <f>HYPERLINK("http://service.sap.com/sap/support/notes/1859956","1859956")</f>
        <v>1859956</v>
      </c>
      <c r="E8127">
        <v>1</v>
      </c>
      <c r="F8127" t="s">
        <v>7532</v>
      </c>
    </row>
    <row r="8128" spans="1:6" x14ac:dyDescent="0.25">
      <c r="A8128" t="s">
        <v>7434</v>
      </c>
      <c r="B8128" t="s">
        <v>6018</v>
      </c>
      <c r="C8128" t="s">
        <v>6019</v>
      </c>
      <c r="D8128" t="str">
        <f>HYPERLINK("http://service.sap.com/sap/support/notes/1860214","1860214")</f>
        <v>1860214</v>
      </c>
      <c r="E8128">
        <v>1</v>
      </c>
      <c r="F8128" t="s">
        <v>7533</v>
      </c>
    </row>
    <row r="8129" spans="1:6" x14ac:dyDescent="0.25">
      <c r="A8129" t="s">
        <v>7434</v>
      </c>
      <c r="B8129" t="s">
        <v>536</v>
      </c>
      <c r="C8129" t="s">
        <v>537</v>
      </c>
    </row>
    <row r="8130" spans="1:6" x14ac:dyDescent="0.25">
      <c r="A8130" t="s">
        <v>7434</v>
      </c>
      <c r="B8130" t="s">
        <v>5594</v>
      </c>
      <c r="C8130" t="s">
        <v>5595</v>
      </c>
      <c r="D8130" t="str">
        <f>HYPERLINK("http://service.sap.com/sap/support/notes/1830446","1830446")</f>
        <v>1830446</v>
      </c>
      <c r="E8130">
        <v>2</v>
      </c>
      <c r="F8130" t="s">
        <v>7534</v>
      </c>
    </row>
    <row r="8131" spans="1:6" x14ac:dyDescent="0.25">
      <c r="A8131" t="s">
        <v>7434</v>
      </c>
      <c r="B8131" t="s">
        <v>5594</v>
      </c>
      <c r="C8131" t="s">
        <v>5595</v>
      </c>
      <c r="D8131" t="str">
        <f>HYPERLINK("http://service.sap.com/sap/support/notes/1839535","1839535")</f>
        <v>1839535</v>
      </c>
      <c r="E8131">
        <v>2</v>
      </c>
      <c r="F8131" t="s">
        <v>7535</v>
      </c>
    </row>
    <row r="8132" spans="1:6" x14ac:dyDescent="0.25">
      <c r="A8132" t="s">
        <v>7434</v>
      </c>
      <c r="B8132" t="s">
        <v>5594</v>
      </c>
      <c r="C8132" t="s">
        <v>5595</v>
      </c>
      <c r="D8132" t="str">
        <f>HYPERLINK("http://service.sap.com/sap/support/notes/1847773","1847773")</f>
        <v>1847773</v>
      </c>
      <c r="E8132">
        <v>2</v>
      </c>
      <c r="F8132" t="s">
        <v>7536</v>
      </c>
    </row>
    <row r="8133" spans="1:6" x14ac:dyDescent="0.25">
      <c r="A8133" t="s">
        <v>7434</v>
      </c>
      <c r="B8133" t="s">
        <v>5594</v>
      </c>
      <c r="C8133" t="s">
        <v>5595</v>
      </c>
      <c r="D8133" t="str">
        <f>HYPERLINK("http://service.sap.com/sap/support/notes/1853146","1853146")</f>
        <v>1853146</v>
      </c>
      <c r="E8133">
        <v>5</v>
      </c>
      <c r="F8133" t="s">
        <v>7537</v>
      </c>
    </row>
    <row r="8134" spans="1:6" x14ac:dyDescent="0.25">
      <c r="A8134" t="s">
        <v>7434</v>
      </c>
      <c r="B8134" t="s">
        <v>540</v>
      </c>
      <c r="C8134" t="s">
        <v>541</v>
      </c>
    </row>
    <row r="8135" spans="1:6" x14ac:dyDescent="0.25">
      <c r="A8135" t="s">
        <v>7434</v>
      </c>
      <c r="B8135" t="s">
        <v>542</v>
      </c>
      <c r="C8135" t="s">
        <v>5604</v>
      </c>
      <c r="D8135" t="str">
        <f>HYPERLINK("http://service.sap.com/sap/support/notes/1826288","1826288")</f>
        <v>1826288</v>
      </c>
      <c r="E8135">
        <v>37</v>
      </c>
      <c r="F8135" t="s">
        <v>7380</v>
      </c>
    </row>
    <row r="8136" spans="1:6" x14ac:dyDescent="0.25">
      <c r="A8136" t="s">
        <v>7434</v>
      </c>
      <c r="B8136" t="s">
        <v>542</v>
      </c>
      <c r="C8136" t="s">
        <v>5604</v>
      </c>
      <c r="D8136" t="str">
        <f>HYPERLINK("http://service.sap.com/sap/support/notes/1859949","1859949")</f>
        <v>1859949</v>
      </c>
      <c r="E8136">
        <v>5</v>
      </c>
      <c r="F8136" t="s">
        <v>7538</v>
      </c>
    </row>
    <row r="8137" spans="1:6" x14ac:dyDescent="0.25">
      <c r="A8137" t="s">
        <v>7434</v>
      </c>
      <c r="B8137" t="s">
        <v>542</v>
      </c>
      <c r="C8137" t="s">
        <v>5604</v>
      </c>
      <c r="D8137" t="str">
        <f>HYPERLINK("http://service.sap.com/sap/support/notes/1862013","1862013")</f>
        <v>1862013</v>
      </c>
      <c r="E8137">
        <v>1</v>
      </c>
      <c r="F8137" t="s">
        <v>4236</v>
      </c>
    </row>
    <row r="8138" spans="1:6" x14ac:dyDescent="0.25">
      <c r="A8138" t="s">
        <v>7434</v>
      </c>
      <c r="B8138" t="s">
        <v>5615</v>
      </c>
      <c r="C8138" t="s">
        <v>5616</v>
      </c>
      <c r="D8138" t="str">
        <f>HYPERLINK("http://service.sap.com/sap/support/notes/1735808","1735808")</f>
        <v>1735808</v>
      </c>
      <c r="E8138">
        <v>1</v>
      </c>
      <c r="F8138" t="s">
        <v>7539</v>
      </c>
    </row>
    <row r="8139" spans="1:6" x14ac:dyDescent="0.25">
      <c r="A8139" t="s">
        <v>7434</v>
      </c>
      <c r="B8139" t="s">
        <v>5615</v>
      </c>
      <c r="C8139" t="s">
        <v>5616</v>
      </c>
      <c r="D8139" t="str">
        <f>HYPERLINK("http://service.sap.com/sap/support/notes/1833267","1833267")</f>
        <v>1833267</v>
      </c>
      <c r="E8139">
        <v>3</v>
      </c>
      <c r="F8139" t="s">
        <v>7540</v>
      </c>
    </row>
    <row r="8140" spans="1:6" x14ac:dyDescent="0.25">
      <c r="A8140" t="s">
        <v>7434</v>
      </c>
      <c r="B8140" t="s">
        <v>5615</v>
      </c>
      <c r="C8140" t="s">
        <v>5616</v>
      </c>
      <c r="D8140" t="str">
        <f>HYPERLINK("http://service.sap.com/sap/support/notes/1841850","1841850")</f>
        <v>1841850</v>
      </c>
      <c r="E8140">
        <v>2</v>
      </c>
      <c r="F8140" t="s">
        <v>7541</v>
      </c>
    </row>
    <row r="8141" spans="1:6" x14ac:dyDescent="0.25">
      <c r="A8141" t="s">
        <v>7434</v>
      </c>
      <c r="B8141" t="s">
        <v>5615</v>
      </c>
      <c r="C8141" t="s">
        <v>5616</v>
      </c>
      <c r="D8141" t="str">
        <f>HYPERLINK("http://service.sap.com/sap/support/notes/1845259","1845259")</f>
        <v>1845259</v>
      </c>
      <c r="E8141">
        <v>2</v>
      </c>
      <c r="F8141" t="s">
        <v>7542</v>
      </c>
    </row>
    <row r="8142" spans="1:6" x14ac:dyDescent="0.25">
      <c r="A8142" t="s">
        <v>7434</v>
      </c>
      <c r="B8142" t="s">
        <v>5615</v>
      </c>
      <c r="C8142" t="s">
        <v>5616</v>
      </c>
      <c r="D8142" t="str">
        <f>HYPERLINK("http://service.sap.com/sap/support/notes/1846032","1846032")</f>
        <v>1846032</v>
      </c>
      <c r="E8142">
        <v>3</v>
      </c>
      <c r="F8142" t="s">
        <v>7543</v>
      </c>
    </row>
    <row r="8143" spans="1:6" x14ac:dyDescent="0.25">
      <c r="A8143" t="s">
        <v>7434</v>
      </c>
      <c r="B8143" t="s">
        <v>5615</v>
      </c>
      <c r="C8143" t="s">
        <v>5616</v>
      </c>
      <c r="D8143" t="str">
        <f>HYPERLINK("http://service.sap.com/sap/support/notes/1859512","1859512")</f>
        <v>1859512</v>
      </c>
      <c r="E8143">
        <v>1</v>
      </c>
      <c r="F8143" t="s">
        <v>7544</v>
      </c>
    </row>
    <row r="8144" spans="1:6" x14ac:dyDescent="0.25">
      <c r="A8144" t="s">
        <v>7434</v>
      </c>
      <c r="B8144" t="s">
        <v>5615</v>
      </c>
      <c r="C8144" t="s">
        <v>5616</v>
      </c>
      <c r="D8144" t="str">
        <f>HYPERLINK("http://service.sap.com/sap/support/notes/1861566","1861566")</f>
        <v>1861566</v>
      </c>
      <c r="E8144">
        <v>1</v>
      </c>
      <c r="F8144" t="s">
        <v>7545</v>
      </c>
    </row>
    <row r="8145" spans="1:6" x14ac:dyDescent="0.25">
      <c r="A8145" t="s">
        <v>7434</v>
      </c>
      <c r="B8145" t="s">
        <v>5615</v>
      </c>
      <c r="C8145" t="s">
        <v>5616</v>
      </c>
      <c r="D8145" t="str">
        <f>HYPERLINK("http://service.sap.com/sap/support/notes/1863912","1863912")</f>
        <v>1863912</v>
      </c>
      <c r="E8145">
        <v>1</v>
      </c>
      <c r="F8145" t="s">
        <v>7546</v>
      </c>
    </row>
    <row r="8146" spans="1:6" x14ac:dyDescent="0.25">
      <c r="A8146" t="s">
        <v>7434</v>
      </c>
      <c r="B8146" t="s">
        <v>85</v>
      </c>
      <c r="C8146" t="s">
        <v>86</v>
      </c>
    </row>
    <row r="8147" spans="1:6" x14ac:dyDescent="0.25">
      <c r="A8147" t="s">
        <v>7434</v>
      </c>
      <c r="B8147" t="s">
        <v>696</v>
      </c>
      <c r="C8147" t="s">
        <v>697</v>
      </c>
    </row>
    <row r="8148" spans="1:6" x14ac:dyDescent="0.25">
      <c r="A8148" t="s">
        <v>7434</v>
      </c>
      <c r="B8148" t="s">
        <v>5868</v>
      </c>
      <c r="C8148" t="s">
        <v>5869</v>
      </c>
      <c r="D8148" t="str">
        <f>HYPERLINK("http://service.sap.com/sap/support/notes/1601218","1601218")</f>
        <v>1601218</v>
      </c>
      <c r="E8148">
        <v>3</v>
      </c>
      <c r="F8148" t="s">
        <v>7547</v>
      </c>
    </row>
    <row r="8149" spans="1:6" x14ac:dyDescent="0.25">
      <c r="A8149" t="s">
        <v>7434</v>
      </c>
      <c r="B8149" t="s">
        <v>3380</v>
      </c>
      <c r="C8149" t="s">
        <v>3381</v>
      </c>
      <c r="D8149" t="str">
        <f>HYPERLINK("http://service.sap.com/sap/support/notes/1617879","1617879")</f>
        <v>1617879</v>
      </c>
      <c r="E8149">
        <v>2</v>
      </c>
      <c r="F8149" t="s">
        <v>7548</v>
      </c>
    </row>
    <row r="8150" spans="1:6" x14ac:dyDescent="0.25">
      <c r="A8150" t="s">
        <v>7434</v>
      </c>
      <c r="B8150" t="s">
        <v>3380</v>
      </c>
      <c r="C8150" t="s">
        <v>3381</v>
      </c>
      <c r="D8150" t="str">
        <f>HYPERLINK("http://service.sap.com/sap/support/notes/1716188","1716188")</f>
        <v>1716188</v>
      </c>
      <c r="E8150">
        <v>2</v>
      </c>
      <c r="F8150" t="s">
        <v>7549</v>
      </c>
    </row>
    <row r="8151" spans="1:6" x14ac:dyDescent="0.25">
      <c r="A8151" t="s">
        <v>7434</v>
      </c>
      <c r="B8151" t="s">
        <v>3380</v>
      </c>
      <c r="C8151" t="s">
        <v>3381</v>
      </c>
      <c r="D8151" t="str">
        <f>HYPERLINK("http://service.sap.com/sap/support/notes/1848743","1848743")</f>
        <v>1848743</v>
      </c>
      <c r="E8151">
        <v>1</v>
      </c>
      <c r="F8151" t="s">
        <v>7550</v>
      </c>
    </row>
    <row r="8152" spans="1:6" x14ac:dyDescent="0.25">
      <c r="A8152" t="s">
        <v>7434</v>
      </c>
      <c r="B8152" t="s">
        <v>3380</v>
      </c>
      <c r="C8152" t="s">
        <v>3381</v>
      </c>
      <c r="D8152" t="str">
        <f>HYPERLINK("http://service.sap.com/sap/support/notes/1853388","1853388")</f>
        <v>1853388</v>
      </c>
      <c r="E8152">
        <v>1</v>
      </c>
      <c r="F8152" t="s">
        <v>7551</v>
      </c>
    </row>
    <row r="8153" spans="1:6" x14ac:dyDescent="0.25">
      <c r="A8153" t="s">
        <v>7434</v>
      </c>
      <c r="B8153" t="s">
        <v>698</v>
      </c>
      <c r="C8153" t="s">
        <v>699</v>
      </c>
      <c r="D8153" t="str">
        <f>HYPERLINK("http://service.sap.com/sap/support/notes/1506537","1506537")</f>
        <v>1506537</v>
      </c>
      <c r="E8153">
        <v>3</v>
      </c>
      <c r="F8153" t="s">
        <v>7552</v>
      </c>
    </row>
    <row r="8154" spans="1:6" x14ac:dyDescent="0.25">
      <c r="A8154" t="s">
        <v>7434</v>
      </c>
      <c r="B8154" t="s">
        <v>698</v>
      </c>
      <c r="C8154" t="s">
        <v>699</v>
      </c>
      <c r="D8154" t="str">
        <f>HYPERLINK("http://service.sap.com/sap/support/notes/1632104","1632104")</f>
        <v>1632104</v>
      </c>
      <c r="E8154">
        <v>2</v>
      </c>
      <c r="F8154" t="s">
        <v>7553</v>
      </c>
    </row>
    <row r="8155" spans="1:6" x14ac:dyDescent="0.25">
      <c r="A8155" t="s">
        <v>7434</v>
      </c>
      <c r="B8155" t="s">
        <v>698</v>
      </c>
      <c r="C8155" t="s">
        <v>699</v>
      </c>
      <c r="D8155" t="str">
        <f>HYPERLINK("http://service.sap.com/sap/support/notes/1656142","1656142")</f>
        <v>1656142</v>
      </c>
      <c r="E8155">
        <v>13</v>
      </c>
      <c r="F8155" t="s">
        <v>7554</v>
      </c>
    </row>
    <row r="8156" spans="1:6" x14ac:dyDescent="0.25">
      <c r="A8156" t="s">
        <v>7434</v>
      </c>
      <c r="B8156" t="s">
        <v>698</v>
      </c>
      <c r="C8156" t="s">
        <v>699</v>
      </c>
      <c r="D8156" t="str">
        <f>HYPERLINK("http://service.sap.com/sap/support/notes/1729723","1729723")</f>
        <v>1729723</v>
      </c>
      <c r="E8156">
        <v>2</v>
      </c>
      <c r="F8156" t="s">
        <v>7555</v>
      </c>
    </row>
    <row r="8157" spans="1:6" x14ac:dyDescent="0.25">
      <c r="A8157" t="s">
        <v>7434</v>
      </c>
      <c r="B8157" t="s">
        <v>698</v>
      </c>
      <c r="C8157" t="s">
        <v>699</v>
      </c>
      <c r="D8157" t="str">
        <f>HYPERLINK("http://service.sap.com/sap/support/notes/1741424","1741424")</f>
        <v>1741424</v>
      </c>
      <c r="E8157">
        <v>2</v>
      </c>
      <c r="F8157" t="s">
        <v>7556</v>
      </c>
    </row>
    <row r="8158" spans="1:6" x14ac:dyDescent="0.25">
      <c r="A8158" t="s">
        <v>7434</v>
      </c>
      <c r="B8158" t="s">
        <v>698</v>
      </c>
      <c r="C8158" t="s">
        <v>699</v>
      </c>
      <c r="D8158" t="str">
        <f>HYPERLINK("http://service.sap.com/sap/support/notes/1761500","1761500")</f>
        <v>1761500</v>
      </c>
      <c r="E8158">
        <v>1</v>
      </c>
      <c r="F8158" t="s">
        <v>7557</v>
      </c>
    </row>
    <row r="8159" spans="1:6" x14ac:dyDescent="0.25">
      <c r="A8159" t="s">
        <v>7434</v>
      </c>
      <c r="B8159" t="s">
        <v>698</v>
      </c>
      <c r="C8159" t="s">
        <v>699</v>
      </c>
      <c r="D8159" t="str">
        <f>HYPERLINK("http://service.sap.com/sap/support/notes/1774521","1774521")</f>
        <v>1774521</v>
      </c>
      <c r="E8159">
        <v>1</v>
      </c>
      <c r="F8159" t="s">
        <v>7558</v>
      </c>
    </row>
    <row r="8160" spans="1:6" x14ac:dyDescent="0.25">
      <c r="A8160" t="s">
        <v>7434</v>
      </c>
      <c r="B8160" t="s">
        <v>698</v>
      </c>
      <c r="C8160" t="s">
        <v>699</v>
      </c>
      <c r="D8160" t="str">
        <f>HYPERLINK("http://service.sap.com/sap/support/notes/1780565","1780565")</f>
        <v>1780565</v>
      </c>
      <c r="E8160">
        <v>1</v>
      </c>
      <c r="F8160" t="s">
        <v>7559</v>
      </c>
    </row>
    <row r="8161" spans="1:6" x14ac:dyDescent="0.25">
      <c r="A8161" t="s">
        <v>7434</v>
      </c>
      <c r="B8161" t="s">
        <v>698</v>
      </c>
      <c r="C8161" t="s">
        <v>699</v>
      </c>
      <c r="D8161" t="str">
        <f>HYPERLINK("http://service.sap.com/sap/support/notes/1783284","1783284")</f>
        <v>1783284</v>
      </c>
      <c r="E8161">
        <v>2</v>
      </c>
      <c r="F8161" t="s">
        <v>7560</v>
      </c>
    </row>
    <row r="8162" spans="1:6" x14ac:dyDescent="0.25">
      <c r="A8162" t="s">
        <v>7434</v>
      </c>
      <c r="B8162" t="s">
        <v>698</v>
      </c>
      <c r="C8162" t="s">
        <v>699</v>
      </c>
      <c r="D8162" t="str">
        <f>HYPERLINK("http://service.sap.com/sap/support/notes/1795684","1795684")</f>
        <v>1795684</v>
      </c>
      <c r="E8162">
        <v>1</v>
      </c>
      <c r="F8162" t="s">
        <v>7561</v>
      </c>
    </row>
    <row r="8163" spans="1:6" x14ac:dyDescent="0.25">
      <c r="A8163" t="s">
        <v>7434</v>
      </c>
      <c r="B8163" t="s">
        <v>698</v>
      </c>
      <c r="C8163" t="s">
        <v>699</v>
      </c>
      <c r="D8163" t="str">
        <f>HYPERLINK("http://service.sap.com/sap/support/notes/1810856","1810856")</f>
        <v>1810856</v>
      </c>
      <c r="E8163">
        <v>1</v>
      </c>
      <c r="F8163" t="s">
        <v>7562</v>
      </c>
    </row>
    <row r="8164" spans="1:6" x14ac:dyDescent="0.25">
      <c r="A8164" t="s">
        <v>7434</v>
      </c>
      <c r="B8164" t="s">
        <v>698</v>
      </c>
      <c r="C8164" t="s">
        <v>699</v>
      </c>
      <c r="D8164" t="str">
        <f>HYPERLINK("http://service.sap.com/sap/support/notes/1815412","1815412")</f>
        <v>1815412</v>
      </c>
      <c r="E8164">
        <v>1</v>
      </c>
      <c r="F8164" t="s">
        <v>3912</v>
      </c>
    </row>
    <row r="8165" spans="1:6" x14ac:dyDescent="0.25">
      <c r="A8165" t="s">
        <v>7434</v>
      </c>
      <c r="B8165" t="s">
        <v>698</v>
      </c>
      <c r="C8165" t="s">
        <v>699</v>
      </c>
      <c r="D8165" t="str">
        <f>HYPERLINK("http://service.sap.com/sap/support/notes/1823604","1823604")</f>
        <v>1823604</v>
      </c>
      <c r="E8165">
        <v>2</v>
      </c>
      <c r="F8165" t="s">
        <v>7563</v>
      </c>
    </row>
    <row r="8166" spans="1:6" x14ac:dyDescent="0.25">
      <c r="A8166" t="s">
        <v>7434</v>
      </c>
      <c r="B8166" t="s">
        <v>698</v>
      </c>
      <c r="C8166" t="s">
        <v>699</v>
      </c>
      <c r="D8166" t="str">
        <f>HYPERLINK("http://service.sap.com/sap/support/notes/1828863","1828863")</f>
        <v>1828863</v>
      </c>
      <c r="E8166">
        <v>1</v>
      </c>
      <c r="F8166" t="s">
        <v>7564</v>
      </c>
    </row>
    <row r="8167" spans="1:6" x14ac:dyDescent="0.25">
      <c r="A8167" t="s">
        <v>7434</v>
      </c>
      <c r="B8167" t="s">
        <v>698</v>
      </c>
      <c r="C8167" t="s">
        <v>699</v>
      </c>
      <c r="D8167" t="str">
        <f>HYPERLINK("http://service.sap.com/sap/support/notes/1829347","1829347")</f>
        <v>1829347</v>
      </c>
      <c r="E8167">
        <v>1</v>
      </c>
      <c r="F8167" t="s">
        <v>7565</v>
      </c>
    </row>
    <row r="8168" spans="1:6" x14ac:dyDescent="0.25">
      <c r="A8168" t="s">
        <v>7434</v>
      </c>
      <c r="B8168" t="s">
        <v>698</v>
      </c>
      <c r="C8168" t="s">
        <v>699</v>
      </c>
      <c r="D8168" t="str">
        <f>HYPERLINK("http://service.sap.com/sap/support/notes/1832337","1832337")</f>
        <v>1832337</v>
      </c>
      <c r="E8168">
        <v>1</v>
      </c>
      <c r="F8168" t="s">
        <v>7566</v>
      </c>
    </row>
    <row r="8169" spans="1:6" x14ac:dyDescent="0.25">
      <c r="A8169" t="s">
        <v>7434</v>
      </c>
      <c r="B8169" t="s">
        <v>698</v>
      </c>
      <c r="C8169" t="s">
        <v>699</v>
      </c>
      <c r="D8169" t="str">
        <f>HYPERLINK("http://service.sap.com/sap/support/notes/1834789","1834789")</f>
        <v>1834789</v>
      </c>
      <c r="E8169">
        <v>2</v>
      </c>
      <c r="F8169" t="s">
        <v>7567</v>
      </c>
    </row>
    <row r="8170" spans="1:6" x14ac:dyDescent="0.25">
      <c r="A8170" t="s">
        <v>7434</v>
      </c>
      <c r="B8170" t="s">
        <v>698</v>
      </c>
      <c r="C8170" t="s">
        <v>699</v>
      </c>
      <c r="D8170" t="str">
        <f>HYPERLINK("http://service.sap.com/sap/support/notes/1845909","1845909")</f>
        <v>1845909</v>
      </c>
      <c r="E8170">
        <v>1</v>
      </c>
      <c r="F8170" t="s">
        <v>7568</v>
      </c>
    </row>
    <row r="8171" spans="1:6" x14ac:dyDescent="0.25">
      <c r="A8171" t="s">
        <v>7434</v>
      </c>
      <c r="B8171" t="s">
        <v>698</v>
      </c>
      <c r="C8171" t="s">
        <v>699</v>
      </c>
      <c r="D8171" t="str">
        <f>HYPERLINK("http://service.sap.com/sap/support/notes/1850094","1850094")</f>
        <v>1850094</v>
      </c>
      <c r="E8171">
        <v>2</v>
      </c>
      <c r="F8171" t="s">
        <v>7569</v>
      </c>
    </row>
    <row r="8172" spans="1:6" x14ac:dyDescent="0.25">
      <c r="A8172" t="s">
        <v>7434</v>
      </c>
      <c r="B8172" t="s">
        <v>698</v>
      </c>
      <c r="C8172" t="s">
        <v>699</v>
      </c>
      <c r="D8172" t="str">
        <f>HYPERLINK("http://service.sap.com/sap/support/notes/1861967","1861967")</f>
        <v>1861967</v>
      </c>
      <c r="E8172">
        <v>2</v>
      </c>
      <c r="F8172" t="s">
        <v>4236</v>
      </c>
    </row>
    <row r="8173" spans="1:6" x14ac:dyDescent="0.25">
      <c r="A8173" t="s">
        <v>7434</v>
      </c>
      <c r="B8173" t="s">
        <v>6077</v>
      </c>
      <c r="C8173" t="s">
        <v>645</v>
      </c>
      <c r="D8173" t="str">
        <f>HYPERLINK("http://service.sap.com/sap/support/notes/1336445","1336445")</f>
        <v>1336445</v>
      </c>
      <c r="E8173">
        <v>3</v>
      </c>
      <c r="F8173" t="s">
        <v>7570</v>
      </c>
    </row>
    <row r="8174" spans="1:6" x14ac:dyDescent="0.25">
      <c r="A8174" t="s">
        <v>7434</v>
      </c>
      <c r="B8174" t="s">
        <v>6077</v>
      </c>
      <c r="C8174" t="s">
        <v>645</v>
      </c>
      <c r="D8174" t="str">
        <f>HYPERLINK("http://service.sap.com/sap/support/notes/1843404","1843404")</f>
        <v>1843404</v>
      </c>
      <c r="E8174">
        <v>1</v>
      </c>
      <c r="F8174" t="s">
        <v>7571</v>
      </c>
    </row>
    <row r="8175" spans="1:6" x14ac:dyDescent="0.25">
      <c r="A8175" t="s">
        <v>7434</v>
      </c>
      <c r="B8175" t="s">
        <v>6077</v>
      </c>
      <c r="C8175" t="s">
        <v>645</v>
      </c>
      <c r="D8175" t="str">
        <f>HYPERLINK("http://service.sap.com/sap/support/notes/1847636","1847636")</f>
        <v>1847636</v>
      </c>
      <c r="E8175">
        <v>1</v>
      </c>
      <c r="F8175" t="s">
        <v>7572</v>
      </c>
    </row>
    <row r="8176" spans="1:6" x14ac:dyDescent="0.25">
      <c r="A8176" t="s">
        <v>7434</v>
      </c>
      <c r="B8176" t="s">
        <v>6077</v>
      </c>
      <c r="C8176" t="s">
        <v>645</v>
      </c>
      <c r="D8176" t="str">
        <f>HYPERLINK("http://service.sap.com/sap/support/notes/1848166","1848166")</f>
        <v>1848166</v>
      </c>
      <c r="E8176">
        <v>2</v>
      </c>
      <c r="F8176" t="s">
        <v>7573</v>
      </c>
    </row>
    <row r="8177" spans="1:6" x14ac:dyDescent="0.25">
      <c r="A8177" t="s">
        <v>7434</v>
      </c>
      <c r="B8177" t="s">
        <v>700</v>
      </c>
      <c r="C8177" t="s">
        <v>662</v>
      </c>
      <c r="D8177" t="str">
        <f>HYPERLINK("http://service.sap.com/sap/support/notes/1707318","1707318")</f>
        <v>1707318</v>
      </c>
      <c r="E8177">
        <v>2</v>
      </c>
      <c r="F8177" t="s">
        <v>7574</v>
      </c>
    </row>
    <row r="8178" spans="1:6" x14ac:dyDescent="0.25">
      <c r="A8178" t="s">
        <v>7434</v>
      </c>
      <c r="B8178" t="s">
        <v>700</v>
      </c>
      <c r="C8178" t="s">
        <v>662</v>
      </c>
      <c r="D8178" t="str">
        <f>HYPERLINK("http://service.sap.com/sap/support/notes/1840742","1840742")</f>
        <v>1840742</v>
      </c>
      <c r="E8178">
        <v>1</v>
      </c>
      <c r="F8178" t="s">
        <v>7575</v>
      </c>
    </row>
    <row r="8179" spans="1:6" x14ac:dyDescent="0.25">
      <c r="A8179" t="s">
        <v>7434</v>
      </c>
      <c r="B8179" t="s">
        <v>90</v>
      </c>
      <c r="C8179" t="s">
        <v>13</v>
      </c>
    </row>
    <row r="8180" spans="1:6" x14ac:dyDescent="0.25">
      <c r="A8180" t="s">
        <v>7434</v>
      </c>
      <c r="B8180" t="s">
        <v>557</v>
      </c>
      <c r="C8180" t="s">
        <v>646</v>
      </c>
    </row>
    <row r="8181" spans="1:6" x14ac:dyDescent="0.25">
      <c r="A8181" t="s">
        <v>7434</v>
      </c>
      <c r="B8181" t="s">
        <v>563</v>
      </c>
      <c r="C8181" t="s">
        <v>564</v>
      </c>
    </row>
    <row r="8182" spans="1:6" x14ac:dyDescent="0.25">
      <c r="A8182" t="s">
        <v>7434</v>
      </c>
      <c r="B8182" t="s">
        <v>647</v>
      </c>
      <c r="C8182" t="s">
        <v>648</v>
      </c>
      <c r="D8182" t="str">
        <f>HYPERLINK("http://service.sap.com/sap/support/notes/1792672","1792672")</f>
        <v>1792672</v>
      </c>
      <c r="E8182">
        <v>9</v>
      </c>
      <c r="F8182" t="s">
        <v>7576</v>
      </c>
    </row>
    <row r="8183" spans="1:6" x14ac:dyDescent="0.25">
      <c r="A8183" t="s">
        <v>7434</v>
      </c>
      <c r="B8183" t="s">
        <v>647</v>
      </c>
      <c r="C8183" t="s">
        <v>648</v>
      </c>
      <c r="D8183" t="str">
        <f>HYPERLINK("http://service.sap.com/sap/support/notes/1812727","1812727")</f>
        <v>1812727</v>
      </c>
      <c r="E8183">
        <v>3</v>
      </c>
      <c r="F8183" t="s">
        <v>7577</v>
      </c>
    </row>
    <row r="8184" spans="1:6" x14ac:dyDescent="0.25">
      <c r="A8184" t="s">
        <v>7434</v>
      </c>
      <c r="B8184" t="s">
        <v>647</v>
      </c>
      <c r="C8184" t="s">
        <v>648</v>
      </c>
      <c r="D8184" t="str">
        <f>HYPERLINK("http://service.sap.com/sap/support/notes/1819411","1819411")</f>
        <v>1819411</v>
      </c>
      <c r="E8184">
        <v>3</v>
      </c>
      <c r="F8184" t="s">
        <v>7578</v>
      </c>
    </row>
    <row r="8185" spans="1:6" x14ac:dyDescent="0.25">
      <c r="A8185" t="s">
        <v>7434</v>
      </c>
      <c r="B8185" t="s">
        <v>647</v>
      </c>
      <c r="C8185" t="s">
        <v>648</v>
      </c>
      <c r="D8185" t="str">
        <f>HYPERLINK("http://service.sap.com/sap/support/notes/1830604","1830604")</f>
        <v>1830604</v>
      </c>
      <c r="F8185" t="s">
        <v>7409</v>
      </c>
    </row>
    <row r="8186" spans="1:6" x14ac:dyDescent="0.25">
      <c r="A8186" t="s">
        <v>7434</v>
      </c>
      <c r="B8186" t="s">
        <v>647</v>
      </c>
      <c r="C8186" t="s">
        <v>648</v>
      </c>
      <c r="D8186" t="str">
        <f>HYPERLINK("http://service.sap.com/sap/support/notes/1833617","1833617")</f>
        <v>1833617</v>
      </c>
      <c r="E8186">
        <v>1</v>
      </c>
      <c r="F8186" t="s">
        <v>7579</v>
      </c>
    </row>
    <row r="8187" spans="1:6" x14ac:dyDescent="0.25">
      <c r="A8187" t="s">
        <v>7434</v>
      </c>
      <c r="B8187" t="s">
        <v>647</v>
      </c>
      <c r="C8187" t="s">
        <v>648</v>
      </c>
      <c r="D8187" t="str">
        <f>HYPERLINK("http://service.sap.com/sap/support/notes/1835647","1835647")</f>
        <v>1835647</v>
      </c>
      <c r="E8187">
        <v>2</v>
      </c>
      <c r="F8187" t="s">
        <v>7580</v>
      </c>
    </row>
    <row r="8188" spans="1:6" x14ac:dyDescent="0.25">
      <c r="A8188" t="s">
        <v>7434</v>
      </c>
      <c r="B8188" t="s">
        <v>647</v>
      </c>
      <c r="C8188" t="s">
        <v>648</v>
      </c>
      <c r="D8188" t="str">
        <f>HYPERLINK("http://service.sap.com/sap/support/notes/1835816","1835816")</f>
        <v>1835816</v>
      </c>
      <c r="E8188">
        <v>1</v>
      </c>
      <c r="F8188" t="s">
        <v>7581</v>
      </c>
    </row>
    <row r="8189" spans="1:6" x14ac:dyDescent="0.25">
      <c r="A8189" t="s">
        <v>7434</v>
      </c>
      <c r="B8189" t="s">
        <v>647</v>
      </c>
      <c r="C8189" t="s">
        <v>648</v>
      </c>
      <c r="D8189" t="str">
        <f>HYPERLINK("http://service.sap.com/sap/support/notes/1838057","1838057")</f>
        <v>1838057</v>
      </c>
      <c r="F8189" t="s">
        <v>7582</v>
      </c>
    </row>
    <row r="8190" spans="1:6" x14ac:dyDescent="0.25">
      <c r="A8190" t="s">
        <v>7434</v>
      </c>
      <c r="B8190" t="s">
        <v>647</v>
      </c>
      <c r="C8190" t="s">
        <v>648</v>
      </c>
      <c r="D8190" t="str">
        <f>HYPERLINK("http://service.sap.com/sap/support/notes/1840657","1840657")</f>
        <v>1840657</v>
      </c>
      <c r="E8190">
        <v>2</v>
      </c>
      <c r="F8190" t="s">
        <v>7583</v>
      </c>
    </row>
    <row r="8191" spans="1:6" x14ac:dyDescent="0.25">
      <c r="A8191" t="s">
        <v>7434</v>
      </c>
      <c r="B8191" t="s">
        <v>647</v>
      </c>
      <c r="C8191" t="s">
        <v>648</v>
      </c>
      <c r="D8191" t="str">
        <f>HYPERLINK("http://service.sap.com/sap/support/notes/1845667","1845667")</f>
        <v>1845667</v>
      </c>
      <c r="E8191">
        <v>2</v>
      </c>
      <c r="F8191" t="s">
        <v>7584</v>
      </c>
    </row>
    <row r="8192" spans="1:6" x14ac:dyDescent="0.25">
      <c r="A8192" t="s">
        <v>7434</v>
      </c>
      <c r="B8192" t="s">
        <v>647</v>
      </c>
      <c r="C8192" t="s">
        <v>648</v>
      </c>
      <c r="D8192" t="str">
        <f>HYPERLINK("http://service.sap.com/sap/support/notes/1850185","1850185")</f>
        <v>1850185</v>
      </c>
      <c r="E8192">
        <v>3</v>
      </c>
      <c r="F8192" t="s">
        <v>7585</v>
      </c>
    </row>
    <row r="8193" spans="1:6" x14ac:dyDescent="0.25">
      <c r="A8193" t="s">
        <v>7434</v>
      </c>
      <c r="B8193" t="s">
        <v>647</v>
      </c>
      <c r="C8193" t="s">
        <v>648</v>
      </c>
      <c r="D8193" t="str">
        <f>HYPERLINK("http://service.sap.com/sap/support/notes/1850514","1850514")</f>
        <v>1850514</v>
      </c>
      <c r="E8193">
        <v>1</v>
      </c>
      <c r="F8193" t="s">
        <v>7586</v>
      </c>
    </row>
    <row r="8194" spans="1:6" x14ac:dyDescent="0.25">
      <c r="A8194" t="s">
        <v>7434</v>
      </c>
      <c r="B8194" t="s">
        <v>647</v>
      </c>
      <c r="C8194" t="s">
        <v>648</v>
      </c>
      <c r="D8194" t="str">
        <f>HYPERLINK("http://service.sap.com/sap/support/notes/1857501","1857501")</f>
        <v>1857501</v>
      </c>
      <c r="E8194">
        <v>1</v>
      </c>
      <c r="F8194" t="s">
        <v>7587</v>
      </c>
    </row>
    <row r="8195" spans="1:6" x14ac:dyDescent="0.25">
      <c r="A8195" t="s">
        <v>7434</v>
      </c>
      <c r="B8195" t="s">
        <v>647</v>
      </c>
      <c r="C8195" t="s">
        <v>648</v>
      </c>
      <c r="D8195" t="str">
        <f>HYPERLINK("http://service.sap.com/sap/support/notes/1859769","1859769")</f>
        <v>1859769</v>
      </c>
      <c r="E8195">
        <v>2</v>
      </c>
      <c r="F8195" t="s">
        <v>7588</v>
      </c>
    </row>
    <row r="8196" spans="1:6" x14ac:dyDescent="0.25">
      <c r="A8196" t="s">
        <v>7434</v>
      </c>
      <c r="B8196" t="s">
        <v>647</v>
      </c>
      <c r="C8196" t="s">
        <v>648</v>
      </c>
      <c r="D8196" t="str">
        <f>HYPERLINK("http://service.sap.com/sap/support/notes/1860685","1860685")</f>
        <v>1860685</v>
      </c>
      <c r="E8196">
        <v>1</v>
      </c>
      <c r="F8196" t="s">
        <v>7589</v>
      </c>
    </row>
    <row r="8197" spans="1:6" x14ac:dyDescent="0.25">
      <c r="A8197" t="s">
        <v>7434</v>
      </c>
      <c r="B8197" t="s">
        <v>647</v>
      </c>
      <c r="C8197" t="s">
        <v>648</v>
      </c>
      <c r="D8197" t="str">
        <f>HYPERLINK("http://service.sap.com/sap/support/notes/1861874","1861874")</f>
        <v>1861874</v>
      </c>
      <c r="E8197">
        <v>1</v>
      </c>
      <c r="F8197" t="s">
        <v>7590</v>
      </c>
    </row>
    <row r="8198" spans="1:6" x14ac:dyDescent="0.25">
      <c r="A8198" t="s">
        <v>7434</v>
      </c>
      <c r="B8198" t="s">
        <v>95</v>
      </c>
      <c r="C8198" t="s">
        <v>96</v>
      </c>
    </row>
    <row r="8199" spans="1:6" x14ac:dyDescent="0.25">
      <c r="A8199" t="s">
        <v>7434</v>
      </c>
      <c r="B8199" t="s">
        <v>114</v>
      </c>
      <c r="C8199" t="s">
        <v>115</v>
      </c>
      <c r="D8199" t="str">
        <f>HYPERLINK("http://service.sap.com/sap/support/notes/1859809","1859809")</f>
        <v>1859809</v>
      </c>
      <c r="E8199">
        <v>1</v>
      </c>
      <c r="F8199" t="s">
        <v>3953</v>
      </c>
    </row>
    <row r="8200" spans="1:6" x14ac:dyDescent="0.25">
      <c r="A8200" t="s">
        <v>7434</v>
      </c>
      <c r="B8200" t="s">
        <v>114</v>
      </c>
      <c r="C8200" t="s">
        <v>115</v>
      </c>
      <c r="D8200" t="str">
        <f>HYPERLINK("http://service.sap.com/sap/support/notes/1862160","1862160")</f>
        <v>1862160</v>
      </c>
      <c r="E8200">
        <v>1</v>
      </c>
      <c r="F8200" t="s">
        <v>3956</v>
      </c>
    </row>
    <row r="8201" spans="1:6" x14ac:dyDescent="0.25">
      <c r="A8201" t="s">
        <v>7434</v>
      </c>
      <c r="B8201" t="s">
        <v>685</v>
      </c>
      <c r="C8201" t="s">
        <v>686</v>
      </c>
      <c r="D8201" t="str">
        <f>HYPERLINK("http://service.sap.com/sap/support/notes/1844977","1844977")</f>
        <v>1844977</v>
      </c>
      <c r="E8201">
        <v>1</v>
      </c>
      <c r="F8201" t="s">
        <v>7591</v>
      </c>
    </row>
    <row r="8202" spans="1:6" x14ac:dyDescent="0.25">
      <c r="A8202" t="s">
        <v>7434</v>
      </c>
      <c r="B8202" t="s">
        <v>685</v>
      </c>
      <c r="C8202" t="s">
        <v>686</v>
      </c>
      <c r="D8202" t="str">
        <f>HYPERLINK("http://service.sap.com/sap/support/notes/1847175","1847175")</f>
        <v>1847175</v>
      </c>
      <c r="E8202">
        <v>1</v>
      </c>
      <c r="F8202" t="s">
        <v>7592</v>
      </c>
    </row>
    <row r="8203" spans="1:6" x14ac:dyDescent="0.25">
      <c r="A8203" t="s">
        <v>7434</v>
      </c>
      <c r="B8203" t="s">
        <v>685</v>
      </c>
      <c r="C8203" t="s">
        <v>686</v>
      </c>
      <c r="D8203" t="str">
        <f>HYPERLINK("http://service.sap.com/sap/support/notes/1849023","1849023")</f>
        <v>1849023</v>
      </c>
      <c r="E8203">
        <v>1</v>
      </c>
      <c r="F8203" t="s">
        <v>7593</v>
      </c>
    </row>
    <row r="8204" spans="1:6" x14ac:dyDescent="0.25">
      <c r="A8204" t="s">
        <v>7434</v>
      </c>
      <c r="B8204" t="s">
        <v>685</v>
      </c>
      <c r="C8204" t="s">
        <v>686</v>
      </c>
      <c r="D8204" t="str">
        <f>HYPERLINK("http://service.sap.com/sap/support/notes/1850316","1850316")</f>
        <v>1850316</v>
      </c>
      <c r="E8204">
        <v>1</v>
      </c>
      <c r="F8204" t="s">
        <v>7594</v>
      </c>
    </row>
    <row r="8205" spans="1:6" x14ac:dyDescent="0.25">
      <c r="A8205" t="s">
        <v>7434</v>
      </c>
      <c r="B8205" t="s">
        <v>685</v>
      </c>
      <c r="C8205" t="s">
        <v>686</v>
      </c>
      <c r="D8205" t="str">
        <f>HYPERLINK("http://service.sap.com/sap/support/notes/1851776","1851776")</f>
        <v>1851776</v>
      </c>
      <c r="E8205">
        <v>1</v>
      </c>
      <c r="F8205" t="s">
        <v>7595</v>
      </c>
    </row>
    <row r="8206" spans="1:6" x14ac:dyDescent="0.25">
      <c r="A8206" t="s">
        <v>7434</v>
      </c>
      <c r="B8206" t="s">
        <v>685</v>
      </c>
      <c r="C8206" t="s">
        <v>686</v>
      </c>
      <c r="D8206" t="str">
        <f>HYPERLINK("http://service.sap.com/sap/support/notes/1856064","1856064")</f>
        <v>1856064</v>
      </c>
      <c r="E8206">
        <v>1</v>
      </c>
      <c r="F8206" t="s">
        <v>7596</v>
      </c>
    </row>
    <row r="8207" spans="1:6" x14ac:dyDescent="0.25">
      <c r="A8207" t="s">
        <v>7434</v>
      </c>
      <c r="B8207" t="s">
        <v>685</v>
      </c>
      <c r="C8207" t="s">
        <v>686</v>
      </c>
      <c r="D8207" t="str">
        <f>HYPERLINK("http://service.sap.com/sap/support/notes/1856130","1856130")</f>
        <v>1856130</v>
      </c>
      <c r="E8207">
        <v>1</v>
      </c>
      <c r="F8207" t="s">
        <v>7597</v>
      </c>
    </row>
    <row r="8208" spans="1:6" x14ac:dyDescent="0.25">
      <c r="A8208" t="s">
        <v>7434</v>
      </c>
      <c r="B8208" t="s">
        <v>685</v>
      </c>
      <c r="C8208" t="s">
        <v>686</v>
      </c>
      <c r="D8208" t="str">
        <f>HYPERLINK("http://service.sap.com/sap/support/notes/1857281","1857281")</f>
        <v>1857281</v>
      </c>
      <c r="E8208">
        <v>1</v>
      </c>
      <c r="F8208" t="s">
        <v>7598</v>
      </c>
    </row>
    <row r="8209" spans="1:6" x14ac:dyDescent="0.25">
      <c r="A8209" t="s">
        <v>7434</v>
      </c>
      <c r="B8209" t="s">
        <v>685</v>
      </c>
      <c r="C8209" t="s">
        <v>686</v>
      </c>
      <c r="D8209" t="str">
        <f>HYPERLINK("http://service.sap.com/sap/support/notes/1859233","1859233")</f>
        <v>1859233</v>
      </c>
      <c r="E8209">
        <v>1</v>
      </c>
      <c r="F8209" t="s">
        <v>7599</v>
      </c>
    </row>
    <row r="8210" spans="1:6" x14ac:dyDescent="0.25">
      <c r="A8210" t="s">
        <v>7434</v>
      </c>
      <c r="B8210" t="s">
        <v>685</v>
      </c>
      <c r="C8210" t="s">
        <v>686</v>
      </c>
      <c r="D8210" t="str">
        <f>HYPERLINK("http://service.sap.com/sap/support/notes/1862534","1862534")</f>
        <v>1862534</v>
      </c>
      <c r="E8210">
        <v>1</v>
      </c>
      <c r="F8210" t="s">
        <v>7600</v>
      </c>
    </row>
    <row r="8211" spans="1:6" x14ac:dyDescent="0.25">
      <c r="A8211" t="s">
        <v>7434</v>
      </c>
      <c r="B8211" t="s">
        <v>685</v>
      </c>
      <c r="C8211" t="s">
        <v>686</v>
      </c>
      <c r="D8211" t="str">
        <f>HYPERLINK("http://service.sap.com/sap/support/notes/1863797","1863797")</f>
        <v>1863797</v>
      </c>
      <c r="E8211">
        <v>1</v>
      </c>
      <c r="F8211" t="s">
        <v>6498</v>
      </c>
    </row>
    <row r="8212" spans="1:6" x14ac:dyDescent="0.25">
      <c r="A8212" t="s">
        <v>7434</v>
      </c>
      <c r="B8212" t="s">
        <v>685</v>
      </c>
      <c r="C8212" t="s">
        <v>686</v>
      </c>
      <c r="D8212" t="str">
        <f>HYPERLINK("http://service.sap.com/sap/support/notes/1863798","1863798")</f>
        <v>1863798</v>
      </c>
      <c r="E8212">
        <v>1</v>
      </c>
      <c r="F8212" t="s">
        <v>3955</v>
      </c>
    </row>
    <row r="8213" spans="1:6" x14ac:dyDescent="0.25">
      <c r="A8213" t="s">
        <v>7434</v>
      </c>
      <c r="B8213" t="s">
        <v>3967</v>
      </c>
      <c r="C8213" t="s">
        <v>4429</v>
      </c>
      <c r="D8213" t="str">
        <f>HYPERLINK("http://service.sap.com/sap/support/notes/1850504","1850504")</f>
        <v>1850504</v>
      </c>
      <c r="E8213">
        <v>1</v>
      </c>
      <c r="F8213" t="s">
        <v>3969</v>
      </c>
    </row>
    <row r="8214" spans="1:6" x14ac:dyDescent="0.25">
      <c r="A8214" t="s">
        <v>7434</v>
      </c>
      <c r="B8214" t="s">
        <v>150</v>
      </c>
      <c r="C8214" t="s">
        <v>151</v>
      </c>
      <c r="D8214" t="str">
        <f>HYPERLINK("http://service.sap.com/sap/support/notes/1858404","1858404")</f>
        <v>1858404</v>
      </c>
      <c r="E8214">
        <v>1</v>
      </c>
      <c r="F8214" t="s">
        <v>4003</v>
      </c>
    </row>
    <row r="8215" spans="1:6" x14ac:dyDescent="0.25">
      <c r="A8215" t="s">
        <v>7434</v>
      </c>
      <c r="B8215" t="s">
        <v>159</v>
      </c>
      <c r="C8215" t="s">
        <v>160</v>
      </c>
      <c r="D8215" t="str">
        <f>HYPERLINK("http://service.sap.com/sap/support/notes/1513007","1513007")</f>
        <v>1513007</v>
      </c>
      <c r="E8215">
        <v>1</v>
      </c>
      <c r="F8215" t="s">
        <v>2929</v>
      </c>
    </row>
    <row r="8216" spans="1:6" x14ac:dyDescent="0.25">
      <c r="A8216" t="s">
        <v>7434</v>
      </c>
      <c r="B8216" t="s">
        <v>159</v>
      </c>
      <c r="C8216" t="s">
        <v>160</v>
      </c>
      <c r="D8216" t="str">
        <f>HYPERLINK("http://service.sap.com/sap/support/notes/1829559","1829559")</f>
        <v>1829559</v>
      </c>
      <c r="E8216">
        <v>1</v>
      </c>
      <c r="F8216" t="s">
        <v>3489</v>
      </c>
    </row>
    <row r="8217" spans="1:6" x14ac:dyDescent="0.25">
      <c r="A8217" t="s">
        <v>7434</v>
      </c>
      <c r="B8217" t="s">
        <v>175</v>
      </c>
      <c r="C8217" t="s">
        <v>176</v>
      </c>
    </row>
    <row r="8218" spans="1:6" x14ac:dyDescent="0.25">
      <c r="A8218" t="s">
        <v>7434</v>
      </c>
      <c r="B8218" t="s">
        <v>183</v>
      </c>
      <c r="C8218" t="s">
        <v>184</v>
      </c>
    </row>
    <row r="8219" spans="1:6" x14ac:dyDescent="0.25">
      <c r="A8219" t="s">
        <v>7434</v>
      </c>
      <c r="B8219" t="s">
        <v>578</v>
      </c>
      <c r="C8219" t="s">
        <v>4485</v>
      </c>
      <c r="D8219" t="str">
        <f>HYPERLINK("http://service.sap.com/sap/support/notes/1856882","1856882")</f>
        <v>1856882</v>
      </c>
      <c r="E8219">
        <v>14</v>
      </c>
      <c r="F8219" t="s">
        <v>4039</v>
      </c>
    </row>
    <row r="8220" spans="1:6" x14ac:dyDescent="0.25">
      <c r="A8220" t="s">
        <v>7434</v>
      </c>
      <c r="B8220" t="s">
        <v>319</v>
      </c>
      <c r="C8220" t="s">
        <v>320</v>
      </c>
      <c r="D8220" t="str">
        <f>HYPERLINK("http://service.sap.com/sap/support/notes/1843255","1843255")</f>
        <v>1843255</v>
      </c>
      <c r="E8220">
        <v>2</v>
      </c>
      <c r="F8220" t="s">
        <v>7601</v>
      </c>
    </row>
    <row r="8221" spans="1:6" x14ac:dyDescent="0.25">
      <c r="A8221" t="s">
        <v>7434</v>
      </c>
      <c r="B8221" t="s">
        <v>319</v>
      </c>
      <c r="C8221" t="s">
        <v>320</v>
      </c>
      <c r="D8221" t="str">
        <f>HYPERLINK("http://service.sap.com/sap/support/notes/1860855","1860855")</f>
        <v>1860855</v>
      </c>
      <c r="E8221">
        <v>1</v>
      </c>
      <c r="F8221" t="s">
        <v>4179</v>
      </c>
    </row>
    <row r="8222" spans="1:6" x14ac:dyDescent="0.25">
      <c r="A8222" t="s">
        <v>7434</v>
      </c>
      <c r="B8222" t="s">
        <v>2263</v>
      </c>
      <c r="C8222" t="s">
        <v>2264</v>
      </c>
      <c r="D8222" t="str">
        <f>HYPERLINK("http://service.sap.com/sap/support/notes/1838285","1838285")</f>
        <v>1838285</v>
      </c>
      <c r="E8222">
        <v>3</v>
      </c>
      <c r="F8222" t="s">
        <v>7602</v>
      </c>
    </row>
    <row r="8223" spans="1:6" x14ac:dyDescent="0.25">
      <c r="A8223" t="s">
        <v>7434</v>
      </c>
      <c r="B8223" t="s">
        <v>2263</v>
      </c>
      <c r="C8223" t="s">
        <v>2264</v>
      </c>
      <c r="D8223" t="str">
        <f>HYPERLINK("http://service.sap.com/sap/support/notes/1850821","1850821")</f>
        <v>1850821</v>
      </c>
      <c r="E8223">
        <v>3</v>
      </c>
      <c r="F8223" t="s">
        <v>7603</v>
      </c>
    </row>
    <row r="8224" spans="1:6" x14ac:dyDescent="0.25">
      <c r="A8224" t="s">
        <v>7434</v>
      </c>
      <c r="B8224" t="s">
        <v>2263</v>
      </c>
      <c r="C8224" t="s">
        <v>2264</v>
      </c>
      <c r="D8224" t="str">
        <f>HYPERLINK("http://service.sap.com/sap/support/notes/1850953","1850953")</f>
        <v>1850953</v>
      </c>
      <c r="E8224">
        <v>2</v>
      </c>
      <c r="F8224" t="s">
        <v>4185</v>
      </c>
    </row>
    <row r="8225" spans="1:6" x14ac:dyDescent="0.25">
      <c r="A8225" t="s">
        <v>7434</v>
      </c>
      <c r="B8225" t="s">
        <v>327</v>
      </c>
      <c r="C8225" t="s">
        <v>328</v>
      </c>
      <c r="D8225" t="str">
        <f>HYPERLINK("http://service.sap.com/sap/support/notes/1812390","1812390")</f>
        <v>1812390</v>
      </c>
      <c r="E8225">
        <v>1</v>
      </c>
      <c r="F8225" t="s">
        <v>7604</v>
      </c>
    </row>
    <row r="8226" spans="1:6" x14ac:dyDescent="0.25">
      <c r="A8226" t="s">
        <v>7434</v>
      </c>
      <c r="B8226" t="s">
        <v>344</v>
      </c>
      <c r="C8226" t="s">
        <v>345</v>
      </c>
    </row>
    <row r="8227" spans="1:6" x14ac:dyDescent="0.25">
      <c r="A8227" t="s">
        <v>7434</v>
      </c>
      <c r="B8227" t="s">
        <v>1902</v>
      </c>
      <c r="C8227" t="s">
        <v>1903</v>
      </c>
      <c r="D8227" t="str">
        <f>HYPERLINK("http://service.sap.com/sap/support/notes/1864080","1864080")</f>
        <v>1864080</v>
      </c>
      <c r="E8227">
        <v>2</v>
      </c>
      <c r="F8227" t="s">
        <v>7605</v>
      </c>
    </row>
    <row r="8228" spans="1:6" x14ac:dyDescent="0.25">
      <c r="A8228" t="s">
        <v>7434</v>
      </c>
      <c r="B8228" t="s">
        <v>362</v>
      </c>
      <c r="C8228" t="s">
        <v>363</v>
      </c>
      <c r="D8228" t="str">
        <f>HYPERLINK("http://service.sap.com/sap/support/notes/1859214","1859214")</f>
        <v>1859214</v>
      </c>
      <c r="E8228">
        <v>1</v>
      </c>
      <c r="F8228" t="s">
        <v>4229</v>
      </c>
    </row>
    <row r="8229" spans="1:6" x14ac:dyDescent="0.25">
      <c r="A8229" t="s">
        <v>7434</v>
      </c>
      <c r="B8229" t="s">
        <v>379</v>
      </c>
      <c r="C8229" t="s">
        <v>380</v>
      </c>
      <c r="D8229" t="str">
        <f>HYPERLINK("http://service.sap.com/sap/support/notes/1860706","1860706")</f>
        <v>1860706</v>
      </c>
      <c r="E8229">
        <v>1</v>
      </c>
      <c r="F8229" t="s">
        <v>7606</v>
      </c>
    </row>
    <row r="8230" spans="1:6" x14ac:dyDescent="0.25">
      <c r="A8230" t="s">
        <v>7434</v>
      </c>
      <c r="B8230" t="s">
        <v>379</v>
      </c>
      <c r="C8230" t="s">
        <v>380</v>
      </c>
      <c r="D8230" t="str">
        <f>HYPERLINK("http://service.sap.com/sap/support/notes/1864690","1864690")</f>
        <v>1864690</v>
      </c>
      <c r="E8230">
        <v>1</v>
      </c>
      <c r="F8230" t="s">
        <v>7607</v>
      </c>
    </row>
    <row r="8231" spans="1:6" x14ac:dyDescent="0.25">
      <c r="A8231" t="s">
        <v>7434</v>
      </c>
      <c r="B8231" t="s">
        <v>384</v>
      </c>
      <c r="C8231" t="s">
        <v>385</v>
      </c>
      <c r="D8231" t="str">
        <f>HYPERLINK("http://service.sap.com/sap/support/notes/1724017","1724017")</f>
        <v>1724017</v>
      </c>
      <c r="E8231">
        <v>1</v>
      </c>
      <c r="F8231" t="s">
        <v>387</v>
      </c>
    </row>
    <row r="8232" spans="1:6" x14ac:dyDescent="0.25">
      <c r="A8232" t="s">
        <v>7434</v>
      </c>
      <c r="B8232" t="s">
        <v>384</v>
      </c>
      <c r="C8232" t="s">
        <v>385</v>
      </c>
      <c r="D8232" t="str">
        <f>HYPERLINK("http://service.sap.com/sap/support/notes/1861330","1861330")</f>
        <v>1861330</v>
      </c>
      <c r="E8232">
        <v>1</v>
      </c>
      <c r="F8232" t="s">
        <v>7608</v>
      </c>
    </row>
    <row r="8233" spans="1:6" x14ac:dyDescent="0.25">
      <c r="A8233" t="s">
        <v>7434</v>
      </c>
      <c r="B8233" t="s">
        <v>395</v>
      </c>
      <c r="C8233" t="s">
        <v>396</v>
      </c>
      <c r="D8233" t="str">
        <f>HYPERLINK("http://service.sap.com/sap/support/notes/1847507","1847507")</f>
        <v>1847507</v>
      </c>
      <c r="E8233">
        <v>1</v>
      </c>
      <c r="F8233" t="s">
        <v>7609</v>
      </c>
    </row>
    <row r="8234" spans="1:6" x14ac:dyDescent="0.25">
      <c r="A8234" t="s">
        <v>7434</v>
      </c>
      <c r="B8234" t="s">
        <v>395</v>
      </c>
      <c r="C8234" t="s">
        <v>396</v>
      </c>
      <c r="D8234" t="str">
        <f>HYPERLINK("http://service.sap.com/sap/support/notes/1853005","1853005")</f>
        <v>1853005</v>
      </c>
      <c r="E8234">
        <v>3</v>
      </c>
      <c r="F8234" t="s">
        <v>4242</v>
      </c>
    </row>
    <row r="8235" spans="1:6" x14ac:dyDescent="0.25">
      <c r="A8235" t="s">
        <v>7434</v>
      </c>
      <c r="B8235" t="s">
        <v>423</v>
      </c>
      <c r="C8235" t="s">
        <v>424</v>
      </c>
      <c r="D8235" t="str">
        <f>HYPERLINK("http://service.sap.com/sap/support/notes/1810892","1810892")</f>
        <v>1810892</v>
      </c>
      <c r="E8235">
        <v>4</v>
      </c>
      <c r="F8235" t="s">
        <v>6954</v>
      </c>
    </row>
    <row r="8236" spans="1:6" x14ac:dyDescent="0.25">
      <c r="A8236" t="s">
        <v>7434</v>
      </c>
      <c r="B8236" t="s">
        <v>423</v>
      </c>
      <c r="C8236" t="s">
        <v>424</v>
      </c>
      <c r="D8236" t="str">
        <f>HYPERLINK("http://service.sap.com/sap/support/notes/1841045","1841045")</f>
        <v>1841045</v>
      </c>
      <c r="E8236">
        <v>1</v>
      </c>
      <c r="F8236" t="s">
        <v>4267</v>
      </c>
    </row>
    <row r="8237" spans="1:6" x14ac:dyDescent="0.25">
      <c r="A8237" t="s">
        <v>7434</v>
      </c>
      <c r="B8237" t="s">
        <v>423</v>
      </c>
      <c r="C8237" t="s">
        <v>424</v>
      </c>
      <c r="D8237" t="str">
        <f>HYPERLINK("http://service.sap.com/sap/support/notes/1847580","1847580")</f>
        <v>1847580</v>
      </c>
      <c r="E8237">
        <v>5</v>
      </c>
      <c r="F8237" t="s">
        <v>4269</v>
      </c>
    </row>
    <row r="8238" spans="1:6" x14ac:dyDescent="0.25">
      <c r="A8238" t="s">
        <v>7434</v>
      </c>
      <c r="B8238" t="s">
        <v>423</v>
      </c>
      <c r="C8238" t="s">
        <v>424</v>
      </c>
      <c r="D8238" t="str">
        <f>HYPERLINK("http://service.sap.com/sap/support/notes/1849467","1849467")</f>
        <v>1849467</v>
      </c>
      <c r="E8238">
        <v>1</v>
      </c>
      <c r="F8238" t="s">
        <v>4272</v>
      </c>
    </row>
    <row r="8239" spans="1:6" x14ac:dyDescent="0.25">
      <c r="A8239" t="s">
        <v>7434</v>
      </c>
      <c r="B8239" t="s">
        <v>423</v>
      </c>
      <c r="C8239" t="s">
        <v>424</v>
      </c>
      <c r="D8239" t="str">
        <f>HYPERLINK("http://service.sap.com/sap/support/notes/1849588","1849588")</f>
        <v>1849588</v>
      </c>
      <c r="E8239">
        <v>1</v>
      </c>
      <c r="F8239" t="s">
        <v>7610</v>
      </c>
    </row>
    <row r="8240" spans="1:6" x14ac:dyDescent="0.25">
      <c r="A8240" t="s">
        <v>7434</v>
      </c>
      <c r="B8240" t="s">
        <v>423</v>
      </c>
      <c r="C8240" t="s">
        <v>424</v>
      </c>
      <c r="D8240" t="str">
        <f>HYPERLINK("http://service.sap.com/sap/support/notes/1850336","1850336")</f>
        <v>1850336</v>
      </c>
      <c r="E8240">
        <v>4</v>
      </c>
      <c r="F8240" t="s">
        <v>4275</v>
      </c>
    </row>
    <row r="8241" spans="1:6" x14ac:dyDescent="0.25">
      <c r="A8241" t="s">
        <v>7434</v>
      </c>
      <c r="B8241" t="s">
        <v>423</v>
      </c>
      <c r="C8241" t="s">
        <v>424</v>
      </c>
      <c r="D8241" t="str">
        <f>HYPERLINK("http://service.sap.com/sap/support/notes/1851032","1851032")</f>
        <v>1851032</v>
      </c>
      <c r="E8241">
        <v>5</v>
      </c>
      <c r="F8241" t="s">
        <v>4276</v>
      </c>
    </row>
    <row r="8242" spans="1:6" x14ac:dyDescent="0.25">
      <c r="A8242" t="s">
        <v>7434</v>
      </c>
      <c r="B8242" t="s">
        <v>423</v>
      </c>
      <c r="C8242" t="s">
        <v>424</v>
      </c>
      <c r="D8242" t="str">
        <f>HYPERLINK("http://service.sap.com/sap/support/notes/1852431","1852431")</f>
        <v>1852431</v>
      </c>
      <c r="E8242">
        <v>5</v>
      </c>
      <c r="F8242" t="s">
        <v>4279</v>
      </c>
    </row>
    <row r="8243" spans="1:6" x14ac:dyDescent="0.25">
      <c r="A8243" t="s">
        <v>7434</v>
      </c>
      <c r="B8243" t="s">
        <v>423</v>
      </c>
      <c r="C8243" t="s">
        <v>424</v>
      </c>
      <c r="D8243" t="str">
        <f>HYPERLINK("http://service.sap.com/sap/support/notes/1857085","1857085")</f>
        <v>1857085</v>
      </c>
      <c r="E8243">
        <v>2</v>
      </c>
      <c r="F8243" t="s">
        <v>4280</v>
      </c>
    </row>
    <row r="8244" spans="1:6" x14ac:dyDescent="0.25">
      <c r="A8244" t="s">
        <v>7434</v>
      </c>
      <c r="B8244" t="s">
        <v>423</v>
      </c>
      <c r="C8244" t="s">
        <v>424</v>
      </c>
      <c r="D8244" t="str">
        <f>HYPERLINK("http://service.sap.com/sap/support/notes/1860357","1860357")</f>
        <v>1860357</v>
      </c>
      <c r="E8244">
        <v>2</v>
      </c>
      <c r="F8244" t="s">
        <v>7611</v>
      </c>
    </row>
    <row r="8245" spans="1:6" x14ac:dyDescent="0.25">
      <c r="A8245" t="s">
        <v>7434</v>
      </c>
      <c r="B8245" t="s">
        <v>423</v>
      </c>
      <c r="C8245" t="s">
        <v>424</v>
      </c>
      <c r="D8245" t="str">
        <f>HYPERLINK("http://service.sap.com/sap/support/notes/1861057","1861057")</f>
        <v>1861057</v>
      </c>
      <c r="E8245">
        <v>1</v>
      </c>
      <c r="F8245" t="s">
        <v>4282</v>
      </c>
    </row>
    <row r="8246" spans="1:6" x14ac:dyDescent="0.25">
      <c r="A8246" t="s">
        <v>7434</v>
      </c>
      <c r="B8246" t="s">
        <v>423</v>
      </c>
      <c r="C8246" t="s">
        <v>424</v>
      </c>
      <c r="D8246" t="str">
        <f>HYPERLINK("http://service.sap.com/sap/support/notes/1863352","1863352")</f>
        <v>1863352</v>
      </c>
      <c r="E8246">
        <v>1</v>
      </c>
      <c r="F8246" t="s">
        <v>7612</v>
      </c>
    </row>
    <row r="8247" spans="1:6" x14ac:dyDescent="0.25">
      <c r="A8247" t="s">
        <v>7434</v>
      </c>
      <c r="B8247" t="s">
        <v>423</v>
      </c>
      <c r="C8247" t="s">
        <v>424</v>
      </c>
      <c r="D8247" t="str">
        <f>HYPERLINK("http://service.sap.com/sap/support/notes/1864282","1864282")</f>
        <v>1864282</v>
      </c>
      <c r="E8247">
        <v>2</v>
      </c>
      <c r="F8247" t="s">
        <v>4283</v>
      </c>
    </row>
    <row r="8248" spans="1:6" x14ac:dyDescent="0.25">
      <c r="A8248" t="s">
        <v>7434</v>
      </c>
      <c r="B8248" t="s">
        <v>430</v>
      </c>
      <c r="C8248" t="s">
        <v>431</v>
      </c>
    </row>
    <row r="8249" spans="1:6" x14ac:dyDescent="0.25">
      <c r="A8249" t="s">
        <v>7434</v>
      </c>
      <c r="B8249" t="s">
        <v>6678</v>
      </c>
      <c r="C8249" t="s">
        <v>6436</v>
      </c>
      <c r="D8249" t="str">
        <f>HYPERLINK("http://service.sap.com/sap/support/notes/1774016","1774016")</f>
        <v>1774016</v>
      </c>
      <c r="E8249">
        <v>3</v>
      </c>
      <c r="F8249" t="s">
        <v>7613</v>
      </c>
    </row>
    <row r="8250" spans="1:6" x14ac:dyDescent="0.25">
      <c r="A8250" t="s">
        <v>7434</v>
      </c>
      <c r="B8250" t="s">
        <v>450</v>
      </c>
      <c r="C8250" t="s">
        <v>451</v>
      </c>
      <c r="D8250" t="str">
        <f>HYPERLINK("http://service.sap.com/sap/support/notes/1836382","1836382")</f>
        <v>1836382</v>
      </c>
      <c r="E8250">
        <v>1</v>
      </c>
      <c r="F8250" t="s">
        <v>7614</v>
      </c>
    </row>
    <row r="8251" spans="1:6" x14ac:dyDescent="0.25">
      <c r="A8251" t="s">
        <v>7434</v>
      </c>
      <c r="B8251" t="s">
        <v>453</v>
      </c>
      <c r="C8251" t="s">
        <v>74</v>
      </c>
      <c r="D8251" t="str">
        <f>HYPERLINK("http://service.sap.com/sap/support/notes/1858935","1858935")</f>
        <v>1858935</v>
      </c>
      <c r="E8251">
        <v>2</v>
      </c>
      <c r="F8251" t="s">
        <v>3999</v>
      </c>
    </row>
    <row r="8252" spans="1:6" x14ac:dyDescent="0.25">
      <c r="A8252" t="s">
        <v>7434</v>
      </c>
      <c r="B8252" t="s">
        <v>453</v>
      </c>
      <c r="C8252" t="s">
        <v>74</v>
      </c>
      <c r="D8252" t="str">
        <f>HYPERLINK("http://service.sap.com/sap/support/notes/1863602","1863602")</f>
        <v>1863602</v>
      </c>
      <c r="E8252">
        <v>1</v>
      </c>
      <c r="F8252" t="s">
        <v>7615</v>
      </c>
    </row>
    <row r="8253" spans="1:6" x14ac:dyDescent="0.25">
      <c r="A8253" t="s">
        <v>7434</v>
      </c>
      <c r="B8253" t="s">
        <v>610</v>
      </c>
      <c r="C8253" t="s">
        <v>635</v>
      </c>
    </row>
    <row r="8254" spans="1:6" x14ac:dyDescent="0.25">
      <c r="A8254" t="s">
        <v>7434</v>
      </c>
      <c r="B8254" t="s">
        <v>618</v>
      </c>
      <c r="C8254" t="s">
        <v>619</v>
      </c>
      <c r="D8254" t="str">
        <f>HYPERLINK("http://service.sap.com/sap/support/notes/1846780","1846780")</f>
        <v>1846780</v>
      </c>
      <c r="E8254">
        <v>2</v>
      </c>
      <c r="F8254" t="s">
        <v>7616</v>
      </c>
    </row>
    <row r="8255" spans="1:6" x14ac:dyDescent="0.25">
      <c r="A8255" t="s">
        <v>7434</v>
      </c>
      <c r="B8255" t="s">
        <v>3809</v>
      </c>
      <c r="C8255" t="s">
        <v>3810</v>
      </c>
      <c r="D8255" t="str">
        <f>HYPERLINK("http://service.sap.com/sap/support/notes/1845680","1845680")</f>
        <v>1845680</v>
      </c>
      <c r="E8255">
        <v>1</v>
      </c>
      <c r="F8255" t="s">
        <v>7617</v>
      </c>
    </row>
    <row r="8256" spans="1:6" x14ac:dyDescent="0.25">
      <c r="A8256" t="s">
        <v>7434</v>
      </c>
      <c r="B8256" t="s">
        <v>3809</v>
      </c>
      <c r="C8256" t="s">
        <v>3810</v>
      </c>
      <c r="D8256" t="str">
        <f>HYPERLINK("http://service.sap.com/sap/support/notes/1850609","1850609")</f>
        <v>1850609</v>
      </c>
      <c r="E8256">
        <v>1</v>
      </c>
      <c r="F8256" t="s">
        <v>7618</v>
      </c>
    </row>
    <row r="8257" spans="1:6" x14ac:dyDescent="0.25">
      <c r="A8257" t="s">
        <v>7434</v>
      </c>
      <c r="B8257" t="s">
        <v>3809</v>
      </c>
      <c r="C8257" t="s">
        <v>3810</v>
      </c>
      <c r="D8257" t="str">
        <f>HYPERLINK("http://service.sap.com/sap/support/notes/1854033","1854033")</f>
        <v>1854033</v>
      </c>
      <c r="E8257">
        <v>2</v>
      </c>
      <c r="F8257" t="s">
        <v>7619</v>
      </c>
    </row>
    <row r="8258" spans="1:6" x14ac:dyDescent="0.25">
      <c r="A8258" t="s">
        <v>7434</v>
      </c>
      <c r="B8258" t="s">
        <v>670</v>
      </c>
      <c r="C8258" t="s">
        <v>671</v>
      </c>
    </row>
    <row r="8259" spans="1:6" x14ac:dyDescent="0.25">
      <c r="A8259" t="s">
        <v>7434</v>
      </c>
      <c r="B8259" t="s">
        <v>672</v>
      </c>
      <c r="C8259" t="s">
        <v>673</v>
      </c>
    </row>
    <row r="8260" spans="1:6" x14ac:dyDescent="0.25">
      <c r="A8260" t="s">
        <v>7434</v>
      </c>
      <c r="B8260" t="s">
        <v>7620</v>
      </c>
      <c r="C8260" t="s">
        <v>55</v>
      </c>
      <c r="D8260" t="str">
        <f>HYPERLINK("http://service.sap.com/sap/support/notes/1793924","1793924")</f>
        <v>1793924</v>
      </c>
      <c r="E8260">
        <v>1</v>
      </c>
      <c r="F8260" t="s">
        <v>7621</v>
      </c>
    </row>
    <row r="8261" spans="1:6" x14ac:dyDescent="0.25">
      <c r="A8261" t="s">
        <v>7434</v>
      </c>
      <c r="B8261" t="s">
        <v>5713</v>
      </c>
      <c r="C8261" t="s">
        <v>5714</v>
      </c>
    </row>
    <row r="8262" spans="1:6" x14ac:dyDescent="0.25">
      <c r="A8262" t="s">
        <v>7434</v>
      </c>
      <c r="B8262" t="s">
        <v>5715</v>
      </c>
      <c r="C8262" t="s">
        <v>5710</v>
      </c>
      <c r="D8262" t="str">
        <f>HYPERLINK("http://service.sap.com/sap/support/notes/1854356","1854356")</f>
        <v>1854356</v>
      </c>
      <c r="E8262">
        <v>1</v>
      </c>
      <c r="F8262" t="s">
        <v>7622</v>
      </c>
    </row>
    <row r="8263" spans="1:6" x14ac:dyDescent="0.25">
      <c r="A8263" t="s">
        <v>7434</v>
      </c>
      <c r="B8263" t="s">
        <v>5715</v>
      </c>
      <c r="C8263" t="s">
        <v>5710</v>
      </c>
      <c r="D8263" t="str">
        <f>HYPERLINK("http://service.sap.com/sap/support/notes/1856072","1856072")</f>
        <v>1856072</v>
      </c>
      <c r="E8263">
        <v>1</v>
      </c>
      <c r="F8263" t="s">
        <v>7623</v>
      </c>
    </row>
    <row r="8264" spans="1:6" x14ac:dyDescent="0.25">
      <c r="A8264" t="s">
        <v>7434</v>
      </c>
      <c r="B8264" t="s">
        <v>5715</v>
      </c>
      <c r="C8264" t="s">
        <v>5710</v>
      </c>
      <c r="D8264" t="str">
        <f>HYPERLINK("http://service.sap.com/sap/support/notes/1859164","1859164")</f>
        <v>1859164</v>
      </c>
      <c r="E8264">
        <v>1</v>
      </c>
      <c r="F8264" t="s">
        <v>7624</v>
      </c>
    </row>
    <row r="8265" spans="1:6" x14ac:dyDescent="0.25">
      <c r="A8265" t="s">
        <v>7434</v>
      </c>
      <c r="B8265" t="s">
        <v>5718</v>
      </c>
      <c r="C8265" t="s">
        <v>5719</v>
      </c>
    </row>
    <row r="8266" spans="1:6" x14ac:dyDescent="0.25">
      <c r="A8266" t="s">
        <v>7434</v>
      </c>
      <c r="B8266" t="s">
        <v>5720</v>
      </c>
      <c r="C8266" t="s">
        <v>5710</v>
      </c>
      <c r="D8266" t="str">
        <f>HYPERLINK("http://service.sap.com/sap/support/notes/1844289","1844289")</f>
        <v>1844289</v>
      </c>
      <c r="E8266">
        <v>1</v>
      </c>
      <c r="F8266" t="s">
        <v>7625</v>
      </c>
    </row>
    <row r="8267" spans="1:6" x14ac:dyDescent="0.25">
      <c r="A8267" t="s">
        <v>7434</v>
      </c>
      <c r="B8267" t="s">
        <v>5720</v>
      </c>
      <c r="C8267" t="s">
        <v>5710</v>
      </c>
      <c r="D8267" t="str">
        <f>HYPERLINK("http://service.sap.com/sap/support/notes/1855771","1855771")</f>
        <v>1855771</v>
      </c>
      <c r="E8267">
        <v>2</v>
      </c>
      <c r="F8267" t="s">
        <v>7626</v>
      </c>
    </row>
    <row r="8268" spans="1:6" x14ac:dyDescent="0.25">
      <c r="A8268" t="s">
        <v>7434</v>
      </c>
      <c r="B8268" t="s">
        <v>5720</v>
      </c>
      <c r="C8268" t="s">
        <v>5710</v>
      </c>
      <c r="D8268" t="str">
        <f>HYPERLINK("http://service.sap.com/sap/support/notes/1857473","1857473")</f>
        <v>1857473</v>
      </c>
      <c r="E8268">
        <v>3</v>
      </c>
      <c r="F8268" t="s">
        <v>7627</v>
      </c>
    </row>
    <row r="8269" spans="1:6" x14ac:dyDescent="0.25">
      <c r="A8269" t="s">
        <v>7434</v>
      </c>
      <c r="B8269" t="s">
        <v>692</v>
      </c>
      <c r="C8269" t="s">
        <v>693</v>
      </c>
    </row>
    <row r="8270" spans="1:6" x14ac:dyDescent="0.25">
      <c r="A8270" t="s">
        <v>7434</v>
      </c>
      <c r="B8270" t="s">
        <v>3225</v>
      </c>
      <c r="C8270" t="s">
        <v>3226</v>
      </c>
      <c r="D8270" t="str">
        <f>HYPERLINK("http://service.sap.com/sap/support/notes/1845610","1845610")</f>
        <v>1845610</v>
      </c>
      <c r="E8270">
        <v>5</v>
      </c>
      <c r="F8270" t="s">
        <v>7628</v>
      </c>
    </row>
    <row r="8271" spans="1:6" x14ac:dyDescent="0.25">
      <c r="A8271" t="s">
        <v>7629</v>
      </c>
      <c r="B8271" t="s">
        <v>481</v>
      </c>
      <c r="C8271" t="s">
        <v>482</v>
      </c>
    </row>
    <row r="8272" spans="1:6" x14ac:dyDescent="0.25">
      <c r="A8272" t="s">
        <v>7629</v>
      </c>
      <c r="B8272" t="s">
        <v>487</v>
      </c>
      <c r="C8272" t="s">
        <v>488</v>
      </c>
    </row>
    <row r="8273" spans="1:6" x14ac:dyDescent="0.25">
      <c r="A8273" t="s">
        <v>7629</v>
      </c>
      <c r="B8273" t="s">
        <v>489</v>
      </c>
      <c r="C8273" t="s">
        <v>641</v>
      </c>
      <c r="D8273" t="str">
        <f>HYPERLINK("http://service.sap.com/sap/support/notes/1873722","1873722")</f>
        <v>1873722</v>
      </c>
      <c r="E8273">
        <v>1</v>
      </c>
      <c r="F8273" t="s">
        <v>7630</v>
      </c>
    </row>
    <row r="8274" spans="1:6" x14ac:dyDescent="0.25">
      <c r="A8274" t="s">
        <v>7629</v>
      </c>
      <c r="B8274" t="s">
        <v>489</v>
      </c>
      <c r="C8274" t="s">
        <v>641</v>
      </c>
      <c r="D8274" t="str">
        <f>HYPERLINK("http://service.sap.com/sap/support/notes/1874122","1874122")</f>
        <v>1874122</v>
      </c>
      <c r="E8274">
        <v>1</v>
      </c>
      <c r="F8274" t="s">
        <v>7631</v>
      </c>
    </row>
    <row r="8275" spans="1:6" x14ac:dyDescent="0.25">
      <c r="A8275" t="s">
        <v>7629</v>
      </c>
      <c r="B8275" t="s">
        <v>490</v>
      </c>
      <c r="C8275" t="s">
        <v>491</v>
      </c>
    </row>
    <row r="8276" spans="1:6" x14ac:dyDescent="0.25">
      <c r="A8276" t="s">
        <v>7629</v>
      </c>
      <c r="B8276" t="s">
        <v>722</v>
      </c>
      <c r="C8276" t="s">
        <v>723</v>
      </c>
    </row>
    <row r="8277" spans="1:6" x14ac:dyDescent="0.25">
      <c r="A8277" t="s">
        <v>7629</v>
      </c>
      <c r="B8277" t="s">
        <v>724</v>
      </c>
      <c r="C8277" t="s">
        <v>648</v>
      </c>
      <c r="D8277" t="str">
        <f>HYPERLINK("http://service.sap.com/sap/support/notes/1819648","1819648")</f>
        <v>1819648</v>
      </c>
      <c r="E8277">
        <v>3</v>
      </c>
      <c r="F8277" t="s">
        <v>7632</v>
      </c>
    </row>
    <row r="8278" spans="1:6" x14ac:dyDescent="0.25">
      <c r="A8278" t="s">
        <v>7629</v>
      </c>
      <c r="B8278" t="s">
        <v>724</v>
      </c>
      <c r="C8278" t="s">
        <v>648</v>
      </c>
      <c r="D8278" t="str">
        <f>HYPERLINK("http://service.sap.com/sap/support/notes/1821793","1821793")</f>
        <v>1821793</v>
      </c>
      <c r="E8278">
        <v>1</v>
      </c>
      <c r="F8278" t="s">
        <v>7633</v>
      </c>
    </row>
    <row r="8279" spans="1:6" x14ac:dyDescent="0.25">
      <c r="A8279" t="s">
        <v>7629</v>
      </c>
      <c r="B8279" t="s">
        <v>724</v>
      </c>
      <c r="C8279" t="s">
        <v>648</v>
      </c>
      <c r="D8279" t="str">
        <f>HYPERLINK("http://service.sap.com/sap/support/notes/1825401","1825401")</f>
        <v>1825401</v>
      </c>
      <c r="E8279">
        <v>1</v>
      </c>
      <c r="F8279" t="s">
        <v>7634</v>
      </c>
    </row>
    <row r="8280" spans="1:6" x14ac:dyDescent="0.25">
      <c r="A8280" t="s">
        <v>7629</v>
      </c>
      <c r="B8280" t="s">
        <v>724</v>
      </c>
      <c r="C8280" t="s">
        <v>648</v>
      </c>
      <c r="D8280" t="str">
        <f>HYPERLINK("http://service.sap.com/sap/support/notes/1826514","1826514")</f>
        <v>1826514</v>
      </c>
      <c r="E8280">
        <v>2</v>
      </c>
      <c r="F8280" t="s">
        <v>7635</v>
      </c>
    </row>
    <row r="8281" spans="1:6" x14ac:dyDescent="0.25">
      <c r="A8281" t="s">
        <v>7629</v>
      </c>
      <c r="B8281" t="s">
        <v>724</v>
      </c>
      <c r="C8281" t="s">
        <v>648</v>
      </c>
      <c r="D8281" t="str">
        <f>HYPERLINK("http://service.sap.com/sap/support/notes/1830863","1830863")</f>
        <v>1830863</v>
      </c>
      <c r="E8281">
        <v>2</v>
      </c>
      <c r="F8281" t="s">
        <v>7636</v>
      </c>
    </row>
    <row r="8282" spans="1:6" x14ac:dyDescent="0.25">
      <c r="A8282" t="s">
        <v>7629</v>
      </c>
      <c r="B8282" t="s">
        <v>724</v>
      </c>
      <c r="C8282" t="s">
        <v>648</v>
      </c>
      <c r="D8282" t="str">
        <f>HYPERLINK("http://service.sap.com/sap/support/notes/1833663","1833663")</f>
        <v>1833663</v>
      </c>
      <c r="E8282">
        <v>4</v>
      </c>
      <c r="F8282" t="s">
        <v>7637</v>
      </c>
    </row>
    <row r="8283" spans="1:6" x14ac:dyDescent="0.25">
      <c r="A8283" t="s">
        <v>7629</v>
      </c>
      <c r="B8283" t="s">
        <v>724</v>
      </c>
      <c r="C8283" t="s">
        <v>648</v>
      </c>
      <c r="D8283" t="str">
        <f>HYPERLINK("http://service.sap.com/sap/support/notes/1853355","1853355")</f>
        <v>1853355</v>
      </c>
      <c r="E8283">
        <v>1</v>
      </c>
      <c r="F8283" t="s">
        <v>7638</v>
      </c>
    </row>
    <row r="8284" spans="1:6" x14ac:dyDescent="0.25">
      <c r="A8284" t="s">
        <v>7629</v>
      </c>
      <c r="B8284" t="s">
        <v>724</v>
      </c>
      <c r="C8284" t="s">
        <v>648</v>
      </c>
      <c r="D8284" t="str">
        <f>HYPERLINK("http://service.sap.com/sap/support/notes/1861338","1861338")</f>
        <v>1861338</v>
      </c>
      <c r="E8284">
        <v>1</v>
      </c>
      <c r="F8284" t="s">
        <v>7639</v>
      </c>
    </row>
    <row r="8285" spans="1:6" x14ac:dyDescent="0.25">
      <c r="A8285" t="s">
        <v>7629</v>
      </c>
      <c r="B8285" t="s">
        <v>724</v>
      </c>
      <c r="C8285" t="s">
        <v>648</v>
      </c>
      <c r="D8285" t="str">
        <f>HYPERLINK("http://service.sap.com/sap/support/notes/1865601","1865601")</f>
        <v>1865601</v>
      </c>
      <c r="E8285">
        <v>1</v>
      </c>
      <c r="F8285" t="s">
        <v>7640</v>
      </c>
    </row>
    <row r="8286" spans="1:6" x14ac:dyDescent="0.25">
      <c r="A8286" t="s">
        <v>7629</v>
      </c>
      <c r="B8286" t="s">
        <v>493</v>
      </c>
      <c r="C8286" t="s">
        <v>494</v>
      </c>
    </row>
    <row r="8287" spans="1:6" x14ac:dyDescent="0.25">
      <c r="A8287" t="s">
        <v>7629</v>
      </c>
      <c r="B8287" t="s">
        <v>495</v>
      </c>
      <c r="C8287" t="s">
        <v>655</v>
      </c>
      <c r="D8287" t="str">
        <f>HYPERLINK("http://service.sap.com/sap/support/notes/1874766","1874766")</f>
        <v>1874766</v>
      </c>
      <c r="E8287">
        <v>1</v>
      </c>
      <c r="F8287" t="s">
        <v>7641</v>
      </c>
    </row>
    <row r="8288" spans="1:6" x14ac:dyDescent="0.25">
      <c r="A8288" t="s">
        <v>7629</v>
      </c>
      <c r="B8288" t="s">
        <v>497</v>
      </c>
      <c r="C8288" t="s">
        <v>498</v>
      </c>
      <c r="D8288" t="str">
        <f>HYPERLINK("http://service.sap.com/sap/support/notes/1838900","1838900")</f>
        <v>1838900</v>
      </c>
      <c r="E8288">
        <v>2</v>
      </c>
      <c r="F8288" t="s">
        <v>7642</v>
      </c>
    </row>
    <row r="8289" spans="1:6" x14ac:dyDescent="0.25">
      <c r="A8289" t="s">
        <v>7629</v>
      </c>
      <c r="B8289" t="s">
        <v>497</v>
      </c>
      <c r="C8289" t="s">
        <v>498</v>
      </c>
      <c r="D8289" t="str">
        <f>HYPERLINK("http://service.sap.com/sap/support/notes/1842984","1842984")</f>
        <v>1842984</v>
      </c>
      <c r="E8289">
        <v>1</v>
      </c>
      <c r="F8289" t="s">
        <v>7643</v>
      </c>
    </row>
    <row r="8290" spans="1:6" x14ac:dyDescent="0.25">
      <c r="A8290" t="s">
        <v>7629</v>
      </c>
      <c r="B8290" t="s">
        <v>497</v>
      </c>
      <c r="C8290" t="s">
        <v>498</v>
      </c>
      <c r="D8290" t="str">
        <f>HYPERLINK("http://service.sap.com/sap/support/notes/1854983","1854983")</f>
        <v>1854983</v>
      </c>
      <c r="E8290">
        <v>1</v>
      </c>
      <c r="F8290" t="s">
        <v>7644</v>
      </c>
    </row>
    <row r="8291" spans="1:6" x14ac:dyDescent="0.25">
      <c r="A8291" t="s">
        <v>7629</v>
      </c>
      <c r="B8291" t="s">
        <v>497</v>
      </c>
      <c r="C8291" t="s">
        <v>498</v>
      </c>
      <c r="D8291" t="str">
        <f>HYPERLINK("http://service.sap.com/sap/support/notes/1866521","1866521")</f>
        <v>1866521</v>
      </c>
      <c r="E8291">
        <v>2</v>
      </c>
      <c r="F8291" t="s">
        <v>7645</v>
      </c>
    </row>
    <row r="8292" spans="1:6" x14ac:dyDescent="0.25">
      <c r="A8292" t="s">
        <v>7629</v>
      </c>
      <c r="B8292" t="s">
        <v>497</v>
      </c>
      <c r="C8292" t="s">
        <v>498</v>
      </c>
      <c r="D8292" t="str">
        <f>HYPERLINK("http://service.sap.com/sap/support/notes/1870428","1870428")</f>
        <v>1870428</v>
      </c>
      <c r="E8292">
        <v>2</v>
      </c>
      <c r="F8292" t="s">
        <v>7646</v>
      </c>
    </row>
    <row r="8293" spans="1:6" x14ac:dyDescent="0.25">
      <c r="A8293" t="s">
        <v>7629</v>
      </c>
      <c r="B8293" t="s">
        <v>497</v>
      </c>
      <c r="C8293" t="s">
        <v>498</v>
      </c>
      <c r="D8293" t="str">
        <f>HYPERLINK("http://service.sap.com/sap/support/notes/1871014","1871014")</f>
        <v>1871014</v>
      </c>
      <c r="E8293">
        <v>1</v>
      </c>
      <c r="F8293" t="s">
        <v>7647</v>
      </c>
    </row>
    <row r="8294" spans="1:6" x14ac:dyDescent="0.25">
      <c r="A8294" t="s">
        <v>7629</v>
      </c>
      <c r="B8294" t="s">
        <v>497</v>
      </c>
      <c r="C8294" t="s">
        <v>498</v>
      </c>
      <c r="D8294" t="str">
        <f>HYPERLINK("http://service.sap.com/sap/support/notes/1872343","1872343")</f>
        <v>1872343</v>
      </c>
      <c r="E8294">
        <v>3</v>
      </c>
      <c r="F8294" t="s">
        <v>7648</v>
      </c>
    </row>
    <row r="8295" spans="1:6" x14ac:dyDescent="0.25">
      <c r="A8295" t="s">
        <v>7629</v>
      </c>
      <c r="B8295" t="s">
        <v>497</v>
      </c>
      <c r="C8295" t="s">
        <v>498</v>
      </c>
      <c r="D8295" t="str">
        <f>HYPERLINK("http://service.sap.com/sap/support/notes/1875559","1875559")</f>
        <v>1875559</v>
      </c>
      <c r="E8295">
        <v>1</v>
      </c>
      <c r="F8295" t="s">
        <v>7649</v>
      </c>
    </row>
    <row r="8296" spans="1:6" x14ac:dyDescent="0.25">
      <c r="A8296" t="s">
        <v>7629</v>
      </c>
      <c r="B8296" t="s">
        <v>497</v>
      </c>
      <c r="C8296" t="s">
        <v>498</v>
      </c>
      <c r="D8296" t="str">
        <f>HYPERLINK("http://service.sap.com/sap/support/notes/1875706","1875706")</f>
        <v>1875706</v>
      </c>
      <c r="E8296">
        <v>1</v>
      </c>
      <c r="F8296" t="s">
        <v>7650</v>
      </c>
    </row>
    <row r="8297" spans="1:6" x14ac:dyDescent="0.25">
      <c r="A8297" t="s">
        <v>7629</v>
      </c>
      <c r="B8297" t="s">
        <v>497</v>
      </c>
      <c r="C8297" t="s">
        <v>498</v>
      </c>
      <c r="D8297" t="str">
        <f>HYPERLINK("http://service.sap.com/sap/support/notes/1876278","1876278")</f>
        <v>1876278</v>
      </c>
      <c r="E8297">
        <v>1</v>
      </c>
      <c r="F8297" t="s">
        <v>7651</v>
      </c>
    </row>
    <row r="8298" spans="1:6" x14ac:dyDescent="0.25">
      <c r="A8298" t="s">
        <v>7629</v>
      </c>
      <c r="B8298" t="s">
        <v>656</v>
      </c>
      <c r="C8298" t="s">
        <v>657</v>
      </c>
      <c r="D8298" t="str">
        <f>HYPERLINK("http://service.sap.com/sap/support/notes/1830241","1830241")</f>
        <v>1830241</v>
      </c>
      <c r="E8298">
        <v>2</v>
      </c>
      <c r="F8298" t="s">
        <v>7475</v>
      </c>
    </row>
    <row r="8299" spans="1:6" x14ac:dyDescent="0.25">
      <c r="A8299" t="s">
        <v>7629</v>
      </c>
      <c r="B8299" t="s">
        <v>656</v>
      </c>
      <c r="C8299" t="s">
        <v>657</v>
      </c>
      <c r="D8299" t="str">
        <f>HYPERLINK("http://service.sap.com/sap/support/notes/1834503","1834503")</f>
        <v>1834503</v>
      </c>
      <c r="E8299">
        <v>1</v>
      </c>
      <c r="F8299" t="s">
        <v>7652</v>
      </c>
    </row>
    <row r="8300" spans="1:6" x14ac:dyDescent="0.25">
      <c r="A8300" t="s">
        <v>7629</v>
      </c>
      <c r="B8300" t="s">
        <v>656</v>
      </c>
      <c r="C8300" t="s">
        <v>657</v>
      </c>
      <c r="D8300" t="str">
        <f>HYPERLINK("http://service.sap.com/sap/support/notes/1836634","1836634")</f>
        <v>1836634</v>
      </c>
      <c r="E8300">
        <v>2</v>
      </c>
      <c r="F8300" t="s">
        <v>7653</v>
      </c>
    </row>
    <row r="8301" spans="1:6" x14ac:dyDescent="0.25">
      <c r="A8301" t="s">
        <v>7629</v>
      </c>
      <c r="B8301" t="s">
        <v>656</v>
      </c>
      <c r="C8301" t="s">
        <v>657</v>
      </c>
      <c r="D8301" t="str">
        <f>HYPERLINK("http://service.sap.com/sap/support/notes/1836827","1836827")</f>
        <v>1836827</v>
      </c>
      <c r="E8301">
        <v>3</v>
      </c>
      <c r="F8301" t="s">
        <v>7654</v>
      </c>
    </row>
    <row r="8302" spans="1:6" x14ac:dyDescent="0.25">
      <c r="A8302" t="s">
        <v>7629</v>
      </c>
      <c r="B8302" t="s">
        <v>656</v>
      </c>
      <c r="C8302" t="s">
        <v>657</v>
      </c>
      <c r="D8302" t="str">
        <f>HYPERLINK("http://service.sap.com/sap/support/notes/1852802","1852802")</f>
        <v>1852802</v>
      </c>
      <c r="E8302">
        <v>1</v>
      </c>
      <c r="F8302" t="s">
        <v>7655</v>
      </c>
    </row>
    <row r="8303" spans="1:6" x14ac:dyDescent="0.25">
      <c r="A8303" t="s">
        <v>7629</v>
      </c>
      <c r="B8303" t="s">
        <v>656</v>
      </c>
      <c r="C8303" t="s">
        <v>657</v>
      </c>
      <c r="D8303" t="str">
        <f>HYPERLINK("http://service.sap.com/sap/support/notes/1865367","1865367")</f>
        <v>1865367</v>
      </c>
      <c r="E8303">
        <v>1</v>
      </c>
      <c r="F8303" t="s">
        <v>7656</v>
      </c>
    </row>
    <row r="8304" spans="1:6" x14ac:dyDescent="0.25">
      <c r="A8304" t="s">
        <v>7629</v>
      </c>
      <c r="B8304" t="s">
        <v>656</v>
      </c>
      <c r="C8304" t="s">
        <v>657</v>
      </c>
      <c r="D8304" t="str">
        <f>HYPERLINK("http://service.sap.com/sap/support/notes/1867455","1867455")</f>
        <v>1867455</v>
      </c>
      <c r="E8304">
        <v>2</v>
      </c>
      <c r="F8304" t="s">
        <v>7657</v>
      </c>
    </row>
    <row r="8305" spans="1:6" x14ac:dyDescent="0.25">
      <c r="A8305" t="s">
        <v>7629</v>
      </c>
      <c r="B8305" t="s">
        <v>656</v>
      </c>
      <c r="C8305" t="s">
        <v>657</v>
      </c>
      <c r="D8305" t="str">
        <f>HYPERLINK("http://service.sap.com/sap/support/notes/1869938","1869938")</f>
        <v>1869938</v>
      </c>
      <c r="E8305">
        <v>2</v>
      </c>
      <c r="F8305" t="s">
        <v>7658</v>
      </c>
    </row>
    <row r="8306" spans="1:6" x14ac:dyDescent="0.25">
      <c r="A8306" t="s">
        <v>7629</v>
      </c>
      <c r="B8306" t="s">
        <v>656</v>
      </c>
      <c r="C8306" t="s">
        <v>657</v>
      </c>
      <c r="D8306" t="str">
        <f>HYPERLINK("http://service.sap.com/sap/support/notes/1870291","1870291")</f>
        <v>1870291</v>
      </c>
      <c r="E8306">
        <v>2</v>
      </c>
      <c r="F8306" t="s">
        <v>7659</v>
      </c>
    </row>
    <row r="8307" spans="1:6" x14ac:dyDescent="0.25">
      <c r="A8307" t="s">
        <v>7629</v>
      </c>
      <c r="B8307" t="s">
        <v>656</v>
      </c>
      <c r="C8307" t="s">
        <v>657</v>
      </c>
      <c r="D8307" t="str">
        <f>HYPERLINK("http://service.sap.com/sap/support/notes/1872985","1872985")</f>
        <v>1872985</v>
      </c>
      <c r="E8307">
        <v>1</v>
      </c>
      <c r="F8307" t="s">
        <v>7660</v>
      </c>
    </row>
    <row r="8308" spans="1:6" x14ac:dyDescent="0.25">
      <c r="A8308" t="s">
        <v>7629</v>
      </c>
      <c r="B8308" t="s">
        <v>656</v>
      </c>
      <c r="C8308" t="s">
        <v>657</v>
      </c>
      <c r="D8308" t="str">
        <f>HYPERLINK("http://service.sap.com/sap/support/notes/1875097","1875097")</f>
        <v>1875097</v>
      </c>
      <c r="E8308">
        <v>2</v>
      </c>
      <c r="F8308" t="s">
        <v>7661</v>
      </c>
    </row>
    <row r="8309" spans="1:6" x14ac:dyDescent="0.25">
      <c r="A8309" t="s">
        <v>7629</v>
      </c>
      <c r="B8309" t="s">
        <v>656</v>
      </c>
      <c r="C8309" t="s">
        <v>657</v>
      </c>
      <c r="D8309" t="str">
        <f>HYPERLINK("http://service.sap.com/sap/support/notes/1875132","1875132")</f>
        <v>1875132</v>
      </c>
      <c r="E8309">
        <v>1</v>
      </c>
      <c r="F8309" t="s">
        <v>7662</v>
      </c>
    </row>
    <row r="8310" spans="1:6" x14ac:dyDescent="0.25">
      <c r="A8310" t="s">
        <v>7629</v>
      </c>
      <c r="B8310" t="s">
        <v>694</v>
      </c>
      <c r="C8310" t="s">
        <v>695</v>
      </c>
      <c r="D8310" t="str">
        <f>HYPERLINK("http://service.sap.com/sap/support/notes/1865543","1865543")</f>
        <v>1865543</v>
      </c>
      <c r="E8310">
        <v>2</v>
      </c>
      <c r="F8310" t="s">
        <v>7663</v>
      </c>
    </row>
    <row r="8311" spans="1:6" x14ac:dyDescent="0.25">
      <c r="A8311" t="s">
        <v>7629</v>
      </c>
      <c r="B8311" t="s">
        <v>694</v>
      </c>
      <c r="C8311" t="s">
        <v>695</v>
      </c>
      <c r="D8311" t="str">
        <f>HYPERLINK("http://service.sap.com/sap/support/notes/1866663","1866663")</f>
        <v>1866663</v>
      </c>
      <c r="E8311">
        <v>3</v>
      </c>
      <c r="F8311" t="s">
        <v>7664</v>
      </c>
    </row>
    <row r="8312" spans="1:6" x14ac:dyDescent="0.25">
      <c r="A8312" t="s">
        <v>7629</v>
      </c>
      <c r="B8312" t="s">
        <v>694</v>
      </c>
      <c r="C8312" t="s">
        <v>695</v>
      </c>
      <c r="D8312" t="str">
        <f>HYPERLINK("http://service.sap.com/sap/support/notes/1874793","1874793")</f>
        <v>1874793</v>
      </c>
      <c r="E8312">
        <v>2</v>
      </c>
      <c r="F8312" t="s">
        <v>7665</v>
      </c>
    </row>
    <row r="8313" spans="1:6" x14ac:dyDescent="0.25">
      <c r="A8313" t="s">
        <v>7629</v>
      </c>
      <c r="B8313" t="s">
        <v>5795</v>
      </c>
      <c r="C8313" t="s">
        <v>5796</v>
      </c>
      <c r="D8313" t="str">
        <f>HYPERLINK("http://service.sap.com/sap/support/notes/1872014","1872014")</f>
        <v>1872014</v>
      </c>
      <c r="E8313">
        <v>1</v>
      </c>
      <c r="F8313" t="s">
        <v>7666</v>
      </c>
    </row>
    <row r="8314" spans="1:6" x14ac:dyDescent="0.25">
      <c r="A8314" t="s">
        <v>7629</v>
      </c>
      <c r="B8314" t="s">
        <v>5502</v>
      </c>
      <c r="C8314" t="s">
        <v>5503</v>
      </c>
      <c r="D8314" t="str">
        <f>HYPERLINK("http://service.sap.com/sap/support/notes/1875692","1875692")</f>
        <v>1875692</v>
      </c>
      <c r="E8314">
        <v>2</v>
      </c>
      <c r="F8314" t="s">
        <v>7667</v>
      </c>
    </row>
    <row r="8315" spans="1:6" x14ac:dyDescent="0.25">
      <c r="A8315" t="s">
        <v>7629</v>
      </c>
      <c r="B8315" t="s">
        <v>5798</v>
      </c>
      <c r="C8315" t="s">
        <v>5799</v>
      </c>
      <c r="D8315" t="str">
        <f>HYPERLINK("http://service.sap.com/sap/support/notes/1860799","1860799")</f>
        <v>1860799</v>
      </c>
      <c r="E8315">
        <v>1</v>
      </c>
      <c r="F8315" t="s">
        <v>7668</v>
      </c>
    </row>
    <row r="8316" spans="1:6" x14ac:dyDescent="0.25">
      <c r="A8316" t="s">
        <v>7629</v>
      </c>
      <c r="B8316" t="s">
        <v>24</v>
      </c>
      <c r="C8316" t="s">
        <v>10</v>
      </c>
    </row>
    <row r="8317" spans="1:6" x14ac:dyDescent="0.25">
      <c r="A8317" t="s">
        <v>7629</v>
      </c>
      <c r="B8317" t="s">
        <v>5505</v>
      </c>
      <c r="C8317" t="s">
        <v>5506</v>
      </c>
      <c r="D8317" t="str">
        <f>HYPERLINK("http://service.sap.com/sap/support/notes/1822407","1822407")</f>
        <v>1822407</v>
      </c>
      <c r="E8317">
        <v>2</v>
      </c>
      <c r="F8317" t="s">
        <v>7027</v>
      </c>
    </row>
    <row r="8318" spans="1:6" x14ac:dyDescent="0.25">
      <c r="A8318" t="s">
        <v>7629</v>
      </c>
      <c r="B8318" t="s">
        <v>5505</v>
      </c>
      <c r="C8318" t="s">
        <v>5506</v>
      </c>
      <c r="D8318" t="str">
        <f>HYPERLINK("http://service.sap.com/sap/support/notes/1849670","1849670")</f>
        <v>1849670</v>
      </c>
      <c r="E8318">
        <v>1</v>
      </c>
      <c r="F8318" t="s">
        <v>7669</v>
      </c>
    </row>
    <row r="8319" spans="1:6" x14ac:dyDescent="0.25">
      <c r="A8319" t="s">
        <v>7629</v>
      </c>
      <c r="B8319" t="s">
        <v>5505</v>
      </c>
      <c r="C8319" t="s">
        <v>5506</v>
      </c>
      <c r="D8319" t="str">
        <f>HYPERLINK("http://service.sap.com/sap/support/notes/1852082","1852082")</f>
        <v>1852082</v>
      </c>
      <c r="E8319">
        <v>3</v>
      </c>
      <c r="F8319" t="s">
        <v>7670</v>
      </c>
    </row>
    <row r="8320" spans="1:6" x14ac:dyDescent="0.25">
      <c r="A8320" t="s">
        <v>7629</v>
      </c>
      <c r="B8320" t="s">
        <v>5505</v>
      </c>
      <c r="C8320" t="s">
        <v>5506</v>
      </c>
      <c r="D8320" t="str">
        <f>HYPERLINK("http://service.sap.com/sap/support/notes/1855543","1855543")</f>
        <v>1855543</v>
      </c>
      <c r="E8320">
        <v>2</v>
      </c>
      <c r="F8320" t="s">
        <v>7671</v>
      </c>
    </row>
    <row r="8321" spans="1:6" x14ac:dyDescent="0.25">
      <c r="A8321" t="s">
        <v>7629</v>
      </c>
      <c r="B8321" t="s">
        <v>5505</v>
      </c>
      <c r="C8321" t="s">
        <v>5506</v>
      </c>
      <c r="D8321" t="str">
        <f>HYPERLINK("http://service.sap.com/sap/support/notes/1860549","1860549")</f>
        <v>1860549</v>
      </c>
      <c r="E8321">
        <v>2</v>
      </c>
      <c r="F8321" t="s">
        <v>7505</v>
      </c>
    </row>
    <row r="8322" spans="1:6" x14ac:dyDescent="0.25">
      <c r="A8322" t="s">
        <v>7629</v>
      </c>
      <c r="B8322" t="s">
        <v>5505</v>
      </c>
      <c r="C8322" t="s">
        <v>5506</v>
      </c>
      <c r="D8322" t="str">
        <f>HYPERLINK("http://service.sap.com/sap/support/notes/1866219","1866219")</f>
        <v>1866219</v>
      </c>
      <c r="E8322">
        <v>4</v>
      </c>
      <c r="F8322" t="s">
        <v>7672</v>
      </c>
    </row>
    <row r="8323" spans="1:6" x14ac:dyDescent="0.25">
      <c r="A8323" t="s">
        <v>7629</v>
      </c>
      <c r="B8323" t="s">
        <v>5505</v>
      </c>
      <c r="C8323" t="s">
        <v>5506</v>
      </c>
      <c r="D8323" t="str">
        <f>HYPERLINK("http://service.sap.com/sap/support/notes/1866434","1866434")</f>
        <v>1866434</v>
      </c>
      <c r="E8323">
        <v>3</v>
      </c>
      <c r="F8323" t="s">
        <v>7673</v>
      </c>
    </row>
    <row r="8324" spans="1:6" x14ac:dyDescent="0.25">
      <c r="A8324" t="s">
        <v>7629</v>
      </c>
      <c r="B8324" t="s">
        <v>5505</v>
      </c>
      <c r="C8324" t="s">
        <v>5506</v>
      </c>
      <c r="D8324" t="str">
        <f>HYPERLINK("http://service.sap.com/sap/support/notes/1867264","1867264")</f>
        <v>1867264</v>
      </c>
      <c r="E8324">
        <v>1</v>
      </c>
      <c r="F8324" t="s">
        <v>7674</v>
      </c>
    </row>
    <row r="8325" spans="1:6" x14ac:dyDescent="0.25">
      <c r="A8325" t="s">
        <v>7629</v>
      </c>
      <c r="B8325" t="s">
        <v>5505</v>
      </c>
      <c r="C8325" t="s">
        <v>5506</v>
      </c>
      <c r="D8325" t="str">
        <f>HYPERLINK("http://service.sap.com/sap/support/notes/1867337","1867337")</f>
        <v>1867337</v>
      </c>
      <c r="E8325">
        <v>1</v>
      </c>
      <c r="F8325" t="s">
        <v>7675</v>
      </c>
    </row>
    <row r="8326" spans="1:6" x14ac:dyDescent="0.25">
      <c r="A8326" t="s">
        <v>7629</v>
      </c>
      <c r="B8326" t="s">
        <v>5505</v>
      </c>
      <c r="C8326" t="s">
        <v>5506</v>
      </c>
      <c r="D8326" t="str">
        <f>HYPERLINK("http://service.sap.com/sap/support/notes/1869924","1869924")</f>
        <v>1869924</v>
      </c>
      <c r="E8326">
        <v>2</v>
      </c>
      <c r="F8326" t="s">
        <v>7676</v>
      </c>
    </row>
    <row r="8327" spans="1:6" x14ac:dyDescent="0.25">
      <c r="A8327" t="s">
        <v>7629</v>
      </c>
      <c r="B8327" t="s">
        <v>5505</v>
      </c>
      <c r="C8327" t="s">
        <v>5506</v>
      </c>
      <c r="D8327" t="str">
        <f>HYPERLINK("http://service.sap.com/sap/support/notes/1870518","1870518")</f>
        <v>1870518</v>
      </c>
      <c r="E8327">
        <v>1</v>
      </c>
      <c r="F8327" t="s">
        <v>7677</v>
      </c>
    </row>
    <row r="8328" spans="1:6" x14ac:dyDescent="0.25">
      <c r="A8328" t="s">
        <v>7629</v>
      </c>
      <c r="B8328" t="s">
        <v>5505</v>
      </c>
      <c r="C8328" t="s">
        <v>5506</v>
      </c>
      <c r="D8328" t="str">
        <f>HYPERLINK("http://service.sap.com/sap/support/notes/1873947","1873947")</f>
        <v>1873947</v>
      </c>
      <c r="E8328">
        <v>4</v>
      </c>
      <c r="F8328" t="s">
        <v>7678</v>
      </c>
    </row>
    <row r="8329" spans="1:6" x14ac:dyDescent="0.25">
      <c r="A8329" t="s">
        <v>7629</v>
      </c>
      <c r="B8329" t="s">
        <v>5505</v>
      </c>
      <c r="C8329" t="s">
        <v>5506</v>
      </c>
      <c r="D8329" t="str">
        <f>HYPERLINK("http://service.sap.com/sap/support/notes/1874138","1874138")</f>
        <v>1874138</v>
      </c>
      <c r="E8329">
        <v>1</v>
      </c>
      <c r="F8329" t="s">
        <v>7679</v>
      </c>
    </row>
    <row r="8330" spans="1:6" x14ac:dyDescent="0.25">
      <c r="A8330" t="s">
        <v>7629</v>
      </c>
      <c r="B8330" t="s">
        <v>5505</v>
      </c>
      <c r="C8330" t="s">
        <v>5506</v>
      </c>
      <c r="D8330" t="str">
        <f>HYPERLINK("http://service.sap.com/sap/support/notes/1875454","1875454")</f>
        <v>1875454</v>
      </c>
      <c r="E8330">
        <v>1</v>
      </c>
      <c r="F8330" t="s">
        <v>7680</v>
      </c>
    </row>
    <row r="8331" spans="1:6" x14ac:dyDescent="0.25">
      <c r="A8331" t="s">
        <v>7629</v>
      </c>
      <c r="B8331" t="s">
        <v>5505</v>
      </c>
      <c r="C8331" t="s">
        <v>5506</v>
      </c>
      <c r="D8331" t="str">
        <f>HYPERLINK("http://service.sap.com/sap/support/notes/1876284","1876284")</f>
        <v>1876284</v>
      </c>
      <c r="E8331">
        <v>1</v>
      </c>
      <c r="F8331" t="s">
        <v>7681</v>
      </c>
    </row>
    <row r="8332" spans="1:6" x14ac:dyDescent="0.25">
      <c r="A8332" t="s">
        <v>7629</v>
      </c>
      <c r="B8332" t="s">
        <v>5505</v>
      </c>
      <c r="C8332" t="s">
        <v>5506</v>
      </c>
      <c r="D8332" t="str">
        <f>HYPERLINK("http://service.sap.com/sap/support/notes/1876709","1876709")</f>
        <v>1876709</v>
      </c>
      <c r="E8332">
        <v>1</v>
      </c>
      <c r="F8332" t="s">
        <v>7682</v>
      </c>
    </row>
    <row r="8333" spans="1:6" x14ac:dyDescent="0.25">
      <c r="A8333" t="s">
        <v>7629</v>
      </c>
      <c r="B8333" t="s">
        <v>5514</v>
      </c>
      <c r="C8333" t="s">
        <v>5515</v>
      </c>
      <c r="D8333" t="str">
        <f>HYPERLINK("http://service.sap.com/sap/support/notes/1843661","1843661")</f>
        <v>1843661</v>
      </c>
      <c r="E8333">
        <v>2</v>
      </c>
      <c r="F8333" t="s">
        <v>7683</v>
      </c>
    </row>
    <row r="8334" spans="1:6" x14ac:dyDescent="0.25">
      <c r="A8334" t="s">
        <v>7629</v>
      </c>
      <c r="B8334" t="s">
        <v>5514</v>
      </c>
      <c r="C8334" t="s">
        <v>5515</v>
      </c>
      <c r="D8334" t="str">
        <f>HYPERLINK("http://service.sap.com/sap/support/notes/1859163","1859163")</f>
        <v>1859163</v>
      </c>
      <c r="E8334">
        <v>2</v>
      </c>
      <c r="F8334" t="s">
        <v>7684</v>
      </c>
    </row>
    <row r="8335" spans="1:6" x14ac:dyDescent="0.25">
      <c r="A8335" t="s">
        <v>7629</v>
      </c>
      <c r="B8335" t="s">
        <v>5524</v>
      </c>
      <c r="C8335" t="s">
        <v>5525</v>
      </c>
      <c r="D8335" t="str">
        <f>HYPERLINK("http://service.sap.com/sap/support/notes/1854360","1854360")</f>
        <v>1854360</v>
      </c>
      <c r="E8335">
        <v>3</v>
      </c>
      <c r="F8335" t="s">
        <v>7685</v>
      </c>
    </row>
    <row r="8336" spans="1:6" x14ac:dyDescent="0.25">
      <c r="A8336" t="s">
        <v>7629</v>
      </c>
      <c r="B8336" t="s">
        <v>5524</v>
      </c>
      <c r="C8336" t="s">
        <v>5525</v>
      </c>
      <c r="D8336" t="str">
        <f>HYPERLINK("http://service.sap.com/sap/support/notes/1873576","1873576")</f>
        <v>1873576</v>
      </c>
      <c r="E8336">
        <v>1</v>
      </c>
      <c r="F8336" t="s">
        <v>7686</v>
      </c>
    </row>
    <row r="8337" spans="1:6" x14ac:dyDescent="0.25">
      <c r="A8337" t="s">
        <v>7629</v>
      </c>
      <c r="B8337" t="s">
        <v>25</v>
      </c>
      <c r="C8337" t="s">
        <v>26</v>
      </c>
    </row>
    <row r="8338" spans="1:6" x14ac:dyDescent="0.25">
      <c r="A8338" t="s">
        <v>7629</v>
      </c>
      <c r="B8338" t="s">
        <v>680</v>
      </c>
      <c r="C8338" t="s">
        <v>115</v>
      </c>
      <c r="D8338" t="str">
        <f>HYPERLINK("http://service.sap.com/sap/support/notes/1856923","1856923")</f>
        <v>1856923</v>
      </c>
      <c r="E8338">
        <v>1</v>
      </c>
      <c r="F8338" t="s">
        <v>7687</v>
      </c>
    </row>
    <row r="8339" spans="1:6" x14ac:dyDescent="0.25">
      <c r="A8339" t="s">
        <v>7629</v>
      </c>
      <c r="B8339" t="s">
        <v>708</v>
      </c>
      <c r="C8339" t="s">
        <v>160</v>
      </c>
      <c r="D8339" t="str">
        <f>HYPERLINK("http://service.sap.com/sap/support/notes/1868601","1868601")</f>
        <v>1868601</v>
      </c>
      <c r="E8339">
        <v>1</v>
      </c>
      <c r="F8339" t="s">
        <v>7688</v>
      </c>
    </row>
    <row r="8340" spans="1:6" x14ac:dyDescent="0.25">
      <c r="A8340" t="s">
        <v>7629</v>
      </c>
      <c r="B8340" t="s">
        <v>708</v>
      </c>
      <c r="C8340" t="s">
        <v>160</v>
      </c>
      <c r="D8340" t="str">
        <f>HYPERLINK("http://service.sap.com/sap/support/notes/1869812","1869812")</f>
        <v>1869812</v>
      </c>
      <c r="E8340">
        <v>1</v>
      </c>
      <c r="F8340" t="s">
        <v>7689</v>
      </c>
    </row>
    <row r="8341" spans="1:6" x14ac:dyDescent="0.25">
      <c r="A8341" t="s">
        <v>7629</v>
      </c>
      <c r="B8341" t="s">
        <v>33</v>
      </c>
      <c r="C8341" t="s">
        <v>34</v>
      </c>
      <c r="D8341" t="str">
        <f>HYPERLINK("http://service.sap.com/sap/support/notes/1868309","1868309")</f>
        <v>1868309</v>
      </c>
      <c r="E8341">
        <v>2</v>
      </c>
      <c r="F8341" t="s">
        <v>7690</v>
      </c>
    </row>
    <row r="8342" spans="1:6" x14ac:dyDescent="0.25">
      <c r="A8342" t="s">
        <v>7629</v>
      </c>
      <c r="B8342" t="s">
        <v>33</v>
      </c>
      <c r="C8342" t="s">
        <v>34</v>
      </c>
      <c r="D8342" t="str">
        <f>HYPERLINK("http://service.sap.com/sap/support/notes/1868331","1868331")</f>
        <v>1868331</v>
      </c>
      <c r="E8342">
        <v>2</v>
      </c>
      <c r="F8342" t="s">
        <v>7691</v>
      </c>
    </row>
    <row r="8343" spans="1:6" x14ac:dyDescent="0.25">
      <c r="A8343" t="s">
        <v>7629</v>
      </c>
      <c r="B8343" t="s">
        <v>33</v>
      </c>
      <c r="C8343" t="s">
        <v>34</v>
      </c>
      <c r="D8343" t="str">
        <f>HYPERLINK("http://service.sap.com/sap/support/notes/1875513","1875513")</f>
        <v>1875513</v>
      </c>
      <c r="E8343">
        <v>1</v>
      </c>
      <c r="F8343" t="s">
        <v>7692</v>
      </c>
    </row>
    <row r="8344" spans="1:6" x14ac:dyDescent="0.25">
      <c r="A8344" t="s">
        <v>7629</v>
      </c>
      <c r="B8344" t="s">
        <v>40</v>
      </c>
      <c r="C8344" t="s">
        <v>41</v>
      </c>
    </row>
    <row r="8345" spans="1:6" x14ac:dyDescent="0.25">
      <c r="A8345" t="s">
        <v>7629</v>
      </c>
      <c r="B8345" t="s">
        <v>43</v>
      </c>
      <c r="C8345" t="s">
        <v>44</v>
      </c>
      <c r="D8345" t="str">
        <f>HYPERLINK("http://service.sap.com/sap/support/notes/1867285","1867285")</f>
        <v>1867285</v>
      </c>
      <c r="E8345">
        <v>4</v>
      </c>
      <c r="F8345" t="s">
        <v>7693</v>
      </c>
    </row>
    <row r="8346" spans="1:6" x14ac:dyDescent="0.25">
      <c r="A8346" t="s">
        <v>7629</v>
      </c>
      <c r="B8346" t="s">
        <v>522</v>
      </c>
      <c r="C8346" t="s">
        <v>523</v>
      </c>
      <c r="D8346" t="str">
        <f>HYPERLINK("http://service.sap.com/sap/support/notes/1871352","1871352")</f>
        <v>1871352</v>
      </c>
      <c r="E8346">
        <v>2</v>
      </c>
      <c r="F8346" t="s">
        <v>7694</v>
      </c>
    </row>
    <row r="8347" spans="1:6" x14ac:dyDescent="0.25">
      <c r="A8347" t="s">
        <v>7629</v>
      </c>
      <c r="B8347" t="s">
        <v>47</v>
      </c>
      <c r="C8347" t="s">
        <v>48</v>
      </c>
      <c r="D8347" t="str">
        <f>HYPERLINK("http://service.sap.com/sap/support/notes/1846359","1846359")</f>
        <v>1846359</v>
      </c>
      <c r="E8347">
        <v>2</v>
      </c>
      <c r="F8347" t="s">
        <v>7695</v>
      </c>
    </row>
    <row r="8348" spans="1:6" x14ac:dyDescent="0.25">
      <c r="A8348" t="s">
        <v>7629</v>
      </c>
      <c r="B8348" t="s">
        <v>47</v>
      </c>
      <c r="C8348" t="s">
        <v>48</v>
      </c>
      <c r="D8348" t="str">
        <f>HYPERLINK("http://service.sap.com/sap/support/notes/1863070","1863070")</f>
        <v>1863070</v>
      </c>
      <c r="E8348">
        <v>2</v>
      </c>
      <c r="F8348" t="s">
        <v>7696</v>
      </c>
    </row>
    <row r="8349" spans="1:6" x14ac:dyDescent="0.25">
      <c r="A8349" t="s">
        <v>7629</v>
      </c>
      <c r="B8349" t="s">
        <v>47</v>
      </c>
      <c r="C8349" t="s">
        <v>48</v>
      </c>
      <c r="D8349" t="str">
        <f>HYPERLINK("http://service.sap.com/sap/support/notes/1865054","1865054")</f>
        <v>1865054</v>
      </c>
      <c r="E8349">
        <v>1</v>
      </c>
      <c r="F8349" t="s">
        <v>4372</v>
      </c>
    </row>
    <row r="8350" spans="1:6" x14ac:dyDescent="0.25">
      <c r="A8350" t="s">
        <v>7629</v>
      </c>
      <c r="B8350" t="s">
        <v>2835</v>
      </c>
      <c r="C8350" t="s">
        <v>2836</v>
      </c>
      <c r="D8350" t="str">
        <f>HYPERLINK("http://service.sap.com/sap/support/notes/1825042","1825042")</f>
        <v>1825042</v>
      </c>
      <c r="E8350">
        <v>3</v>
      </c>
      <c r="F8350" t="s">
        <v>2837</v>
      </c>
    </row>
    <row r="8351" spans="1:6" x14ac:dyDescent="0.25">
      <c r="A8351" t="s">
        <v>7629</v>
      </c>
      <c r="B8351" t="s">
        <v>73</v>
      </c>
      <c r="C8351" t="s">
        <v>74</v>
      </c>
      <c r="D8351" t="str">
        <f>HYPERLINK("http://service.sap.com/sap/support/notes/1868550","1868550")</f>
        <v>1868550</v>
      </c>
      <c r="E8351">
        <v>1</v>
      </c>
      <c r="F8351" t="s">
        <v>7697</v>
      </c>
    </row>
    <row r="8352" spans="1:6" x14ac:dyDescent="0.25">
      <c r="A8352" t="s">
        <v>7629</v>
      </c>
      <c r="B8352" t="s">
        <v>73</v>
      </c>
      <c r="C8352" t="s">
        <v>74</v>
      </c>
      <c r="D8352" t="str">
        <f>HYPERLINK("http://service.sap.com/sap/support/notes/1868551","1868551")</f>
        <v>1868551</v>
      </c>
      <c r="E8352">
        <v>1</v>
      </c>
      <c r="F8352" t="s">
        <v>7698</v>
      </c>
    </row>
    <row r="8353" spans="1:6" x14ac:dyDescent="0.25">
      <c r="A8353" t="s">
        <v>7629</v>
      </c>
      <c r="B8353" t="s">
        <v>531</v>
      </c>
      <c r="C8353" t="s">
        <v>532</v>
      </c>
      <c r="D8353" t="str">
        <f>HYPERLINK("http://service.sap.com/sap/support/notes/1845754","1845754")</f>
        <v>1845754</v>
      </c>
      <c r="E8353">
        <v>1</v>
      </c>
      <c r="F8353" t="s">
        <v>7699</v>
      </c>
    </row>
    <row r="8354" spans="1:6" x14ac:dyDescent="0.25">
      <c r="A8354" t="s">
        <v>7629</v>
      </c>
      <c r="B8354" t="s">
        <v>531</v>
      </c>
      <c r="C8354" t="s">
        <v>532</v>
      </c>
      <c r="D8354" t="str">
        <f>HYPERLINK("http://service.sap.com/sap/support/notes/1872440","1872440")</f>
        <v>1872440</v>
      </c>
      <c r="E8354">
        <v>1</v>
      </c>
      <c r="F8354" t="s">
        <v>7700</v>
      </c>
    </row>
    <row r="8355" spans="1:6" x14ac:dyDescent="0.25">
      <c r="A8355" t="s">
        <v>7629</v>
      </c>
      <c r="B8355" t="s">
        <v>6018</v>
      </c>
      <c r="C8355" t="s">
        <v>6019</v>
      </c>
      <c r="D8355" t="str">
        <f>HYPERLINK("http://service.sap.com/sap/support/notes/1749159","1749159")</f>
        <v>1749159</v>
      </c>
      <c r="E8355">
        <v>1</v>
      </c>
      <c r="F8355" t="s">
        <v>6024</v>
      </c>
    </row>
    <row r="8356" spans="1:6" x14ac:dyDescent="0.25">
      <c r="A8356" t="s">
        <v>7629</v>
      </c>
      <c r="B8356" t="s">
        <v>6018</v>
      </c>
      <c r="C8356" t="s">
        <v>6019</v>
      </c>
      <c r="D8356" t="str">
        <f>HYPERLINK("http://service.sap.com/sap/support/notes/1749161","1749161")</f>
        <v>1749161</v>
      </c>
      <c r="E8356">
        <v>1</v>
      </c>
      <c r="F8356" t="s">
        <v>6025</v>
      </c>
    </row>
    <row r="8357" spans="1:6" x14ac:dyDescent="0.25">
      <c r="A8357" t="s">
        <v>7629</v>
      </c>
      <c r="B8357" t="s">
        <v>6018</v>
      </c>
      <c r="C8357" t="s">
        <v>6019</v>
      </c>
      <c r="D8357" t="str">
        <f>HYPERLINK("http://service.sap.com/sap/support/notes/1872941","1872941")</f>
        <v>1872941</v>
      </c>
      <c r="E8357">
        <v>1</v>
      </c>
      <c r="F8357" t="s">
        <v>7701</v>
      </c>
    </row>
    <row r="8358" spans="1:6" x14ac:dyDescent="0.25">
      <c r="A8358" t="s">
        <v>7629</v>
      </c>
      <c r="B8358" t="s">
        <v>6018</v>
      </c>
      <c r="C8358" t="s">
        <v>6019</v>
      </c>
      <c r="D8358" t="str">
        <f>HYPERLINK("http://service.sap.com/sap/support/notes/1877319","1877319")</f>
        <v>1877319</v>
      </c>
      <c r="E8358">
        <v>1</v>
      </c>
      <c r="F8358" t="s">
        <v>7702</v>
      </c>
    </row>
    <row r="8359" spans="1:6" x14ac:dyDescent="0.25">
      <c r="A8359" t="s">
        <v>7629</v>
      </c>
      <c r="B8359" t="s">
        <v>536</v>
      </c>
      <c r="C8359" t="s">
        <v>537</v>
      </c>
    </row>
    <row r="8360" spans="1:6" x14ac:dyDescent="0.25">
      <c r="A8360" t="s">
        <v>7629</v>
      </c>
      <c r="B8360" t="s">
        <v>5594</v>
      </c>
      <c r="C8360" t="s">
        <v>5595</v>
      </c>
      <c r="D8360" t="str">
        <f>HYPERLINK("http://service.sap.com/sap/support/notes/1873003","1873003")</f>
        <v>1873003</v>
      </c>
      <c r="E8360">
        <v>2</v>
      </c>
      <c r="F8360" t="s">
        <v>7703</v>
      </c>
    </row>
    <row r="8361" spans="1:6" x14ac:dyDescent="0.25">
      <c r="A8361" t="s">
        <v>7629</v>
      </c>
      <c r="B8361" t="s">
        <v>540</v>
      </c>
      <c r="C8361" t="s">
        <v>541</v>
      </c>
    </row>
    <row r="8362" spans="1:6" x14ac:dyDescent="0.25">
      <c r="A8362" t="s">
        <v>7629</v>
      </c>
      <c r="B8362" t="s">
        <v>542</v>
      </c>
      <c r="C8362" t="s">
        <v>5604</v>
      </c>
      <c r="D8362" t="str">
        <f>HYPERLINK("http://service.sap.com/sap/support/notes/1862442","1862442")</f>
        <v>1862442</v>
      </c>
      <c r="E8362">
        <v>2</v>
      </c>
      <c r="F8362" t="s">
        <v>7704</v>
      </c>
    </row>
    <row r="8363" spans="1:6" x14ac:dyDescent="0.25">
      <c r="A8363" t="s">
        <v>7629</v>
      </c>
      <c r="B8363" t="s">
        <v>544</v>
      </c>
      <c r="C8363" t="s">
        <v>5610</v>
      </c>
      <c r="D8363" t="str">
        <f>HYPERLINK("http://service.sap.com/sap/support/notes/1805152","1805152")</f>
        <v>1805152</v>
      </c>
      <c r="E8363">
        <v>2</v>
      </c>
      <c r="F8363" t="s">
        <v>7705</v>
      </c>
    </row>
    <row r="8364" spans="1:6" x14ac:dyDescent="0.25">
      <c r="A8364" t="s">
        <v>7629</v>
      </c>
      <c r="B8364" t="s">
        <v>544</v>
      </c>
      <c r="C8364" t="s">
        <v>5610</v>
      </c>
      <c r="D8364" t="str">
        <f>HYPERLINK("http://service.sap.com/sap/support/notes/1805941","1805941")</f>
        <v>1805941</v>
      </c>
      <c r="E8364">
        <v>2</v>
      </c>
      <c r="F8364" t="s">
        <v>7706</v>
      </c>
    </row>
    <row r="8365" spans="1:6" x14ac:dyDescent="0.25">
      <c r="A8365" t="s">
        <v>7629</v>
      </c>
      <c r="B8365" t="s">
        <v>544</v>
      </c>
      <c r="C8365" t="s">
        <v>5610</v>
      </c>
      <c r="D8365" t="str">
        <f>HYPERLINK("http://service.sap.com/sap/support/notes/1808242","1808242")</f>
        <v>1808242</v>
      </c>
      <c r="E8365">
        <v>3</v>
      </c>
      <c r="F8365" t="s">
        <v>7707</v>
      </c>
    </row>
    <row r="8366" spans="1:6" x14ac:dyDescent="0.25">
      <c r="A8366" t="s">
        <v>7629</v>
      </c>
      <c r="B8366" t="s">
        <v>544</v>
      </c>
      <c r="C8366" t="s">
        <v>5610</v>
      </c>
      <c r="D8366" t="str">
        <f>HYPERLINK("http://service.sap.com/sap/support/notes/1865121","1865121")</f>
        <v>1865121</v>
      </c>
      <c r="E8366">
        <v>2</v>
      </c>
      <c r="F8366" t="s">
        <v>7708</v>
      </c>
    </row>
    <row r="8367" spans="1:6" x14ac:dyDescent="0.25">
      <c r="A8367" t="s">
        <v>7629</v>
      </c>
      <c r="B8367" t="s">
        <v>5612</v>
      </c>
      <c r="C8367" t="s">
        <v>707</v>
      </c>
      <c r="D8367" t="str">
        <f>HYPERLINK("http://service.sap.com/sap/support/notes/1866627","1866627")</f>
        <v>1866627</v>
      </c>
      <c r="E8367">
        <v>2</v>
      </c>
      <c r="F8367" t="s">
        <v>7709</v>
      </c>
    </row>
    <row r="8368" spans="1:6" x14ac:dyDescent="0.25">
      <c r="A8368" t="s">
        <v>7629</v>
      </c>
      <c r="B8368" t="s">
        <v>5615</v>
      </c>
      <c r="C8368" t="s">
        <v>5616</v>
      </c>
      <c r="D8368" t="str">
        <f>HYPERLINK("http://service.sap.com/sap/support/notes/1769658","1769658")</f>
        <v>1769658</v>
      </c>
      <c r="E8368">
        <v>3</v>
      </c>
      <c r="F8368" t="s">
        <v>7710</v>
      </c>
    </row>
    <row r="8369" spans="1:6" x14ac:dyDescent="0.25">
      <c r="A8369" t="s">
        <v>7629</v>
      </c>
      <c r="B8369" t="s">
        <v>5615</v>
      </c>
      <c r="C8369" t="s">
        <v>5616</v>
      </c>
      <c r="D8369" t="str">
        <f>HYPERLINK("http://service.sap.com/sap/support/notes/1825623","1825623")</f>
        <v>1825623</v>
      </c>
      <c r="E8369">
        <v>2</v>
      </c>
      <c r="F8369" t="s">
        <v>7711</v>
      </c>
    </row>
    <row r="8370" spans="1:6" x14ac:dyDescent="0.25">
      <c r="A8370" t="s">
        <v>7629</v>
      </c>
      <c r="B8370" t="s">
        <v>5615</v>
      </c>
      <c r="C8370" t="s">
        <v>5616</v>
      </c>
      <c r="D8370" t="str">
        <f>HYPERLINK("http://service.sap.com/sap/support/notes/1845373","1845373")</f>
        <v>1845373</v>
      </c>
      <c r="E8370">
        <v>3</v>
      </c>
      <c r="F8370" t="s">
        <v>7712</v>
      </c>
    </row>
    <row r="8371" spans="1:6" x14ac:dyDescent="0.25">
      <c r="A8371" t="s">
        <v>7629</v>
      </c>
      <c r="B8371" t="s">
        <v>5615</v>
      </c>
      <c r="C8371" t="s">
        <v>5616</v>
      </c>
      <c r="D8371" t="str">
        <f>HYPERLINK("http://service.sap.com/sap/support/notes/1862088","1862088")</f>
        <v>1862088</v>
      </c>
      <c r="E8371">
        <v>2</v>
      </c>
      <c r="F8371" t="s">
        <v>7713</v>
      </c>
    </row>
    <row r="8372" spans="1:6" x14ac:dyDescent="0.25">
      <c r="A8372" t="s">
        <v>7629</v>
      </c>
      <c r="B8372" t="s">
        <v>5615</v>
      </c>
      <c r="C8372" t="s">
        <v>5616</v>
      </c>
      <c r="D8372" t="str">
        <f>HYPERLINK("http://service.sap.com/sap/support/notes/1869935","1869935")</f>
        <v>1869935</v>
      </c>
      <c r="E8372">
        <v>2</v>
      </c>
      <c r="F8372" t="s">
        <v>7714</v>
      </c>
    </row>
    <row r="8373" spans="1:6" x14ac:dyDescent="0.25">
      <c r="A8373" t="s">
        <v>7629</v>
      </c>
      <c r="B8373" t="s">
        <v>5615</v>
      </c>
      <c r="C8373" t="s">
        <v>5616</v>
      </c>
      <c r="D8373" t="str">
        <f>HYPERLINK("http://service.sap.com/sap/support/notes/1870328","1870328")</f>
        <v>1870328</v>
      </c>
      <c r="E8373">
        <v>1</v>
      </c>
      <c r="F8373" t="s">
        <v>7715</v>
      </c>
    </row>
    <row r="8374" spans="1:6" x14ac:dyDescent="0.25">
      <c r="A8374" t="s">
        <v>7629</v>
      </c>
      <c r="B8374" t="s">
        <v>5615</v>
      </c>
      <c r="C8374" t="s">
        <v>5616</v>
      </c>
      <c r="D8374" t="str">
        <f>HYPERLINK("http://service.sap.com/sap/support/notes/1876967","1876967")</f>
        <v>1876967</v>
      </c>
      <c r="E8374">
        <v>1</v>
      </c>
      <c r="F8374" t="s">
        <v>7716</v>
      </c>
    </row>
    <row r="8375" spans="1:6" x14ac:dyDescent="0.25">
      <c r="A8375" t="s">
        <v>7629</v>
      </c>
      <c r="B8375" t="s">
        <v>85</v>
      </c>
      <c r="C8375" t="s">
        <v>86</v>
      </c>
    </row>
    <row r="8376" spans="1:6" x14ac:dyDescent="0.25">
      <c r="A8376" t="s">
        <v>7629</v>
      </c>
      <c r="B8376" t="s">
        <v>696</v>
      </c>
      <c r="C8376" t="s">
        <v>697</v>
      </c>
    </row>
    <row r="8377" spans="1:6" x14ac:dyDescent="0.25">
      <c r="A8377" t="s">
        <v>7629</v>
      </c>
      <c r="B8377" t="s">
        <v>7717</v>
      </c>
      <c r="C8377" t="s">
        <v>7718</v>
      </c>
      <c r="D8377" t="str">
        <f>HYPERLINK("http://service.sap.com/sap/support/notes/1874167","1874167")</f>
        <v>1874167</v>
      </c>
      <c r="E8377">
        <v>2</v>
      </c>
      <c r="F8377" t="s">
        <v>4236</v>
      </c>
    </row>
    <row r="8378" spans="1:6" x14ac:dyDescent="0.25">
      <c r="A8378" t="s">
        <v>7629</v>
      </c>
      <c r="B8378" t="s">
        <v>3380</v>
      </c>
      <c r="C8378" t="s">
        <v>3381</v>
      </c>
      <c r="D8378" t="str">
        <f>HYPERLINK("http://service.sap.com/sap/support/notes/1851562","1851562")</f>
        <v>1851562</v>
      </c>
      <c r="E8378">
        <v>1</v>
      </c>
      <c r="F8378" t="s">
        <v>7719</v>
      </c>
    </row>
    <row r="8379" spans="1:6" x14ac:dyDescent="0.25">
      <c r="A8379" t="s">
        <v>7629</v>
      </c>
      <c r="B8379" t="s">
        <v>3380</v>
      </c>
      <c r="C8379" t="s">
        <v>3381</v>
      </c>
      <c r="D8379" t="str">
        <f>HYPERLINK("http://service.sap.com/sap/support/notes/1868956","1868956")</f>
        <v>1868956</v>
      </c>
      <c r="E8379">
        <v>1</v>
      </c>
      <c r="F8379" t="s">
        <v>7720</v>
      </c>
    </row>
    <row r="8380" spans="1:6" x14ac:dyDescent="0.25">
      <c r="A8380" t="s">
        <v>7629</v>
      </c>
      <c r="B8380" t="s">
        <v>698</v>
      </c>
      <c r="C8380" t="s">
        <v>699</v>
      </c>
      <c r="D8380" t="str">
        <f>HYPERLINK("http://service.sap.com/sap/support/notes/1451041","1451041")</f>
        <v>1451041</v>
      </c>
      <c r="E8380">
        <v>3</v>
      </c>
      <c r="F8380" t="s">
        <v>7721</v>
      </c>
    </row>
    <row r="8381" spans="1:6" x14ac:dyDescent="0.25">
      <c r="A8381" t="s">
        <v>7629</v>
      </c>
      <c r="B8381" t="s">
        <v>698</v>
      </c>
      <c r="C8381" t="s">
        <v>699</v>
      </c>
      <c r="D8381" t="str">
        <f>HYPERLINK("http://service.sap.com/sap/support/notes/1784373","1784373")</f>
        <v>1784373</v>
      </c>
      <c r="E8381">
        <v>2</v>
      </c>
      <c r="F8381" t="s">
        <v>7722</v>
      </c>
    </row>
    <row r="8382" spans="1:6" x14ac:dyDescent="0.25">
      <c r="A8382" t="s">
        <v>7629</v>
      </c>
      <c r="B8382" t="s">
        <v>698</v>
      </c>
      <c r="C8382" t="s">
        <v>699</v>
      </c>
      <c r="D8382" t="str">
        <f>HYPERLINK("http://service.sap.com/sap/support/notes/1828813","1828813")</f>
        <v>1828813</v>
      </c>
      <c r="E8382">
        <v>1</v>
      </c>
      <c r="F8382" t="s">
        <v>7723</v>
      </c>
    </row>
    <row r="8383" spans="1:6" x14ac:dyDescent="0.25">
      <c r="A8383" t="s">
        <v>7629</v>
      </c>
      <c r="B8383" t="s">
        <v>698</v>
      </c>
      <c r="C8383" t="s">
        <v>699</v>
      </c>
      <c r="D8383" t="str">
        <f>HYPERLINK("http://service.sap.com/sap/support/notes/1837509","1837509")</f>
        <v>1837509</v>
      </c>
      <c r="E8383">
        <v>1</v>
      </c>
      <c r="F8383" t="s">
        <v>7724</v>
      </c>
    </row>
    <row r="8384" spans="1:6" x14ac:dyDescent="0.25">
      <c r="A8384" t="s">
        <v>7629</v>
      </c>
      <c r="B8384" t="s">
        <v>698</v>
      </c>
      <c r="C8384" t="s">
        <v>699</v>
      </c>
      <c r="D8384" t="str">
        <f>HYPERLINK("http://service.sap.com/sap/support/notes/1845889","1845889")</f>
        <v>1845889</v>
      </c>
      <c r="E8384">
        <v>1</v>
      </c>
      <c r="F8384" t="s">
        <v>7725</v>
      </c>
    </row>
    <row r="8385" spans="1:6" x14ac:dyDescent="0.25">
      <c r="A8385" t="s">
        <v>7629</v>
      </c>
      <c r="B8385" t="s">
        <v>698</v>
      </c>
      <c r="C8385" t="s">
        <v>699</v>
      </c>
      <c r="D8385" t="str">
        <f>HYPERLINK("http://service.sap.com/sap/support/notes/1854805","1854805")</f>
        <v>1854805</v>
      </c>
      <c r="E8385">
        <v>1</v>
      </c>
      <c r="F8385" t="s">
        <v>7726</v>
      </c>
    </row>
    <row r="8386" spans="1:6" x14ac:dyDescent="0.25">
      <c r="A8386" t="s">
        <v>7629</v>
      </c>
      <c r="B8386" t="s">
        <v>698</v>
      </c>
      <c r="C8386" t="s">
        <v>699</v>
      </c>
      <c r="D8386" t="str">
        <f>HYPERLINK("http://service.sap.com/sap/support/notes/1858210","1858210")</f>
        <v>1858210</v>
      </c>
      <c r="E8386">
        <v>1</v>
      </c>
      <c r="F8386" t="s">
        <v>7727</v>
      </c>
    </row>
    <row r="8387" spans="1:6" x14ac:dyDescent="0.25">
      <c r="A8387" t="s">
        <v>7629</v>
      </c>
      <c r="B8387" t="s">
        <v>698</v>
      </c>
      <c r="C8387" t="s">
        <v>699</v>
      </c>
      <c r="D8387" t="str">
        <f>HYPERLINK("http://service.sap.com/sap/support/notes/1860589","1860589")</f>
        <v>1860589</v>
      </c>
      <c r="E8387">
        <v>1</v>
      </c>
      <c r="F8387" t="s">
        <v>7728</v>
      </c>
    </row>
    <row r="8388" spans="1:6" x14ac:dyDescent="0.25">
      <c r="A8388" t="s">
        <v>7629</v>
      </c>
      <c r="B8388" t="s">
        <v>698</v>
      </c>
      <c r="C8388" t="s">
        <v>699</v>
      </c>
      <c r="D8388" t="str">
        <f>HYPERLINK("http://service.sap.com/sap/support/notes/1867825","1867825")</f>
        <v>1867825</v>
      </c>
      <c r="E8388">
        <v>1</v>
      </c>
      <c r="F8388" t="s">
        <v>7729</v>
      </c>
    </row>
    <row r="8389" spans="1:6" x14ac:dyDescent="0.25">
      <c r="A8389" t="s">
        <v>7629</v>
      </c>
      <c r="B8389" t="s">
        <v>698</v>
      </c>
      <c r="C8389" t="s">
        <v>699</v>
      </c>
      <c r="D8389" t="str">
        <f>HYPERLINK("http://service.sap.com/sap/support/notes/1871156","1871156")</f>
        <v>1871156</v>
      </c>
      <c r="E8389">
        <v>1</v>
      </c>
      <c r="F8389" t="s">
        <v>4383</v>
      </c>
    </row>
    <row r="8390" spans="1:6" x14ac:dyDescent="0.25">
      <c r="A8390" t="s">
        <v>7629</v>
      </c>
      <c r="B8390" t="s">
        <v>6077</v>
      </c>
      <c r="C8390" t="s">
        <v>645</v>
      </c>
      <c r="D8390" t="str">
        <f>HYPERLINK("http://service.sap.com/sap/support/notes/1832950","1832950")</f>
        <v>1832950</v>
      </c>
      <c r="E8390">
        <v>1</v>
      </c>
      <c r="F8390" t="s">
        <v>7730</v>
      </c>
    </row>
    <row r="8391" spans="1:6" x14ac:dyDescent="0.25">
      <c r="A8391" t="s">
        <v>7629</v>
      </c>
      <c r="B8391" t="s">
        <v>6077</v>
      </c>
      <c r="C8391" t="s">
        <v>645</v>
      </c>
      <c r="D8391" t="str">
        <f>HYPERLINK("http://service.sap.com/sap/support/notes/1844020","1844020")</f>
        <v>1844020</v>
      </c>
      <c r="E8391">
        <v>1</v>
      </c>
      <c r="F8391" t="s">
        <v>7731</v>
      </c>
    </row>
    <row r="8392" spans="1:6" x14ac:dyDescent="0.25">
      <c r="A8392" t="s">
        <v>7629</v>
      </c>
      <c r="B8392" t="s">
        <v>700</v>
      </c>
      <c r="C8392" t="s">
        <v>662</v>
      </c>
      <c r="D8392" t="str">
        <f>HYPERLINK("http://service.sap.com/sap/support/notes/1776103","1776103")</f>
        <v>1776103</v>
      </c>
      <c r="E8392">
        <v>2</v>
      </c>
      <c r="F8392" t="s">
        <v>7732</v>
      </c>
    </row>
    <row r="8393" spans="1:6" x14ac:dyDescent="0.25">
      <c r="A8393" t="s">
        <v>7629</v>
      </c>
      <c r="B8393" t="s">
        <v>6305</v>
      </c>
      <c r="C8393" t="s">
        <v>6306</v>
      </c>
      <c r="D8393" t="str">
        <f>HYPERLINK("http://service.sap.com/sap/support/notes/1329844","1329844")</f>
        <v>1329844</v>
      </c>
      <c r="E8393">
        <v>4</v>
      </c>
      <c r="F8393" t="s">
        <v>7733</v>
      </c>
    </row>
    <row r="8394" spans="1:6" x14ac:dyDescent="0.25">
      <c r="A8394" t="s">
        <v>7629</v>
      </c>
      <c r="B8394" t="s">
        <v>90</v>
      </c>
      <c r="C8394" t="s">
        <v>13</v>
      </c>
    </row>
    <row r="8395" spans="1:6" x14ac:dyDescent="0.25">
      <c r="A8395" t="s">
        <v>7629</v>
      </c>
      <c r="B8395" t="s">
        <v>557</v>
      </c>
      <c r="C8395" t="s">
        <v>646</v>
      </c>
    </row>
    <row r="8396" spans="1:6" x14ac:dyDescent="0.25">
      <c r="A8396" t="s">
        <v>7629</v>
      </c>
      <c r="B8396" t="s">
        <v>563</v>
      </c>
      <c r="C8396" t="s">
        <v>564</v>
      </c>
    </row>
    <row r="8397" spans="1:6" x14ac:dyDescent="0.25">
      <c r="A8397" t="s">
        <v>7629</v>
      </c>
      <c r="B8397" t="s">
        <v>647</v>
      </c>
      <c r="C8397" t="s">
        <v>648</v>
      </c>
      <c r="D8397" t="str">
        <f>HYPERLINK("http://service.sap.com/sap/support/notes/967582","967582")</f>
        <v>967582</v>
      </c>
      <c r="E8397">
        <v>13</v>
      </c>
      <c r="F8397" t="s">
        <v>7734</v>
      </c>
    </row>
    <row r="8398" spans="1:6" x14ac:dyDescent="0.25">
      <c r="A8398" t="s">
        <v>7629</v>
      </c>
      <c r="B8398" t="s">
        <v>647</v>
      </c>
      <c r="C8398" t="s">
        <v>648</v>
      </c>
      <c r="D8398" t="str">
        <f>HYPERLINK("http://service.sap.com/sap/support/notes/1850185","1850185")</f>
        <v>1850185</v>
      </c>
      <c r="E8398">
        <v>3</v>
      </c>
      <c r="F8398" t="s">
        <v>7585</v>
      </c>
    </row>
    <row r="8399" spans="1:6" x14ac:dyDescent="0.25">
      <c r="A8399" t="s">
        <v>7629</v>
      </c>
      <c r="B8399" t="s">
        <v>647</v>
      </c>
      <c r="C8399" t="s">
        <v>648</v>
      </c>
      <c r="D8399" t="str">
        <f>HYPERLINK("http://service.sap.com/sap/support/notes/1852737","1852737")</f>
        <v>1852737</v>
      </c>
      <c r="E8399">
        <v>1</v>
      </c>
      <c r="F8399" t="s">
        <v>7735</v>
      </c>
    </row>
    <row r="8400" spans="1:6" x14ac:dyDescent="0.25">
      <c r="A8400" t="s">
        <v>7629</v>
      </c>
      <c r="B8400" t="s">
        <v>647</v>
      </c>
      <c r="C8400" t="s">
        <v>648</v>
      </c>
      <c r="D8400" t="str">
        <f>HYPERLINK("http://service.sap.com/sap/support/notes/1855989","1855989")</f>
        <v>1855989</v>
      </c>
      <c r="E8400">
        <v>2</v>
      </c>
      <c r="F8400" t="s">
        <v>7736</v>
      </c>
    </row>
    <row r="8401" spans="1:6" x14ac:dyDescent="0.25">
      <c r="A8401" t="s">
        <v>7629</v>
      </c>
      <c r="B8401" t="s">
        <v>647</v>
      </c>
      <c r="C8401" t="s">
        <v>648</v>
      </c>
      <c r="D8401" t="str">
        <f>HYPERLINK("http://service.sap.com/sap/support/notes/1857879","1857879")</f>
        <v>1857879</v>
      </c>
      <c r="E8401">
        <v>1</v>
      </c>
      <c r="F8401" t="s">
        <v>7737</v>
      </c>
    </row>
    <row r="8402" spans="1:6" x14ac:dyDescent="0.25">
      <c r="A8402" t="s">
        <v>7629</v>
      </c>
      <c r="B8402" t="s">
        <v>647</v>
      </c>
      <c r="C8402" t="s">
        <v>648</v>
      </c>
      <c r="D8402" t="str">
        <f>HYPERLINK("http://service.sap.com/sap/support/notes/1865665","1865665")</f>
        <v>1865665</v>
      </c>
      <c r="E8402">
        <v>1</v>
      </c>
      <c r="F8402" t="s">
        <v>7738</v>
      </c>
    </row>
    <row r="8403" spans="1:6" x14ac:dyDescent="0.25">
      <c r="A8403" t="s">
        <v>7629</v>
      </c>
      <c r="B8403" t="s">
        <v>647</v>
      </c>
      <c r="C8403" t="s">
        <v>648</v>
      </c>
      <c r="D8403" t="str">
        <f>HYPERLINK("http://service.sap.com/sap/support/notes/1865691","1865691")</f>
        <v>1865691</v>
      </c>
      <c r="E8403">
        <v>1</v>
      </c>
      <c r="F8403" t="s">
        <v>7739</v>
      </c>
    </row>
    <row r="8404" spans="1:6" x14ac:dyDescent="0.25">
      <c r="A8404" t="s">
        <v>7629</v>
      </c>
      <c r="B8404" t="s">
        <v>647</v>
      </c>
      <c r="C8404" t="s">
        <v>648</v>
      </c>
      <c r="D8404" t="str">
        <f>HYPERLINK("http://service.sap.com/sap/support/notes/1866464","1866464")</f>
        <v>1866464</v>
      </c>
      <c r="E8404">
        <v>1</v>
      </c>
      <c r="F8404" t="s">
        <v>7740</v>
      </c>
    </row>
    <row r="8405" spans="1:6" x14ac:dyDescent="0.25">
      <c r="A8405" t="s">
        <v>7629</v>
      </c>
      <c r="B8405" t="s">
        <v>647</v>
      </c>
      <c r="C8405" t="s">
        <v>648</v>
      </c>
      <c r="D8405" t="str">
        <f>HYPERLINK("http://service.sap.com/sap/support/notes/1869946","1869946")</f>
        <v>1869946</v>
      </c>
      <c r="E8405">
        <v>2</v>
      </c>
      <c r="F8405" t="s">
        <v>7741</v>
      </c>
    </row>
    <row r="8406" spans="1:6" x14ac:dyDescent="0.25">
      <c r="A8406" t="s">
        <v>7629</v>
      </c>
      <c r="B8406" t="s">
        <v>647</v>
      </c>
      <c r="C8406" t="s">
        <v>648</v>
      </c>
      <c r="D8406" t="str">
        <f>HYPERLINK("http://service.sap.com/sap/support/notes/1870828","1870828")</f>
        <v>1870828</v>
      </c>
      <c r="E8406">
        <v>1</v>
      </c>
      <c r="F8406" t="s">
        <v>7742</v>
      </c>
    </row>
    <row r="8407" spans="1:6" x14ac:dyDescent="0.25">
      <c r="A8407" t="s">
        <v>7629</v>
      </c>
      <c r="B8407" t="s">
        <v>95</v>
      </c>
      <c r="C8407" t="s">
        <v>96</v>
      </c>
    </row>
    <row r="8408" spans="1:6" x14ac:dyDescent="0.25">
      <c r="A8408" t="s">
        <v>7629</v>
      </c>
      <c r="B8408" t="s">
        <v>114</v>
      </c>
      <c r="C8408" t="s">
        <v>115</v>
      </c>
      <c r="D8408" t="str">
        <f>HYPERLINK("http://service.sap.com/sap/support/notes/1845803","1845803")</f>
        <v>1845803</v>
      </c>
      <c r="E8408">
        <v>1</v>
      </c>
      <c r="F8408" t="s">
        <v>3941</v>
      </c>
    </row>
    <row r="8409" spans="1:6" x14ac:dyDescent="0.25">
      <c r="A8409" t="s">
        <v>7629</v>
      </c>
      <c r="B8409" t="s">
        <v>114</v>
      </c>
      <c r="C8409" t="s">
        <v>115</v>
      </c>
      <c r="D8409" t="str">
        <f>HYPERLINK("http://service.sap.com/sap/support/notes/1873546","1873546")</f>
        <v>1873546</v>
      </c>
      <c r="E8409">
        <v>1</v>
      </c>
      <c r="F8409" t="s">
        <v>4412</v>
      </c>
    </row>
    <row r="8410" spans="1:6" x14ac:dyDescent="0.25">
      <c r="A8410" t="s">
        <v>7629</v>
      </c>
      <c r="B8410" t="s">
        <v>685</v>
      </c>
      <c r="C8410" t="s">
        <v>686</v>
      </c>
      <c r="D8410" t="str">
        <f>HYPERLINK("http://service.sap.com/sap/support/notes/1850236","1850236")</f>
        <v>1850236</v>
      </c>
      <c r="E8410">
        <v>1</v>
      </c>
      <c r="F8410" t="s">
        <v>7743</v>
      </c>
    </row>
    <row r="8411" spans="1:6" x14ac:dyDescent="0.25">
      <c r="A8411" t="s">
        <v>7629</v>
      </c>
      <c r="B8411" t="s">
        <v>685</v>
      </c>
      <c r="C8411" t="s">
        <v>686</v>
      </c>
      <c r="D8411" t="str">
        <f>HYPERLINK("http://service.sap.com/sap/support/notes/1865143","1865143")</f>
        <v>1865143</v>
      </c>
      <c r="E8411">
        <v>1</v>
      </c>
      <c r="F8411" t="s">
        <v>7744</v>
      </c>
    </row>
    <row r="8412" spans="1:6" x14ac:dyDescent="0.25">
      <c r="A8412" t="s">
        <v>7629</v>
      </c>
      <c r="B8412" t="s">
        <v>685</v>
      </c>
      <c r="C8412" t="s">
        <v>686</v>
      </c>
      <c r="D8412" t="str">
        <f>HYPERLINK("http://service.sap.com/sap/support/notes/1865144","1865144")</f>
        <v>1865144</v>
      </c>
      <c r="E8412">
        <v>1</v>
      </c>
      <c r="F8412" t="s">
        <v>7745</v>
      </c>
    </row>
    <row r="8413" spans="1:6" x14ac:dyDescent="0.25">
      <c r="A8413" t="s">
        <v>7629</v>
      </c>
      <c r="B8413" t="s">
        <v>685</v>
      </c>
      <c r="C8413" t="s">
        <v>686</v>
      </c>
      <c r="D8413" t="str">
        <f>HYPERLINK("http://service.sap.com/sap/support/notes/1865624","1865624")</f>
        <v>1865624</v>
      </c>
      <c r="E8413">
        <v>1</v>
      </c>
      <c r="F8413" t="s">
        <v>7746</v>
      </c>
    </row>
    <row r="8414" spans="1:6" x14ac:dyDescent="0.25">
      <c r="A8414" t="s">
        <v>7629</v>
      </c>
      <c r="B8414" t="s">
        <v>127</v>
      </c>
      <c r="C8414" t="s">
        <v>128</v>
      </c>
    </row>
    <row r="8415" spans="1:6" x14ac:dyDescent="0.25">
      <c r="A8415" t="s">
        <v>7629</v>
      </c>
      <c r="B8415" t="s">
        <v>4426</v>
      </c>
      <c r="C8415" t="s">
        <v>4427</v>
      </c>
      <c r="D8415" t="str">
        <f>HYPERLINK("http://service.sap.com/sap/support/notes/1866235","1866235")</f>
        <v>1866235</v>
      </c>
      <c r="E8415">
        <v>1</v>
      </c>
      <c r="F8415" t="s">
        <v>7747</v>
      </c>
    </row>
    <row r="8416" spans="1:6" x14ac:dyDescent="0.25">
      <c r="A8416" t="s">
        <v>7629</v>
      </c>
      <c r="B8416" t="s">
        <v>4426</v>
      </c>
      <c r="C8416" t="s">
        <v>4427</v>
      </c>
      <c r="D8416" t="str">
        <f>HYPERLINK("http://service.sap.com/sap/support/notes/1872255","1872255")</f>
        <v>1872255</v>
      </c>
      <c r="E8416">
        <v>3</v>
      </c>
      <c r="F8416" t="s">
        <v>7748</v>
      </c>
    </row>
    <row r="8417" spans="1:6" x14ac:dyDescent="0.25">
      <c r="A8417" t="s">
        <v>7629</v>
      </c>
      <c r="B8417" t="s">
        <v>3967</v>
      </c>
      <c r="C8417" t="s">
        <v>4429</v>
      </c>
      <c r="D8417" t="str">
        <f>HYPERLINK("http://service.sap.com/sap/support/notes/1872897","1872897")</f>
        <v>1872897</v>
      </c>
      <c r="E8417">
        <v>1</v>
      </c>
      <c r="F8417" t="s">
        <v>7749</v>
      </c>
    </row>
    <row r="8418" spans="1:6" x14ac:dyDescent="0.25">
      <c r="A8418" t="s">
        <v>7629</v>
      </c>
      <c r="B8418" t="s">
        <v>159</v>
      </c>
      <c r="C8418" t="s">
        <v>160</v>
      </c>
      <c r="D8418" t="str">
        <f>HYPERLINK("http://service.sap.com/sap/support/notes/1706933","1706933")</f>
        <v>1706933</v>
      </c>
      <c r="E8418">
        <v>2</v>
      </c>
      <c r="F8418" t="s">
        <v>2496</v>
      </c>
    </row>
    <row r="8419" spans="1:6" x14ac:dyDescent="0.25">
      <c r="A8419" t="s">
        <v>7629</v>
      </c>
      <c r="B8419" t="s">
        <v>159</v>
      </c>
      <c r="C8419" t="s">
        <v>160</v>
      </c>
      <c r="D8419" t="str">
        <f>HYPERLINK("http://service.sap.com/sap/support/notes/1829559","1829559")</f>
        <v>1829559</v>
      </c>
      <c r="E8419">
        <v>1</v>
      </c>
      <c r="F8419" t="s">
        <v>3489</v>
      </c>
    </row>
    <row r="8420" spans="1:6" x14ac:dyDescent="0.25">
      <c r="A8420" t="s">
        <v>7629</v>
      </c>
      <c r="B8420" t="s">
        <v>159</v>
      </c>
      <c r="C8420" t="s">
        <v>160</v>
      </c>
      <c r="D8420" t="str">
        <f>HYPERLINK("http://service.sap.com/sap/support/notes/1849119","1849119")</f>
        <v>1849119</v>
      </c>
      <c r="E8420">
        <v>1</v>
      </c>
      <c r="F8420" t="s">
        <v>4007</v>
      </c>
    </row>
    <row r="8421" spans="1:6" x14ac:dyDescent="0.25">
      <c r="A8421" t="s">
        <v>7629</v>
      </c>
      <c r="B8421" t="s">
        <v>159</v>
      </c>
      <c r="C8421" t="s">
        <v>160</v>
      </c>
      <c r="D8421" t="str">
        <f>HYPERLINK("http://service.sap.com/sap/support/notes/1876491","1876491")</f>
        <v>1876491</v>
      </c>
      <c r="E8421">
        <v>1</v>
      </c>
      <c r="F8421" t="s">
        <v>4804</v>
      </c>
    </row>
    <row r="8422" spans="1:6" x14ac:dyDescent="0.25">
      <c r="A8422" t="s">
        <v>7629</v>
      </c>
      <c r="B8422" t="s">
        <v>175</v>
      </c>
      <c r="C8422" t="s">
        <v>176</v>
      </c>
    </row>
    <row r="8423" spans="1:6" x14ac:dyDescent="0.25">
      <c r="A8423" t="s">
        <v>7629</v>
      </c>
      <c r="B8423" t="s">
        <v>183</v>
      </c>
      <c r="C8423" t="s">
        <v>184</v>
      </c>
    </row>
    <row r="8424" spans="1:6" x14ac:dyDescent="0.25">
      <c r="A8424" t="s">
        <v>7629</v>
      </c>
      <c r="B8424" t="s">
        <v>578</v>
      </c>
      <c r="C8424" t="s">
        <v>4485</v>
      </c>
      <c r="D8424" t="str">
        <f>HYPERLINK("http://service.sap.com/sap/support/notes/1866245","1866245")</f>
        <v>1866245</v>
      </c>
      <c r="E8424">
        <v>6</v>
      </c>
      <c r="F8424" t="s">
        <v>4486</v>
      </c>
    </row>
    <row r="8425" spans="1:6" x14ac:dyDescent="0.25">
      <c r="A8425" t="s">
        <v>7629</v>
      </c>
      <c r="B8425" t="s">
        <v>344</v>
      </c>
      <c r="C8425" t="s">
        <v>345</v>
      </c>
    </row>
    <row r="8426" spans="1:6" x14ac:dyDescent="0.25">
      <c r="A8426" t="s">
        <v>7629</v>
      </c>
      <c r="B8426" t="s">
        <v>1902</v>
      </c>
      <c r="C8426" t="s">
        <v>1903</v>
      </c>
      <c r="D8426" t="str">
        <f>HYPERLINK("http://service.sap.com/sap/support/notes/1864913","1864913")</f>
        <v>1864913</v>
      </c>
      <c r="E8426">
        <v>1</v>
      </c>
      <c r="F8426" t="s">
        <v>7750</v>
      </c>
    </row>
    <row r="8427" spans="1:6" x14ac:dyDescent="0.25">
      <c r="A8427" t="s">
        <v>7629</v>
      </c>
      <c r="B8427" t="s">
        <v>423</v>
      </c>
      <c r="C8427" t="s">
        <v>424</v>
      </c>
      <c r="D8427" t="str">
        <f>HYPERLINK("http://service.sap.com/sap/support/notes/1841045","1841045")</f>
        <v>1841045</v>
      </c>
      <c r="E8427">
        <v>2</v>
      </c>
      <c r="F8427" t="s">
        <v>4267</v>
      </c>
    </row>
    <row r="8428" spans="1:6" x14ac:dyDescent="0.25">
      <c r="A8428" t="s">
        <v>7629</v>
      </c>
      <c r="B8428" t="s">
        <v>423</v>
      </c>
      <c r="C8428" t="s">
        <v>424</v>
      </c>
      <c r="D8428" t="str">
        <f>HYPERLINK("http://service.sap.com/sap/support/notes/1863352","1863352")</f>
        <v>1863352</v>
      </c>
      <c r="E8428">
        <v>1</v>
      </c>
      <c r="F8428" t="s">
        <v>7612</v>
      </c>
    </row>
    <row r="8429" spans="1:6" x14ac:dyDescent="0.25">
      <c r="A8429" t="s">
        <v>7629</v>
      </c>
      <c r="B8429" t="s">
        <v>423</v>
      </c>
      <c r="C8429" t="s">
        <v>424</v>
      </c>
      <c r="D8429" t="str">
        <f>HYPERLINK("http://service.sap.com/sap/support/notes/1866430","1866430")</f>
        <v>1866430</v>
      </c>
      <c r="E8429">
        <v>6</v>
      </c>
      <c r="F8429" t="s">
        <v>4647</v>
      </c>
    </row>
    <row r="8430" spans="1:6" x14ac:dyDescent="0.25">
      <c r="A8430" t="s">
        <v>7629</v>
      </c>
      <c r="B8430" t="s">
        <v>423</v>
      </c>
      <c r="C8430" t="s">
        <v>424</v>
      </c>
      <c r="D8430" t="str">
        <f>HYPERLINK("http://service.sap.com/sap/support/notes/1866852","1866852")</f>
        <v>1866852</v>
      </c>
      <c r="E8430">
        <v>2</v>
      </c>
      <c r="F8430" t="s">
        <v>4648</v>
      </c>
    </row>
    <row r="8431" spans="1:6" x14ac:dyDescent="0.25">
      <c r="A8431" t="s">
        <v>7629</v>
      </c>
      <c r="B8431" t="s">
        <v>423</v>
      </c>
      <c r="C8431" t="s">
        <v>424</v>
      </c>
      <c r="D8431" t="str">
        <f>HYPERLINK("http://service.sap.com/sap/support/notes/1868800","1868800")</f>
        <v>1868800</v>
      </c>
      <c r="E8431">
        <v>3</v>
      </c>
      <c r="F8431" t="s">
        <v>7751</v>
      </c>
    </row>
    <row r="8432" spans="1:6" x14ac:dyDescent="0.25">
      <c r="A8432" t="s">
        <v>7629</v>
      </c>
      <c r="B8432" t="s">
        <v>423</v>
      </c>
      <c r="C8432" t="s">
        <v>424</v>
      </c>
      <c r="D8432" t="str">
        <f>HYPERLINK("http://service.sap.com/sap/support/notes/1868958","1868958")</f>
        <v>1868958</v>
      </c>
      <c r="E8432">
        <v>2</v>
      </c>
      <c r="F8432" t="s">
        <v>4651</v>
      </c>
    </row>
    <row r="8433" spans="1:6" x14ac:dyDescent="0.25">
      <c r="A8433" t="s">
        <v>7629</v>
      </c>
      <c r="B8433" t="s">
        <v>423</v>
      </c>
      <c r="C8433" t="s">
        <v>424</v>
      </c>
      <c r="D8433" t="str">
        <f>HYPERLINK("http://service.sap.com/sap/support/notes/1869581","1869581")</f>
        <v>1869581</v>
      </c>
      <c r="E8433">
        <v>1</v>
      </c>
      <c r="F8433" t="s">
        <v>4652</v>
      </c>
    </row>
    <row r="8434" spans="1:6" x14ac:dyDescent="0.25">
      <c r="A8434" t="s">
        <v>7629</v>
      </c>
      <c r="B8434" t="s">
        <v>423</v>
      </c>
      <c r="C8434" t="s">
        <v>424</v>
      </c>
      <c r="D8434" t="str">
        <f>HYPERLINK("http://service.sap.com/sap/support/notes/1876168","1876168")</f>
        <v>1876168</v>
      </c>
      <c r="E8434">
        <v>1</v>
      </c>
      <c r="F8434" t="s">
        <v>4653</v>
      </c>
    </row>
    <row r="8435" spans="1:6" x14ac:dyDescent="0.25">
      <c r="A8435" t="s">
        <v>7629</v>
      </c>
      <c r="B8435" t="s">
        <v>423</v>
      </c>
      <c r="C8435" t="s">
        <v>424</v>
      </c>
      <c r="D8435" t="str">
        <f>HYPERLINK("http://service.sap.com/sap/support/notes/1877169","1877169")</f>
        <v>1877169</v>
      </c>
      <c r="E8435">
        <v>1</v>
      </c>
      <c r="F8435" t="s">
        <v>4655</v>
      </c>
    </row>
    <row r="8436" spans="1:6" x14ac:dyDescent="0.25">
      <c r="A8436" t="s">
        <v>7629</v>
      </c>
      <c r="B8436" t="s">
        <v>453</v>
      </c>
      <c r="C8436" t="s">
        <v>74</v>
      </c>
      <c r="D8436" t="str">
        <f>HYPERLINK("http://service.sap.com/sap/support/notes/1843938","1843938")</f>
        <v>1843938</v>
      </c>
      <c r="E8436">
        <v>2</v>
      </c>
      <c r="F8436" t="s">
        <v>4683</v>
      </c>
    </row>
    <row r="8437" spans="1:6" x14ac:dyDescent="0.25">
      <c r="A8437" t="s">
        <v>7629</v>
      </c>
      <c r="B8437" t="s">
        <v>610</v>
      </c>
      <c r="C8437" t="s">
        <v>635</v>
      </c>
    </row>
    <row r="8438" spans="1:6" x14ac:dyDescent="0.25">
      <c r="A8438" t="s">
        <v>7629</v>
      </c>
      <c r="B8438" t="s">
        <v>612</v>
      </c>
      <c r="C8438" t="s">
        <v>5696</v>
      </c>
      <c r="D8438" t="str">
        <f>HYPERLINK("http://service.sap.com/sap/support/notes/1860804","1860804")</f>
        <v>1860804</v>
      </c>
      <c r="E8438">
        <v>2</v>
      </c>
      <c r="F8438" t="s">
        <v>7752</v>
      </c>
    </row>
    <row r="8439" spans="1:6" x14ac:dyDescent="0.25">
      <c r="A8439" t="s">
        <v>7629</v>
      </c>
      <c r="B8439" t="s">
        <v>612</v>
      </c>
      <c r="C8439" t="s">
        <v>5696</v>
      </c>
      <c r="D8439" t="str">
        <f>HYPERLINK("http://service.sap.com/sap/support/notes/1865442","1865442")</f>
        <v>1865442</v>
      </c>
      <c r="E8439">
        <v>2</v>
      </c>
      <c r="F8439" t="s">
        <v>7753</v>
      </c>
    </row>
    <row r="8440" spans="1:6" x14ac:dyDescent="0.25">
      <c r="A8440" t="s">
        <v>7629</v>
      </c>
      <c r="B8440" t="s">
        <v>3809</v>
      </c>
      <c r="C8440" t="s">
        <v>3810</v>
      </c>
      <c r="D8440" t="str">
        <f>HYPERLINK("http://service.sap.com/sap/support/notes/1861818","1861818")</f>
        <v>1861818</v>
      </c>
      <c r="E8440">
        <v>2</v>
      </c>
      <c r="F8440" t="s">
        <v>7754</v>
      </c>
    </row>
    <row r="8441" spans="1:6" x14ac:dyDescent="0.25">
      <c r="A8441" t="s">
        <v>7629</v>
      </c>
      <c r="B8441" t="s">
        <v>670</v>
      </c>
      <c r="C8441" t="s">
        <v>671</v>
      </c>
    </row>
    <row r="8442" spans="1:6" x14ac:dyDescent="0.25">
      <c r="A8442" t="s">
        <v>7629</v>
      </c>
      <c r="B8442" t="s">
        <v>672</v>
      </c>
      <c r="C8442" t="s">
        <v>673</v>
      </c>
    </row>
    <row r="8443" spans="1:6" x14ac:dyDescent="0.25">
      <c r="A8443" t="s">
        <v>7629</v>
      </c>
      <c r="B8443" t="s">
        <v>5707</v>
      </c>
      <c r="C8443" t="s">
        <v>5708</v>
      </c>
    </row>
    <row r="8444" spans="1:6" x14ac:dyDescent="0.25">
      <c r="A8444" t="s">
        <v>7629</v>
      </c>
      <c r="B8444" t="s">
        <v>5709</v>
      </c>
      <c r="C8444" t="s">
        <v>5710</v>
      </c>
      <c r="D8444" t="str">
        <f>HYPERLINK("http://service.sap.com/sap/support/notes/1874933","1874933")</f>
        <v>1874933</v>
      </c>
      <c r="E8444">
        <v>1</v>
      </c>
      <c r="F8444" t="s">
        <v>7755</v>
      </c>
    </row>
    <row r="8445" spans="1:6" x14ac:dyDescent="0.25">
      <c r="A8445" t="s">
        <v>7629</v>
      </c>
      <c r="B8445" t="s">
        <v>5709</v>
      </c>
      <c r="C8445" t="s">
        <v>5710</v>
      </c>
      <c r="D8445" t="str">
        <f>HYPERLINK("http://service.sap.com/sap/support/notes/1875342","1875342")</f>
        <v>1875342</v>
      </c>
      <c r="E8445">
        <v>1</v>
      </c>
      <c r="F8445" t="s">
        <v>7756</v>
      </c>
    </row>
    <row r="8446" spans="1:6" x14ac:dyDescent="0.25">
      <c r="A8446" t="s">
        <v>7629</v>
      </c>
      <c r="B8446" t="s">
        <v>5713</v>
      </c>
      <c r="C8446" t="s">
        <v>5714</v>
      </c>
    </row>
    <row r="8447" spans="1:6" x14ac:dyDescent="0.25">
      <c r="A8447" t="s">
        <v>7629</v>
      </c>
      <c r="B8447" t="s">
        <v>5715</v>
      </c>
      <c r="C8447" t="s">
        <v>5710</v>
      </c>
      <c r="D8447" t="str">
        <f>HYPERLINK("http://service.sap.com/sap/support/notes/1866461","1866461")</f>
        <v>1866461</v>
      </c>
      <c r="E8447">
        <v>1</v>
      </c>
      <c r="F8447" t="s">
        <v>7757</v>
      </c>
    </row>
    <row r="8448" spans="1:6" x14ac:dyDescent="0.25">
      <c r="A8448" t="s">
        <v>7758</v>
      </c>
      <c r="B8448" t="s">
        <v>481</v>
      </c>
      <c r="C8448" t="s">
        <v>482</v>
      </c>
    </row>
    <row r="8449" spans="1:6" x14ac:dyDescent="0.25">
      <c r="A8449" t="s">
        <v>7758</v>
      </c>
      <c r="B8449" t="s">
        <v>639</v>
      </c>
      <c r="C8449" t="s">
        <v>640</v>
      </c>
    </row>
    <row r="8450" spans="1:6" x14ac:dyDescent="0.25">
      <c r="A8450" t="s">
        <v>7758</v>
      </c>
      <c r="B8450" t="s">
        <v>5404</v>
      </c>
      <c r="C8450" t="s">
        <v>5405</v>
      </c>
      <c r="D8450" t="str">
        <f>HYPERLINK("http://service.sap.com/sap/support/notes/1799876","1799876")</f>
        <v>1799876</v>
      </c>
      <c r="E8450">
        <v>5</v>
      </c>
      <c r="F8450" t="s">
        <v>7759</v>
      </c>
    </row>
    <row r="8451" spans="1:6" x14ac:dyDescent="0.25">
      <c r="A8451" t="s">
        <v>7758</v>
      </c>
      <c r="B8451" t="s">
        <v>487</v>
      </c>
      <c r="C8451" t="s">
        <v>488</v>
      </c>
    </row>
    <row r="8452" spans="1:6" x14ac:dyDescent="0.25">
      <c r="A8452" t="s">
        <v>7758</v>
      </c>
      <c r="B8452" t="s">
        <v>489</v>
      </c>
      <c r="C8452" t="s">
        <v>641</v>
      </c>
      <c r="D8452" t="str">
        <f>HYPERLINK("http://service.sap.com/sap/support/notes/1880118","1880118")</f>
        <v>1880118</v>
      </c>
      <c r="E8452">
        <v>1</v>
      </c>
      <c r="F8452" t="s">
        <v>7760</v>
      </c>
    </row>
    <row r="8453" spans="1:6" x14ac:dyDescent="0.25">
      <c r="A8453" t="s">
        <v>7758</v>
      </c>
      <c r="B8453" t="s">
        <v>489</v>
      </c>
      <c r="C8453" t="s">
        <v>641</v>
      </c>
      <c r="D8453" t="str">
        <f>HYPERLINK("http://service.sap.com/sap/support/notes/1881321","1881321")</f>
        <v>1881321</v>
      </c>
      <c r="E8453">
        <v>1</v>
      </c>
      <c r="F8453" t="s">
        <v>7761</v>
      </c>
    </row>
    <row r="8454" spans="1:6" x14ac:dyDescent="0.25">
      <c r="A8454" t="s">
        <v>7758</v>
      </c>
      <c r="B8454" t="s">
        <v>489</v>
      </c>
      <c r="C8454" t="s">
        <v>641</v>
      </c>
      <c r="D8454" t="str">
        <f>HYPERLINK("http://service.sap.com/sap/support/notes/1882325","1882325")</f>
        <v>1882325</v>
      </c>
      <c r="E8454">
        <v>1</v>
      </c>
      <c r="F8454" t="s">
        <v>7762</v>
      </c>
    </row>
    <row r="8455" spans="1:6" x14ac:dyDescent="0.25">
      <c r="A8455" t="s">
        <v>7758</v>
      </c>
      <c r="B8455" t="s">
        <v>489</v>
      </c>
      <c r="C8455" t="s">
        <v>641</v>
      </c>
      <c r="D8455" t="str">
        <f>HYPERLINK("http://service.sap.com/sap/support/notes/1884104","1884104")</f>
        <v>1884104</v>
      </c>
      <c r="E8455">
        <v>3</v>
      </c>
      <c r="F8455" t="s">
        <v>7763</v>
      </c>
    </row>
    <row r="8456" spans="1:6" x14ac:dyDescent="0.25">
      <c r="A8456" t="s">
        <v>7758</v>
      </c>
      <c r="B8456" t="s">
        <v>489</v>
      </c>
      <c r="C8456" t="s">
        <v>641</v>
      </c>
      <c r="D8456" t="str">
        <f>HYPERLINK("http://service.sap.com/sap/support/notes/1885228","1885228")</f>
        <v>1885228</v>
      </c>
      <c r="E8456">
        <v>2</v>
      </c>
      <c r="F8456" t="s">
        <v>7764</v>
      </c>
    </row>
    <row r="8457" spans="1:6" x14ac:dyDescent="0.25">
      <c r="A8457" t="s">
        <v>7758</v>
      </c>
      <c r="B8457" t="s">
        <v>489</v>
      </c>
      <c r="C8457" t="s">
        <v>641</v>
      </c>
      <c r="D8457" t="str">
        <f>HYPERLINK("http://service.sap.com/sap/support/notes/1885260","1885260")</f>
        <v>1885260</v>
      </c>
      <c r="E8457">
        <v>1</v>
      </c>
      <c r="F8457" t="s">
        <v>7765</v>
      </c>
    </row>
    <row r="8458" spans="1:6" x14ac:dyDescent="0.25">
      <c r="A8458" t="s">
        <v>7758</v>
      </c>
      <c r="B8458" t="s">
        <v>489</v>
      </c>
      <c r="C8458" t="s">
        <v>641</v>
      </c>
      <c r="D8458" t="str">
        <f>HYPERLINK("http://service.sap.com/sap/support/notes/1885820","1885820")</f>
        <v>1885820</v>
      </c>
      <c r="E8458">
        <v>1</v>
      </c>
      <c r="F8458" t="s">
        <v>7766</v>
      </c>
    </row>
    <row r="8459" spans="1:6" x14ac:dyDescent="0.25">
      <c r="A8459" t="s">
        <v>7758</v>
      </c>
      <c r="B8459" t="s">
        <v>489</v>
      </c>
      <c r="C8459" t="s">
        <v>641</v>
      </c>
      <c r="D8459" t="str">
        <f>HYPERLINK("http://service.sap.com/sap/support/notes/1886483","1886483")</f>
        <v>1886483</v>
      </c>
      <c r="E8459">
        <v>3</v>
      </c>
      <c r="F8459" t="s">
        <v>7767</v>
      </c>
    </row>
    <row r="8460" spans="1:6" x14ac:dyDescent="0.25">
      <c r="A8460" t="s">
        <v>7758</v>
      </c>
      <c r="B8460" t="s">
        <v>489</v>
      </c>
      <c r="C8460" t="s">
        <v>641</v>
      </c>
      <c r="D8460" t="str">
        <f>HYPERLINK("http://service.sap.com/sap/support/notes/1886790","1886790")</f>
        <v>1886790</v>
      </c>
      <c r="E8460">
        <v>1</v>
      </c>
      <c r="F8460" t="s">
        <v>7768</v>
      </c>
    </row>
    <row r="8461" spans="1:6" x14ac:dyDescent="0.25">
      <c r="A8461" t="s">
        <v>7758</v>
      </c>
      <c r="B8461" t="s">
        <v>489</v>
      </c>
      <c r="C8461" t="s">
        <v>641</v>
      </c>
      <c r="D8461" t="str">
        <f>HYPERLINK("http://service.sap.com/sap/support/notes/1887125","1887125")</f>
        <v>1887125</v>
      </c>
      <c r="E8461">
        <v>1</v>
      </c>
      <c r="F8461" t="s">
        <v>7769</v>
      </c>
    </row>
    <row r="8462" spans="1:6" x14ac:dyDescent="0.25">
      <c r="A8462" t="s">
        <v>7758</v>
      </c>
      <c r="B8462" t="s">
        <v>489</v>
      </c>
      <c r="C8462" t="s">
        <v>641</v>
      </c>
      <c r="D8462" t="str">
        <f>HYPERLINK("http://service.sap.com/sap/support/notes/1887303","1887303")</f>
        <v>1887303</v>
      </c>
      <c r="E8462">
        <v>1</v>
      </c>
      <c r="F8462" t="s">
        <v>7770</v>
      </c>
    </row>
    <row r="8463" spans="1:6" x14ac:dyDescent="0.25">
      <c r="A8463" t="s">
        <v>7758</v>
      </c>
      <c r="B8463" t="s">
        <v>489</v>
      </c>
      <c r="C8463" t="s">
        <v>641</v>
      </c>
      <c r="D8463" t="str">
        <f>HYPERLINK("http://service.sap.com/sap/support/notes/1887649","1887649")</f>
        <v>1887649</v>
      </c>
      <c r="E8463">
        <v>1</v>
      </c>
      <c r="F8463" t="s">
        <v>7771</v>
      </c>
    </row>
    <row r="8464" spans="1:6" x14ac:dyDescent="0.25">
      <c r="A8464" t="s">
        <v>7758</v>
      </c>
      <c r="B8464" t="s">
        <v>489</v>
      </c>
      <c r="C8464" t="s">
        <v>641</v>
      </c>
      <c r="D8464" t="str">
        <f>HYPERLINK("http://service.sap.com/sap/support/notes/1888662","1888662")</f>
        <v>1888662</v>
      </c>
      <c r="E8464">
        <v>1</v>
      </c>
      <c r="F8464" t="s">
        <v>7772</v>
      </c>
    </row>
    <row r="8465" spans="1:6" x14ac:dyDescent="0.25">
      <c r="A8465" t="s">
        <v>7758</v>
      </c>
      <c r="B8465" t="s">
        <v>490</v>
      </c>
      <c r="C8465" t="s">
        <v>491</v>
      </c>
    </row>
    <row r="8466" spans="1:6" x14ac:dyDescent="0.25">
      <c r="A8466" t="s">
        <v>7758</v>
      </c>
      <c r="B8466" t="s">
        <v>722</v>
      </c>
      <c r="C8466" t="s">
        <v>723</v>
      </c>
    </row>
    <row r="8467" spans="1:6" x14ac:dyDescent="0.25">
      <c r="A8467" t="s">
        <v>7758</v>
      </c>
      <c r="B8467" t="s">
        <v>724</v>
      </c>
      <c r="C8467" t="s">
        <v>648</v>
      </c>
      <c r="D8467" t="str">
        <f>HYPERLINK("http://service.sap.com/sap/support/notes/1715835","1715835")</f>
        <v>1715835</v>
      </c>
      <c r="E8467">
        <v>2</v>
      </c>
      <c r="F8467" t="s">
        <v>7773</v>
      </c>
    </row>
    <row r="8468" spans="1:6" x14ac:dyDescent="0.25">
      <c r="A8468" t="s">
        <v>7758</v>
      </c>
      <c r="B8468" t="s">
        <v>724</v>
      </c>
      <c r="C8468" t="s">
        <v>648</v>
      </c>
      <c r="D8468" t="str">
        <f>HYPERLINK("http://service.sap.com/sap/support/notes/1755997","1755997")</f>
        <v>1755997</v>
      </c>
      <c r="E8468">
        <v>3</v>
      </c>
      <c r="F8468" t="s">
        <v>7774</v>
      </c>
    </row>
    <row r="8469" spans="1:6" x14ac:dyDescent="0.25">
      <c r="A8469" t="s">
        <v>7758</v>
      </c>
      <c r="B8469" t="s">
        <v>724</v>
      </c>
      <c r="C8469" t="s">
        <v>648</v>
      </c>
      <c r="D8469" t="str">
        <f>HYPERLINK("http://service.sap.com/sap/support/notes/1826340","1826340")</f>
        <v>1826340</v>
      </c>
      <c r="E8469">
        <v>1</v>
      </c>
      <c r="F8469" t="s">
        <v>7775</v>
      </c>
    </row>
    <row r="8470" spans="1:6" x14ac:dyDescent="0.25">
      <c r="A8470" t="s">
        <v>7758</v>
      </c>
      <c r="B8470" t="s">
        <v>724</v>
      </c>
      <c r="C8470" t="s">
        <v>648</v>
      </c>
      <c r="D8470" t="str">
        <f>HYPERLINK("http://service.sap.com/sap/support/notes/1829294","1829294")</f>
        <v>1829294</v>
      </c>
      <c r="E8470">
        <v>3</v>
      </c>
      <c r="F8470" t="s">
        <v>7776</v>
      </c>
    </row>
    <row r="8471" spans="1:6" x14ac:dyDescent="0.25">
      <c r="A8471" t="s">
        <v>7758</v>
      </c>
      <c r="B8471" t="s">
        <v>724</v>
      </c>
      <c r="C8471" t="s">
        <v>648</v>
      </c>
      <c r="D8471" t="str">
        <f>HYPERLINK("http://service.sap.com/sap/support/notes/1854385","1854385")</f>
        <v>1854385</v>
      </c>
      <c r="E8471">
        <v>2</v>
      </c>
      <c r="F8471" t="s">
        <v>7777</v>
      </c>
    </row>
    <row r="8472" spans="1:6" x14ac:dyDescent="0.25">
      <c r="A8472" t="s">
        <v>7758</v>
      </c>
      <c r="B8472" t="s">
        <v>724</v>
      </c>
      <c r="C8472" t="s">
        <v>648</v>
      </c>
      <c r="D8472" t="str">
        <f>HYPERLINK("http://service.sap.com/sap/support/notes/1862843","1862843")</f>
        <v>1862843</v>
      </c>
      <c r="E8472">
        <v>1</v>
      </c>
      <c r="F8472" t="s">
        <v>7778</v>
      </c>
    </row>
    <row r="8473" spans="1:6" x14ac:dyDescent="0.25">
      <c r="A8473" t="s">
        <v>7758</v>
      </c>
      <c r="B8473" t="s">
        <v>724</v>
      </c>
      <c r="C8473" t="s">
        <v>648</v>
      </c>
      <c r="D8473" t="str">
        <f>HYPERLINK("http://service.sap.com/sap/support/notes/1871512","1871512")</f>
        <v>1871512</v>
      </c>
      <c r="E8473">
        <v>2</v>
      </c>
      <c r="F8473" t="s">
        <v>7779</v>
      </c>
    </row>
    <row r="8474" spans="1:6" x14ac:dyDescent="0.25">
      <c r="A8474" t="s">
        <v>7758</v>
      </c>
      <c r="B8474" t="s">
        <v>724</v>
      </c>
      <c r="C8474" t="s">
        <v>648</v>
      </c>
      <c r="D8474" t="str">
        <f>HYPERLINK("http://service.sap.com/sap/support/notes/1871545","1871545")</f>
        <v>1871545</v>
      </c>
      <c r="E8474">
        <v>2</v>
      </c>
      <c r="F8474" t="s">
        <v>7780</v>
      </c>
    </row>
    <row r="8475" spans="1:6" x14ac:dyDescent="0.25">
      <c r="A8475" t="s">
        <v>7758</v>
      </c>
      <c r="B8475" t="s">
        <v>724</v>
      </c>
      <c r="C8475" t="s">
        <v>648</v>
      </c>
      <c r="D8475" t="str">
        <f>HYPERLINK("http://service.sap.com/sap/support/notes/1880286","1880286")</f>
        <v>1880286</v>
      </c>
      <c r="E8475">
        <v>1</v>
      </c>
      <c r="F8475" t="s">
        <v>7781</v>
      </c>
    </row>
    <row r="8476" spans="1:6" x14ac:dyDescent="0.25">
      <c r="A8476" t="s">
        <v>7758</v>
      </c>
      <c r="B8476" t="s">
        <v>493</v>
      </c>
      <c r="C8476" t="s">
        <v>494</v>
      </c>
    </row>
    <row r="8477" spans="1:6" x14ac:dyDescent="0.25">
      <c r="A8477" t="s">
        <v>7758</v>
      </c>
      <c r="B8477" t="s">
        <v>495</v>
      </c>
      <c r="C8477" t="s">
        <v>655</v>
      </c>
      <c r="D8477" t="str">
        <f>HYPERLINK("http://service.sap.com/sap/support/notes/1803049","1803049")</f>
        <v>1803049</v>
      </c>
      <c r="E8477">
        <v>4</v>
      </c>
      <c r="F8477" t="s">
        <v>7782</v>
      </c>
    </row>
    <row r="8478" spans="1:6" x14ac:dyDescent="0.25">
      <c r="A8478" t="s">
        <v>7758</v>
      </c>
      <c r="B8478" t="s">
        <v>497</v>
      </c>
      <c r="C8478" t="s">
        <v>498</v>
      </c>
      <c r="D8478" t="str">
        <f>HYPERLINK("http://service.sap.com/sap/support/notes/1749867","1749867")</f>
        <v>1749867</v>
      </c>
      <c r="E8478">
        <v>1</v>
      </c>
      <c r="F8478" t="s">
        <v>7783</v>
      </c>
    </row>
    <row r="8479" spans="1:6" x14ac:dyDescent="0.25">
      <c r="A8479" t="s">
        <v>7758</v>
      </c>
      <c r="B8479" t="s">
        <v>497</v>
      </c>
      <c r="C8479" t="s">
        <v>498</v>
      </c>
      <c r="D8479" t="str">
        <f>HYPERLINK("http://service.sap.com/sap/support/notes/1876453","1876453")</f>
        <v>1876453</v>
      </c>
      <c r="E8479">
        <v>1</v>
      </c>
      <c r="F8479" t="s">
        <v>7784</v>
      </c>
    </row>
    <row r="8480" spans="1:6" x14ac:dyDescent="0.25">
      <c r="A8480" t="s">
        <v>7758</v>
      </c>
      <c r="B8480" t="s">
        <v>497</v>
      </c>
      <c r="C8480" t="s">
        <v>498</v>
      </c>
      <c r="D8480" t="str">
        <f>HYPERLINK("http://service.sap.com/sap/support/notes/1877804","1877804")</f>
        <v>1877804</v>
      </c>
      <c r="E8480">
        <v>1</v>
      </c>
      <c r="F8480" t="s">
        <v>7785</v>
      </c>
    </row>
    <row r="8481" spans="1:6" x14ac:dyDescent="0.25">
      <c r="A8481" t="s">
        <v>7758</v>
      </c>
      <c r="B8481" t="s">
        <v>497</v>
      </c>
      <c r="C8481" t="s">
        <v>498</v>
      </c>
      <c r="D8481" t="str">
        <f>HYPERLINK("http://service.sap.com/sap/support/notes/1878307","1878307")</f>
        <v>1878307</v>
      </c>
      <c r="E8481">
        <v>1</v>
      </c>
      <c r="F8481" t="s">
        <v>7786</v>
      </c>
    </row>
    <row r="8482" spans="1:6" x14ac:dyDescent="0.25">
      <c r="A8482" t="s">
        <v>7758</v>
      </c>
      <c r="B8482" t="s">
        <v>497</v>
      </c>
      <c r="C8482" t="s">
        <v>498</v>
      </c>
      <c r="D8482" t="str">
        <f>HYPERLINK("http://service.sap.com/sap/support/notes/1878902","1878902")</f>
        <v>1878902</v>
      </c>
      <c r="E8482">
        <v>1</v>
      </c>
      <c r="F8482" t="s">
        <v>7657</v>
      </c>
    </row>
    <row r="8483" spans="1:6" x14ac:dyDescent="0.25">
      <c r="A8483" t="s">
        <v>7758</v>
      </c>
      <c r="B8483" t="s">
        <v>497</v>
      </c>
      <c r="C8483" t="s">
        <v>498</v>
      </c>
      <c r="D8483" t="str">
        <f>HYPERLINK("http://service.sap.com/sap/support/notes/1878971","1878971")</f>
        <v>1878971</v>
      </c>
      <c r="E8483">
        <v>1</v>
      </c>
      <c r="F8483" t="s">
        <v>7787</v>
      </c>
    </row>
    <row r="8484" spans="1:6" x14ac:dyDescent="0.25">
      <c r="A8484" t="s">
        <v>7758</v>
      </c>
      <c r="B8484" t="s">
        <v>497</v>
      </c>
      <c r="C8484" t="s">
        <v>498</v>
      </c>
      <c r="D8484" t="str">
        <f>HYPERLINK("http://service.sap.com/sap/support/notes/1880387","1880387")</f>
        <v>1880387</v>
      </c>
      <c r="E8484">
        <v>1</v>
      </c>
      <c r="F8484" t="s">
        <v>7788</v>
      </c>
    </row>
    <row r="8485" spans="1:6" x14ac:dyDescent="0.25">
      <c r="A8485" t="s">
        <v>7758</v>
      </c>
      <c r="B8485" t="s">
        <v>497</v>
      </c>
      <c r="C8485" t="s">
        <v>498</v>
      </c>
      <c r="D8485" t="str">
        <f>HYPERLINK("http://service.sap.com/sap/support/notes/1881674","1881674")</f>
        <v>1881674</v>
      </c>
      <c r="E8485">
        <v>3</v>
      </c>
      <c r="F8485" t="s">
        <v>7789</v>
      </c>
    </row>
    <row r="8486" spans="1:6" x14ac:dyDescent="0.25">
      <c r="A8486" t="s">
        <v>7758</v>
      </c>
      <c r="B8486" t="s">
        <v>497</v>
      </c>
      <c r="C8486" t="s">
        <v>498</v>
      </c>
      <c r="D8486" t="str">
        <f>HYPERLINK("http://service.sap.com/sap/support/notes/1883835","1883835")</f>
        <v>1883835</v>
      </c>
      <c r="E8486">
        <v>2</v>
      </c>
      <c r="F8486" t="s">
        <v>7790</v>
      </c>
    </row>
    <row r="8487" spans="1:6" x14ac:dyDescent="0.25">
      <c r="A8487" t="s">
        <v>7758</v>
      </c>
      <c r="B8487" t="s">
        <v>497</v>
      </c>
      <c r="C8487" t="s">
        <v>498</v>
      </c>
      <c r="D8487" t="str">
        <f>HYPERLINK("http://service.sap.com/sap/support/notes/1883880","1883880")</f>
        <v>1883880</v>
      </c>
      <c r="E8487">
        <v>1</v>
      </c>
      <c r="F8487" t="s">
        <v>7791</v>
      </c>
    </row>
    <row r="8488" spans="1:6" x14ac:dyDescent="0.25">
      <c r="A8488" t="s">
        <v>7758</v>
      </c>
      <c r="B8488" t="s">
        <v>497</v>
      </c>
      <c r="C8488" t="s">
        <v>498</v>
      </c>
      <c r="D8488" t="str">
        <f>HYPERLINK("http://service.sap.com/sap/support/notes/1884035","1884035")</f>
        <v>1884035</v>
      </c>
      <c r="E8488">
        <v>2</v>
      </c>
      <c r="F8488" t="s">
        <v>7792</v>
      </c>
    </row>
    <row r="8489" spans="1:6" x14ac:dyDescent="0.25">
      <c r="A8489" t="s">
        <v>7758</v>
      </c>
      <c r="B8489" t="s">
        <v>497</v>
      </c>
      <c r="C8489" t="s">
        <v>498</v>
      </c>
      <c r="D8489" t="str">
        <f>HYPERLINK("http://service.sap.com/sap/support/notes/1885742","1885742")</f>
        <v>1885742</v>
      </c>
      <c r="E8489">
        <v>1</v>
      </c>
      <c r="F8489" t="s">
        <v>7793</v>
      </c>
    </row>
    <row r="8490" spans="1:6" x14ac:dyDescent="0.25">
      <c r="A8490" t="s">
        <v>7758</v>
      </c>
      <c r="B8490" t="s">
        <v>497</v>
      </c>
      <c r="C8490" t="s">
        <v>498</v>
      </c>
      <c r="D8490" t="str">
        <f>HYPERLINK("http://service.sap.com/sap/support/notes/1885791","1885791")</f>
        <v>1885791</v>
      </c>
      <c r="E8490">
        <v>1</v>
      </c>
      <c r="F8490" t="s">
        <v>7794</v>
      </c>
    </row>
    <row r="8491" spans="1:6" x14ac:dyDescent="0.25">
      <c r="A8491" t="s">
        <v>7758</v>
      </c>
      <c r="B8491" t="s">
        <v>497</v>
      </c>
      <c r="C8491" t="s">
        <v>498</v>
      </c>
      <c r="D8491" t="str">
        <f>HYPERLINK("http://service.sap.com/sap/support/notes/1886342","1886342")</f>
        <v>1886342</v>
      </c>
      <c r="E8491">
        <v>1</v>
      </c>
      <c r="F8491" t="s">
        <v>7795</v>
      </c>
    </row>
    <row r="8492" spans="1:6" x14ac:dyDescent="0.25">
      <c r="A8492" t="s">
        <v>7758</v>
      </c>
      <c r="B8492" t="s">
        <v>497</v>
      </c>
      <c r="C8492" t="s">
        <v>498</v>
      </c>
      <c r="D8492" t="str">
        <f>HYPERLINK("http://service.sap.com/sap/support/notes/1886980","1886980")</f>
        <v>1886980</v>
      </c>
      <c r="E8492">
        <v>1</v>
      </c>
      <c r="F8492" t="s">
        <v>7657</v>
      </c>
    </row>
    <row r="8493" spans="1:6" x14ac:dyDescent="0.25">
      <c r="A8493" t="s">
        <v>7758</v>
      </c>
      <c r="B8493" t="s">
        <v>497</v>
      </c>
      <c r="C8493" t="s">
        <v>498</v>
      </c>
      <c r="D8493" t="str">
        <f>HYPERLINK("http://service.sap.com/sap/support/notes/1887701","1887701")</f>
        <v>1887701</v>
      </c>
      <c r="E8493">
        <v>1</v>
      </c>
      <c r="F8493" t="s">
        <v>7796</v>
      </c>
    </row>
    <row r="8494" spans="1:6" x14ac:dyDescent="0.25">
      <c r="A8494" t="s">
        <v>7758</v>
      </c>
      <c r="B8494" t="s">
        <v>497</v>
      </c>
      <c r="C8494" t="s">
        <v>498</v>
      </c>
      <c r="D8494" t="str">
        <f>HYPERLINK("http://service.sap.com/sap/support/notes/1887707","1887707")</f>
        <v>1887707</v>
      </c>
      <c r="E8494">
        <v>1</v>
      </c>
      <c r="F8494" t="s">
        <v>7797</v>
      </c>
    </row>
    <row r="8495" spans="1:6" x14ac:dyDescent="0.25">
      <c r="A8495" t="s">
        <v>7758</v>
      </c>
      <c r="B8495" t="s">
        <v>497</v>
      </c>
      <c r="C8495" t="s">
        <v>498</v>
      </c>
      <c r="D8495" t="str">
        <f>HYPERLINK("http://service.sap.com/sap/support/notes/1888287","1888287")</f>
        <v>1888287</v>
      </c>
      <c r="E8495">
        <v>2</v>
      </c>
      <c r="F8495" t="s">
        <v>7798</v>
      </c>
    </row>
    <row r="8496" spans="1:6" x14ac:dyDescent="0.25">
      <c r="A8496" t="s">
        <v>7758</v>
      </c>
      <c r="B8496" t="s">
        <v>497</v>
      </c>
      <c r="C8496" t="s">
        <v>498</v>
      </c>
      <c r="D8496" t="str">
        <f>HYPERLINK("http://service.sap.com/sap/support/notes/1888288","1888288")</f>
        <v>1888288</v>
      </c>
      <c r="E8496">
        <v>1</v>
      </c>
      <c r="F8496" t="s">
        <v>7799</v>
      </c>
    </row>
    <row r="8497" spans="1:6" x14ac:dyDescent="0.25">
      <c r="A8497" t="s">
        <v>7758</v>
      </c>
      <c r="B8497" t="s">
        <v>656</v>
      </c>
      <c r="C8497" t="s">
        <v>657</v>
      </c>
      <c r="D8497" t="str">
        <f>HYPERLINK("http://service.sap.com/sap/support/notes/1803047","1803047")</f>
        <v>1803047</v>
      </c>
      <c r="E8497">
        <v>2</v>
      </c>
      <c r="F8497" t="s">
        <v>7161</v>
      </c>
    </row>
    <row r="8498" spans="1:6" x14ac:dyDescent="0.25">
      <c r="A8498" t="s">
        <v>7758</v>
      </c>
      <c r="B8498" t="s">
        <v>656</v>
      </c>
      <c r="C8498" t="s">
        <v>657</v>
      </c>
      <c r="D8498" t="str">
        <f>HYPERLINK("http://service.sap.com/sap/support/notes/1868035","1868035")</f>
        <v>1868035</v>
      </c>
      <c r="E8498">
        <v>1</v>
      </c>
      <c r="F8498" t="s">
        <v>7800</v>
      </c>
    </row>
    <row r="8499" spans="1:6" x14ac:dyDescent="0.25">
      <c r="A8499" t="s">
        <v>7758</v>
      </c>
      <c r="B8499" t="s">
        <v>656</v>
      </c>
      <c r="C8499" t="s">
        <v>657</v>
      </c>
      <c r="D8499" t="str">
        <f>HYPERLINK("http://service.sap.com/sap/support/notes/1871870","1871870")</f>
        <v>1871870</v>
      </c>
      <c r="E8499">
        <v>2</v>
      </c>
      <c r="F8499" t="s">
        <v>7801</v>
      </c>
    </row>
    <row r="8500" spans="1:6" x14ac:dyDescent="0.25">
      <c r="A8500" t="s">
        <v>7758</v>
      </c>
      <c r="B8500" t="s">
        <v>656</v>
      </c>
      <c r="C8500" t="s">
        <v>657</v>
      </c>
      <c r="D8500" t="str">
        <f>HYPERLINK("http://service.sap.com/sap/support/notes/1879195","1879195")</f>
        <v>1879195</v>
      </c>
      <c r="E8500">
        <v>1</v>
      </c>
      <c r="F8500" t="s">
        <v>7802</v>
      </c>
    </row>
    <row r="8501" spans="1:6" x14ac:dyDescent="0.25">
      <c r="A8501" t="s">
        <v>7758</v>
      </c>
      <c r="B8501" t="s">
        <v>656</v>
      </c>
      <c r="C8501" t="s">
        <v>657</v>
      </c>
      <c r="D8501" t="str">
        <f>HYPERLINK("http://service.sap.com/sap/support/notes/1879265","1879265")</f>
        <v>1879265</v>
      </c>
      <c r="E8501">
        <v>2</v>
      </c>
      <c r="F8501" t="s">
        <v>7653</v>
      </c>
    </row>
    <row r="8502" spans="1:6" x14ac:dyDescent="0.25">
      <c r="A8502" t="s">
        <v>7758</v>
      </c>
      <c r="B8502" t="s">
        <v>656</v>
      </c>
      <c r="C8502" t="s">
        <v>657</v>
      </c>
      <c r="D8502" t="str">
        <f>HYPERLINK("http://service.sap.com/sap/support/notes/1879617","1879617")</f>
        <v>1879617</v>
      </c>
      <c r="E8502">
        <v>1</v>
      </c>
      <c r="F8502" t="s">
        <v>7803</v>
      </c>
    </row>
    <row r="8503" spans="1:6" x14ac:dyDescent="0.25">
      <c r="A8503" t="s">
        <v>7758</v>
      </c>
      <c r="B8503" t="s">
        <v>656</v>
      </c>
      <c r="C8503" t="s">
        <v>657</v>
      </c>
      <c r="D8503" t="str">
        <f>HYPERLINK("http://service.sap.com/sap/support/notes/1880281","1880281")</f>
        <v>1880281</v>
      </c>
      <c r="E8503">
        <v>2</v>
      </c>
      <c r="F8503" t="s">
        <v>7804</v>
      </c>
    </row>
    <row r="8504" spans="1:6" x14ac:dyDescent="0.25">
      <c r="A8504" t="s">
        <v>7758</v>
      </c>
      <c r="B8504" t="s">
        <v>656</v>
      </c>
      <c r="C8504" t="s">
        <v>657</v>
      </c>
      <c r="D8504" t="str">
        <f>HYPERLINK("http://service.sap.com/sap/support/notes/1880592","1880592")</f>
        <v>1880592</v>
      </c>
      <c r="E8504">
        <v>1</v>
      </c>
      <c r="F8504" t="s">
        <v>7805</v>
      </c>
    </row>
    <row r="8505" spans="1:6" x14ac:dyDescent="0.25">
      <c r="A8505" t="s">
        <v>7758</v>
      </c>
      <c r="B8505" t="s">
        <v>656</v>
      </c>
      <c r="C8505" t="s">
        <v>657</v>
      </c>
      <c r="D8505" t="str">
        <f>HYPERLINK("http://service.sap.com/sap/support/notes/1881184","1881184")</f>
        <v>1881184</v>
      </c>
      <c r="E8505">
        <v>2</v>
      </c>
      <c r="F8505" t="s">
        <v>7806</v>
      </c>
    </row>
    <row r="8506" spans="1:6" x14ac:dyDescent="0.25">
      <c r="A8506" t="s">
        <v>7758</v>
      </c>
      <c r="B8506" t="s">
        <v>656</v>
      </c>
      <c r="C8506" t="s">
        <v>657</v>
      </c>
      <c r="D8506" t="str">
        <f>HYPERLINK("http://service.sap.com/sap/support/notes/1883979","1883979")</f>
        <v>1883979</v>
      </c>
      <c r="E8506">
        <v>1</v>
      </c>
      <c r="F8506" t="s">
        <v>7807</v>
      </c>
    </row>
    <row r="8507" spans="1:6" x14ac:dyDescent="0.25">
      <c r="A8507" t="s">
        <v>7758</v>
      </c>
      <c r="B8507" t="s">
        <v>656</v>
      </c>
      <c r="C8507" t="s">
        <v>657</v>
      </c>
      <c r="D8507" t="str">
        <f>HYPERLINK("http://service.sap.com/sap/support/notes/1884770","1884770")</f>
        <v>1884770</v>
      </c>
      <c r="E8507">
        <v>3</v>
      </c>
      <c r="F8507" t="s">
        <v>7808</v>
      </c>
    </row>
    <row r="8508" spans="1:6" x14ac:dyDescent="0.25">
      <c r="A8508" t="s">
        <v>7758</v>
      </c>
      <c r="B8508" t="s">
        <v>656</v>
      </c>
      <c r="C8508" t="s">
        <v>657</v>
      </c>
      <c r="D8508" t="str">
        <f>HYPERLINK("http://service.sap.com/sap/support/notes/1885183","1885183")</f>
        <v>1885183</v>
      </c>
      <c r="E8508">
        <v>1</v>
      </c>
      <c r="F8508" t="s">
        <v>7809</v>
      </c>
    </row>
    <row r="8509" spans="1:6" x14ac:dyDescent="0.25">
      <c r="A8509" t="s">
        <v>7758</v>
      </c>
      <c r="B8509" t="s">
        <v>656</v>
      </c>
      <c r="C8509" t="s">
        <v>657</v>
      </c>
      <c r="D8509" t="str">
        <f>HYPERLINK("http://service.sap.com/sap/support/notes/1887748","1887748")</f>
        <v>1887748</v>
      </c>
      <c r="E8509">
        <v>2</v>
      </c>
      <c r="F8509" t="s">
        <v>7810</v>
      </c>
    </row>
    <row r="8510" spans="1:6" x14ac:dyDescent="0.25">
      <c r="A8510" t="s">
        <v>7758</v>
      </c>
      <c r="B8510" t="s">
        <v>656</v>
      </c>
      <c r="C8510" t="s">
        <v>657</v>
      </c>
      <c r="D8510" t="str">
        <f>HYPERLINK("http://service.sap.com/sap/support/notes/1887893","1887893")</f>
        <v>1887893</v>
      </c>
      <c r="E8510">
        <v>1</v>
      </c>
      <c r="F8510" t="s">
        <v>7808</v>
      </c>
    </row>
    <row r="8511" spans="1:6" x14ac:dyDescent="0.25">
      <c r="A8511" t="s">
        <v>7758</v>
      </c>
      <c r="B8511" t="s">
        <v>656</v>
      </c>
      <c r="C8511" t="s">
        <v>657</v>
      </c>
      <c r="D8511" t="str">
        <f>HYPERLINK("http://service.sap.com/sap/support/notes/1888316","1888316")</f>
        <v>1888316</v>
      </c>
      <c r="E8511">
        <v>2</v>
      </c>
      <c r="F8511" t="s">
        <v>7811</v>
      </c>
    </row>
    <row r="8512" spans="1:6" x14ac:dyDescent="0.25">
      <c r="A8512" t="s">
        <v>7758</v>
      </c>
      <c r="B8512" t="s">
        <v>656</v>
      </c>
      <c r="C8512" t="s">
        <v>657</v>
      </c>
      <c r="D8512" t="str">
        <f>HYPERLINK("http://service.sap.com/sap/support/notes/1888351","1888351")</f>
        <v>1888351</v>
      </c>
      <c r="E8512">
        <v>1</v>
      </c>
      <c r="F8512" t="s">
        <v>7812</v>
      </c>
    </row>
    <row r="8513" spans="1:6" x14ac:dyDescent="0.25">
      <c r="A8513" t="s">
        <v>7758</v>
      </c>
      <c r="B8513" t="s">
        <v>694</v>
      </c>
      <c r="C8513" t="s">
        <v>695</v>
      </c>
      <c r="D8513" t="str">
        <f>HYPERLINK("http://service.sap.com/sap/support/notes/1869074","1869074")</f>
        <v>1869074</v>
      </c>
      <c r="E8513">
        <v>2</v>
      </c>
      <c r="F8513" t="s">
        <v>7813</v>
      </c>
    </row>
    <row r="8514" spans="1:6" x14ac:dyDescent="0.25">
      <c r="A8514" t="s">
        <v>7758</v>
      </c>
      <c r="B8514" t="s">
        <v>694</v>
      </c>
      <c r="C8514" t="s">
        <v>695</v>
      </c>
      <c r="D8514" t="str">
        <f>HYPERLINK("http://service.sap.com/sap/support/notes/1882080","1882080")</f>
        <v>1882080</v>
      </c>
      <c r="E8514">
        <v>2</v>
      </c>
      <c r="F8514" t="s">
        <v>7814</v>
      </c>
    </row>
    <row r="8515" spans="1:6" x14ac:dyDescent="0.25">
      <c r="A8515" t="s">
        <v>7758</v>
      </c>
      <c r="B8515" t="s">
        <v>694</v>
      </c>
      <c r="C8515" t="s">
        <v>695</v>
      </c>
      <c r="D8515" t="str">
        <f>HYPERLINK("http://service.sap.com/sap/support/notes/1883322","1883322")</f>
        <v>1883322</v>
      </c>
      <c r="E8515">
        <v>2</v>
      </c>
      <c r="F8515" t="s">
        <v>7815</v>
      </c>
    </row>
    <row r="8516" spans="1:6" x14ac:dyDescent="0.25">
      <c r="A8516" t="s">
        <v>7758</v>
      </c>
      <c r="B8516" t="s">
        <v>694</v>
      </c>
      <c r="C8516" t="s">
        <v>695</v>
      </c>
      <c r="D8516" t="str">
        <f>HYPERLINK("http://service.sap.com/sap/support/notes/1883943","1883943")</f>
        <v>1883943</v>
      </c>
      <c r="E8516">
        <v>1</v>
      </c>
      <c r="F8516" t="s">
        <v>7816</v>
      </c>
    </row>
    <row r="8517" spans="1:6" x14ac:dyDescent="0.25">
      <c r="A8517" t="s">
        <v>7758</v>
      </c>
      <c r="B8517" t="s">
        <v>694</v>
      </c>
      <c r="C8517" t="s">
        <v>695</v>
      </c>
      <c r="D8517" t="str">
        <f>HYPERLINK("http://service.sap.com/sap/support/notes/1885207","1885207")</f>
        <v>1885207</v>
      </c>
      <c r="E8517">
        <v>2</v>
      </c>
      <c r="F8517" t="s">
        <v>7817</v>
      </c>
    </row>
    <row r="8518" spans="1:6" x14ac:dyDescent="0.25">
      <c r="A8518" t="s">
        <v>7758</v>
      </c>
      <c r="B8518" t="s">
        <v>5795</v>
      </c>
      <c r="C8518" t="s">
        <v>5796</v>
      </c>
      <c r="D8518" t="str">
        <f>HYPERLINK("http://service.sap.com/sap/support/notes/1884178","1884178")</f>
        <v>1884178</v>
      </c>
      <c r="E8518">
        <v>1</v>
      </c>
      <c r="F8518" t="s">
        <v>7818</v>
      </c>
    </row>
    <row r="8519" spans="1:6" x14ac:dyDescent="0.25">
      <c r="A8519" t="s">
        <v>7758</v>
      </c>
      <c r="B8519" t="s">
        <v>5795</v>
      </c>
      <c r="C8519" t="s">
        <v>5796</v>
      </c>
      <c r="D8519" t="str">
        <f>HYPERLINK("http://service.sap.com/sap/support/notes/1886310","1886310")</f>
        <v>1886310</v>
      </c>
      <c r="E8519">
        <v>2</v>
      </c>
      <c r="F8519" t="s">
        <v>7819</v>
      </c>
    </row>
    <row r="8520" spans="1:6" x14ac:dyDescent="0.25">
      <c r="A8520" t="s">
        <v>7758</v>
      </c>
      <c r="B8520" t="s">
        <v>5795</v>
      </c>
      <c r="C8520" t="s">
        <v>5796</v>
      </c>
      <c r="D8520" t="str">
        <f>HYPERLINK("http://service.sap.com/sap/support/notes/1888411","1888411")</f>
        <v>1888411</v>
      </c>
      <c r="E8520">
        <v>1</v>
      </c>
      <c r="F8520" t="s">
        <v>7820</v>
      </c>
    </row>
    <row r="8521" spans="1:6" x14ac:dyDescent="0.25">
      <c r="A8521" t="s">
        <v>7758</v>
      </c>
      <c r="B8521" t="s">
        <v>5798</v>
      </c>
      <c r="C8521" t="s">
        <v>5799</v>
      </c>
      <c r="D8521" t="str">
        <f>HYPERLINK("http://service.sap.com/sap/support/notes/1887616","1887616")</f>
        <v>1887616</v>
      </c>
      <c r="E8521">
        <v>1</v>
      </c>
      <c r="F8521" t="s">
        <v>7821</v>
      </c>
    </row>
    <row r="8522" spans="1:6" x14ac:dyDescent="0.25">
      <c r="A8522" t="s">
        <v>7758</v>
      </c>
      <c r="B8522" t="s">
        <v>24</v>
      </c>
      <c r="C8522" t="s">
        <v>10</v>
      </c>
    </row>
    <row r="8523" spans="1:6" x14ac:dyDescent="0.25">
      <c r="A8523" t="s">
        <v>7758</v>
      </c>
      <c r="B8523" t="s">
        <v>5505</v>
      </c>
      <c r="C8523" t="s">
        <v>5506</v>
      </c>
      <c r="D8523" t="str">
        <f>HYPERLINK("http://service.sap.com/sap/support/notes/1728039","1728039")</f>
        <v>1728039</v>
      </c>
      <c r="E8523">
        <v>2</v>
      </c>
      <c r="F8523" t="s">
        <v>7822</v>
      </c>
    </row>
    <row r="8524" spans="1:6" x14ac:dyDescent="0.25">
      <c r="A8524" t="s">
        <v>7758</v>
      </c>
      <c r="B8524" t="s">
        <v>5505</v>
      </c>
      <c r="C8524" t="s">
        <v>5506</v>
      </c>
      <c r="D8524" t="str">
        <f>HYPERLINK("http://service.sap.com/sap/support/notes/1770246","1770246")</f>
        <v>1770246</v>
      </c>
      <c r="E8524">
        <v>5</v>
      </c>
      <c r="F8524" t="s">
        <v>6416</v>
      </c>
    </row>
    <row r="8525" spans="1:6" x14ac:dyDescent="0.25">
      <c r="A8525" t="s">
        <v>7758</v>
      </c>
      <c r="B8525" t="s">
        <v>5505</v>
      </c>
      <c r="C8525" t="s">
        <v>5506</v>
      </c>
      <c r="D8525" t="str">
        <f>HYPERLINK("http://service.sap.com/sap/support/notes/1822338","1822338")</f>
        <v>1822338</v>
      </c>
      <c r="E8525">
        <v>1</v>
      </c>
      <c r="F8525" t="s">
        <v>7026</v>
      </c>
    </row>
    <row r="8526" spans="1:6" x14ac:dyDescent="0.25">
      <c r="A8526" t="s">
        <v>7758</v>
      </c>
      <c r="B8526" t="s">
        <v>5505</v>
      </c>
      <c r="C8526" t="s">
        <v>5506</v>
      </c>
      <c r="D8526" t="str">
        <f>HYPERLINK("http://service.sap.com/sap/support/notes/1877371","1877371")</f>
        <v>1877371</v>
      </c>
      <c r="E8526">
        <v>1</v>
      </c>
      <c r="F8526" t="s">
        <v>7823</v>
      </c>
    </row>
    <row r="8527" spans="1:6" x14ac:dyDescent="0.25">
      <c r="A8527" t="s">
        <v>7758</v>
      </c>
      <c r="B8527" t="s">
        <v>5505</v>
      </c>
      <c r="C8527" t="s">
        <v>5506</v>
      </c>
      <c r="D8527" t="str">
        <f>HYPERLINK("http://service.sap.com/sap/support/notes/1878366","1878366")</f>
        <v>1878366</v>
      </c>
      <c r="E8527">
        <v>1</v>
      </c>
      <c r="F8527" t="s">
        <v>7824</v>
      </c>
    </row>
    <row r="8528" spans="1:6" x14ac:dyDescent="0.25">
      <c r="A8528" t="s">
        <v>7758</v>
      </c>
      <c r="B8528" t="s">
        <v>5505</v>
      </c>
      <c r="C8528" t="s">
        <v>5506</v>
      </c>
      <c r="D8528" t="str">
        <f>HYPERLINK("http://service.sap.com/sap/support/notes/1878588","1878588")</f>
        <v>1878588</v>
      </c>
      <c r="E8528">
        <v>1</v>
      </c>
      <c r="F8528" t="s">
        <v>7825</v>
      </c>
    </row>
    <row r="8529" spans="1:6" x14ac:dyDescent="0.25">
      <c r="A8529" t="s">
        <v>7758</v>
      </c>
      <c r="B8529" t="s">
        <v>5505</v>
      </c>
      <c r="C8529" t="s">
        <v>5506</v>
      </c>
      <c r="D8529" t="str">
        <f>HYPERLINK("http://service.sap.com/sap/support/notes/1881531","1881531")</f>
        <v>1881531</v>
      </c>
      <c r="E8529">
        <v>2</v>
      </c>
      <c r="F8529" t="s">
        <v>7826</v>
      </c>
    </row>
    <row r="8530" spans="1:6" x14ac:dyDescent="0.25">
      <c r="A8530" t="s">
        <v>7758</v>
      </c>
      <c r="B8530" t="s">
        <v>5505</v>
      </c>
      <c r="C8530" t="s">
        <v>5506</v>
      </c>
      <c r="D8530" t="str">
        <f>HYPERLINK("http://service.sap.com/sap/support/notes/1881693","1881693")</f>
        <v>1881693</v>
      </c>
      <c r="E8530">
        <v>1</v>
      </c>
      <c r="F8530" t="s">
        <v>7827</v>
      </c>
    </row>
    <row r="8531" spans="1:6" x14ac:dyDescent="0.25">
      <c r="A8531" t="s">
        <v>7758</v>
      </c>
      <c r="B8531" t="s">
        <v>5505</v>
      </c>
      <c r="C8531" t="s">
        <v>5506</v>
      </c>
      <c r="D8531" t="str">
        <f>HYPERLINK("http://service.sap.com/sap/support/notes/1886080","1886080")</f>
        <v>1886080</v>
      </c>
      <c r="E8531">
        <v>1</v>
      </c>
      <c r="F8531" t="s">
        <v>7828</v>
      </c>
    </row>
    <row r="8532" spans="1:6" x14ac:dyDescent="0.25">
      <c r="A8532" t="s">
        <v>7758</v>
      </c>
      <c r="B8532" t="s">
        <v>5505</v>
      </c>
      <c r="C8532" t="s">
        <v>5506</v>
      </c>
      <c r="D8532" t="str">
        <f>HYPERLINK("http://service.sap.com/sap/support/notes/1886410","1886410")</f>
        <v>1886410</v>
      </c>
      <c r="E8532">
        <v>2</v>
      </c>
      <c r="F8532" t="s">
        <v>7829</v>
      </c>
    </row>
    <row r="8533" spans="1:6" x14ac:dyDescent="0.25">
      <c r="A8533" t="s">
        <v>7758</v>
      </c>
      <c r="B8533" t="s">
        <v>5505</v>
      </c>
      <c r="C8533" t="s">
        <v>5506</v>
      </c>
      <c r="D8533" t="str">
        <f>HYPERLINK("http://service.sap.com/sap/support/notes/1888048","1888048")</f>
        <v>1888048</v>
      </c>
      <c r="E8533">
        <v>1</v>
      </c>
      <c r="F8533" t="s">
        <v>7830</v>
      </c>
    </row>
    <row r="8534" spans="1:6" x14ac:dyDescent="0.25">
      <c r="A8534" t="s">
        <v>7758</v>
      </c>
      <c r="B8534" t="s">
        <v>5514</v>
      </c>
      <c r="C8534" t="s">
        <v>5515</v>
      </c>
      <c r="D8534" t="str">
        <f>HYPERLINK("http://service.sap.com/sap/support/notes/1865386","1865386")</f>
        <v>1865386</v>
      </c>
      <c r="E8534">
        <v>2</v>
      </c>
      <c r="F8534" t="s">
        <v>7831</v>
      </c>
    </row>
    <row r="8535" spans="1:6" x14ac:dyDescent="0.25">
      <c r="A8535" t="s">
        <v>7758</v>
      </c>
      <c r="B8535" t="s">
        <v>5514</v>
      </c>
      <c r="C8535" t="s">
        <v>5515</v>
      </c>
      <c r="D8535" t="str">
        <f>HYPERLINK("http://service.sap.com/sap/support/notes/1886514","1886514")</f>
        <v>1886514</v>
      </c>
      <c r="E8535">
        <v>3</v>
      </c>
      <c r="F8535" t="s">
        <v>7832</v>
      </c>
    </row>
    <row r="8536" spans="1:6" x14ac:dyDescent="0.25">
      <c r="A8536" t="s">
        <v>7758</v>
      </c>
      <c r="B8536" t="s">
        <v>5524</v>
      </c>
      <c r="C8536" t="s">
        <v>5525</v>
      </c>
      <c r="D8536" t="str">
        <f>HYPERLINK("http://service.sap.com/sap/support/notes/1877542","1877542")</f>
        <v>1877542</v>
      </c>
      <c r="E8536">
        <v>3</v>
      </c>
      <c r="F8536" t="s">
        <v>7833</v>
      </c>
    </row>
    <row r="8537" spans="1:6" x14ac:dyDescent="0.25">
      <c r="A8537" t="s">
        <v>7758</v>
      </c>
      <c r="B8537" t="s">
        <v>5524</v>
      </c>
      <c r="C8537" t="s">
        <v>5525</v>
      </c>
      <c r="D8537" t="str">
        <f>HYPERLINK("http://service.sap.com/sap/support/notes/1878117","1878117")</f>
        <v>1878117</v>
      </c>
      <c r="E8537">
        <v>1</v>
      </c>
      <c r="F8537" t="s">
        <v>7834</v>
      </c>
    </row>
    <row r="8538" spans="1:6" x14ac:dyDescent="0.25">
      <c r="A8538" t="s">
        <v>7758</v>
      </c>
      <c r="B8538" t="s">
        <v>5524</v>
      </c>
      <c r="C8538" t="s">
        <v>5525</v>
      </c>
      <c r="D8538" t="str">
        <f>HYPERLINK("http://service.sap.com/sap/support/notes/1883465","1883465")</f>
        <v>1883465</v>
      </c>
      <c r="E8538">
        <v>2</v>
      </c>
      <c r="F8538" t="s">
        <v>7835</v>
      </c>
    </row>
    <row r="8539" spans="1:6" x14ac:dyDescent="0.25">
      <c r="A8539" t="s">
        <v>7758</v>
      </c>
      <c r="B8539" t="s">
        <v>5524</v>
      </c>
      <c r="C8539" t="s">
        <v>5525</v>
      </c>
      <c r="D8539" t="str">
        <f>HYPERLINK("http://service.sap.com/sap/support/notes/1889083","1889083")</f>
        <v>1889083</v>
      </c>
      <c r="E8539">
        <v>1</v>
      </c>
      <c r="F8539" t="s">
        <v>7836</v>
      </c>
    </row>
    <row r="8540" spans="1:6" x14ac:dyDescent="0.25">
      <c r="A8540" t="s">
        <v>7758</v>
      </c>
      <c r="B8540" t="s">
        <v>5532</v>
      </c>
      <c r="C8540" t="s">
        <v>5533</v>
      </c>
      <c r="D8540" t="str">
        <f>HYPERLINK("http://service.sap.com/sap/support/notes/1887687","1887687")</f>
        <v>1887687</v>
      </c>
      <c r="E8540">
        <v>2</v>
      </c>
      <c r="F8540" t="s">
        <v>7837</v>
      </c>
    </row>
    <row r="8541" spans="1:6" x14ac:dyDescent="0.25">
      <c r="A8541" t="s">
        <v>7758</v>
      </c>
      <c r="B8541" t="s">
        <v>5539</v>
      </c>
      <c r="C8541" t="s">
        <v>5540</v>
      </c>
    </row>
    <row r="8542" spans="1:6" x14ac:dyDescent="0.25">
      <c r="A8542" t="s">
        <v>7758</v>
      </c>
      <c r="B8542" t="s">
        <v>5541</v>
      </c>
      <c r="C8542" t="s">
        <v>5542</v>
      </c>
      <c r="D8542" t="str">
        <f>HYPERLINK("http://service.sap.com/sap/support/notes/1879006","1879006")</f>
        <v>1879006</v>
      </c>
      <c r="E8542">
        <v>1</v>
      </c>
      <c r="F8542" t="s">
        <v>7838</v>
      </c>
    </row>
    <row r="8543" spans="1:6" x14ac:dyDescent="0.25">
      <c r="A8543" t="s">
        <v>7758</v>
      </c>
      <c r="B8543" t="s">
        <v>5541</v>
      </c>
      <c r="C8543" t="s">
        <v>5542</v>
      </c>
      <c r="D8543" t="str">
        <f>HYPERLINK("http://service.sap.com/sap/support/notes/1881068","1881068")</f>
        <v>1881068</v>
      </c>
      <c r="E8543">
        <v>3</v>
      </c>
      <c r="F8543" t="s">
        <v>7839</v>
      </c>
    </row>
    <row r="8544" spans="1:6" x14ac:dyDescent="0.25">
      <c r="A8544" t="s">
        <v>7758</v>
      </c>
      <c r="B8544" t="s">
        <v>5541</v>
      </c>
      <c r="C8544" t="s">
        <v>5542</v>
      </c>
      <c r="D8544" t="str">
        <f>HYPERLINK("http://service.sap.com/sap/support/notes/1885603","1885603")</f>
        <v>1885603</v>
      </c>
      <c r="E8544">
        <v>2</v>
      </c>
      <c r="F8544" t="s">
        <v>7840</v>
      </c>
    </row>
    <row r="8545" spans="1:6" x14ac:dyDescent="0.25">
      <c r="A8545" t="s">
        <v>7758</v>
      </c>
      <c r="B8545" t="s">
        <v>5541</v>
      </c>
      <c r="C8545" t="s">
        <v>5542</v>
      </c>
      <c r="D8545" t="str">
        <f>HYPERLINK("http://service.sap.com/sap/support/notes/1885817","1885817")</f>
        <v>1885817</v>
      </c>
      <c r="E8545">
        <v>1</v>
      </c>
      <c r="F8545" t="s">
        <v>7841</v>
      </c>
    </row>
    <row r="8546" spans="1:6" x14ac:dyDescent="0.25">
      <c r="A8546" t="s">
        <v>7758</v>
      </c>
      <c r="B8546" t="s">
        <v>5541</v>
      </c>
      <c r="C8546" t="s">
        <v>5542</v>
      </c>
      <c r="D8546" t="str">
        <f>HYPERLINK("http://service.sap.com/sap/support/notes/1885834","1885834")</f>
        <v>1885834</v>
      </c>
      <c r="E8546">
        <v>1</v>
      </c>
      <c r="F8546" t="s">
        <v>7842</v>
      </c>
    </row>
    <row r="8547" spans="1:6" x14ac:dyDescent="0.25">
      <c r="A8547" t="s">
        <v>7758</v>
      </c>
      <c r="B8547" t="s">
        <v>5541</v>
      </c>
      <c r="C8547" t="s">
        <v>5542</v>
      </c>
      <c r="D8547" t="str">
        <f>HYPERLINK("http://service.sap.com/sap/support/notes/1886234","1886234")</f>
        <v>1886234</v>
      </c>
      <c r="E8547">
        <v>1</v>
      </c>
      <c r="F8547" t="s">
        <v>7843</v>
      </c>
    </row>
    <row r="8548" spans="1:6" x14ac:dyDescent="0.25">
      <c r="A8548" t="s">
        <v>7758</v>
      </c>
      <c r="B8548" t="s">
        <v>5541</v>
      </c>
      <c r="C8548" t="s">
        <v>5542</v>
      </c>
      <c r="D8548" t="str">
        <f>HYPERLINK("http://service.sap.com/sap/support/notes/1887603","1887603")</f>
        <v>1887603</v>
      </c>
      <c r="E8548">
        <v>1</v>
      </c>
      <c r="F8548" t="s">
        <v>7844</v>
      </c>
    </row>
    <row r="8549" spans="1:6" x14ac:dyDescent="0.25">
      <c r="A8549" t="s">
        <v>7758</v>
      </c>
      <c r="B8549" t="s">
        <v>5546</v>
      </c>
      <c r="C8549" t="s">
        <v>5547</v>
      </c>
      <c r="D8549" t="str">
        <f>HYPERLINK("http://service.sap.com/sap/support/notes/1878760","1878760")</f>
        <v>1878760</v>
      </c>
      <c r="E8549">
        <v>1</v>
      </c>
      <c r="F8549" t="s">
        <v>7845</v>
      </c>
    </row>
    <row r="8550" spans="1:6" x14ac:dyDescent="0.25">
      <c r="A8550" t="s">
        <v>7758</v>
      </c>
      <c r="B8550" t="s">
        <v>5546</v>
      </c>
      <c r="C8550" t="s">
        <v>5547</v>
      </c>
      <c r="D8550" t="str">
        <f>HYPERLINK("http://service.sap.com/sap/support/notes/1881320","1881320")</f>
        <v>1881320</v>
      </c>
      <c r="E8550">
        <v>2</v>
      </c>
      <c r="F8550" t="s">
        <v>7846</v>
      </c>
    </row>
    <row r="8551" spans="1:6" x14ac:dyDescent="0.25">
      <c r="A8551" t="s">
        <v>7758</v>
      </c>
      <c r="B8551" t="s">
        <v>5546</v>
      </c>
      <c r="C8551" t="s">
        <v>5547</v>
      </c>
      <c r="D8551" t="str">
        <f>HYPERLINK("http://service.sap.com/sap/support/notes/1881508","1881508")</f>
        <v>1881508</v>
      </c>
      <c r="E8551">
        <v>1</v>
      </c>
      <c r="F8551" t="s">
        <v>7847</v>
      </c>
    </row>
    <row r="8552" spans="1:6" x14ac:dyDescent="0.25">
      <c r="A8552" t="s">
        <v>7758</v>
      </c>
      <c r="B8552" t="s">
        <v>5546</v>
      </c>
      <c r="C8552" t="s">
        <v>5547</v>
      </c>
      <c r="D8552" t="str">
        <f>HYPERLINK("http://service.sap.com/sap/support/notes/1884533","1884533")</f>
        <v>1884533</v>
      </c>
      <c r="E8552">
        <v>2</v>
      </c>
      <c r="F8552" t="s">
        <v>7848</v>
      </c>
    </row>
    <row r="8553" spans="1:6" x14ac:dyDescent="0.25">
      <c r="A8553" t="s">
        <v>7758</v>
      </c>
      <c r="B8553" t="s">
        <v>5546</v>
      </c>
      <c r="C8553" t="s">
        <v>5547</v>
      </c>
      <c r="D8553" t="str">
        <f>HYPERLINK("http://service.sap.com/sap/support/notes/1887507","1887507")</f>
        <v>1887507</v>
      </c>
      <c r="E8553">
        <v>2</v>
      </c>
      <c r="F8553" t="s">
        <v>7849</v>
      </c>
    </row>
    <row r="8554" spans="1:6" x14ac:dyDescent="0.25">
      <c r="A8554" t="s">
        <v>7758</v>
      </c>
      <c r="B8554" t="s">
        <v>5558</v>
      </c>
      <c r="C8554" t="s">
        <v>5559</v>
      </c>
      <c r="D8554" t="str">
        <f>HYPERLINK("http://service.sap.com/sap/support/notes/1869402","1869402")</f>
        <v>1869402</v>
      </c>
      <c r="E8554">
        <v>3</v>
      </c>
      <c r="F8554" t="s">
        <v>7850</v>
      </c>
    </row>
    <row r="8555" spans="1:6" x14ac:dyDescent="0.25">
      <c r="A8555" t="s">
        <v>7758</v>
      </c>
      <c r="B8555" t="s">
        <v>5558</v>
      </c>
      <c r="C8555" t="s">
        <v>5559</v>
      </c>
      <c r="D8555" t="str">
        <f>HYPERLINK("http://service.sap.com/sap/support/notes/1883260","1883260")</f>
        <v>1883260</v>
      </c>
      <c r="E8555">
        <v>1</v>
      </c>
      <c r="F8555" t="s">
        <v>7851</v>
      </c>
    </row>
    <row r="8556" spans="1:6" x14ac:dyDescent="0.25">
      <c r="A8556" t="s">
        <v>7758</v>
      </c>
      <c r="B8556" t="s">
        <v>512</v>
      </c>
      <c r="C8556" t="s">
        <v>513</v>
      </c>
      <c r="D8556" t="str">
        <f>HYPERLINK("http://service.sap.com/sap/support/notes/1883198","1883198")</f>
        <v>1883198</v>
      </c>
      <c r="E8556">
        <v>1</v>
      </c>
      <c r="F8556" t="s">
        <v>7852</v>
      </c>
    </row>
    <row r="8557" spans="1:6" x14ac:dyDescent="0.25">
      <c r="A8557" t="s">
        <v>7758</v>
      </c>
      <c r="B8557" t="s">
        <v>512</v>
      </c>
      <c r="C8557" t="s">
        <v>513</v>
      </c>
      <c r="D8557" t="str">
        <f>HYPERLINK("http://service.sap.com/sap/support/notes/1885852","1885852")</f>
        <v>1885852</v>
      </c>
      <c r="E8557">
        <v>1</v>
      </c>
      <c r="F8557" t="s">
        <v>7853</v>
      </c>
    </row>
    <row r="8558" spans="1:6" x14ac:dyDescent="0.25">
      <c r="A8558" t="s">
        <v>7758</v>
      </c>
      <c r="B8558" t="s">
        <v>512</v>
      </c>
      <c r="C8558" t="s">
        <v>513</v>
      </c>
      <c r="D8558" t="str">
        <f>HYPERLINK("http://service.sap.com/sap/support/notes/1887637","1887637")</f>
        <v>1887637</v>
      </c>
      <c r="E8558">
        <v>2</v>
      </c>
      <c r="F8558" t="s">
        <v>7854</v>
      </c>
    </row>
    <row r="8559" spans="1:6" x14ac:dyDescent="0.25">
      <c r="A8559" t="s">
        <v>7758</v>
      </c>
      <c r="B8559" t="s">
        <v>512</v>
      </c>
      <c r="C8559" t="s">
        <v>513</v>
      </c>
      <c r="D8559" t="str">
        <f>HYPERLINK("http://service.sap.com/sap/support/notes/1888713","1888713")</f>
        <v>1888713</v>
      </c>
      <c r="E8559">
        <v>1</v>
      </c>
      <c r="F8559" t="s">
        <v>7855</v>
      </c>
    </row>
    <row r="8560" spans="1:6" x14ac:dyDescent="0.25">
      <c r="A8560" t="s">
        <v>7758</v>
      </c>
      <c r="B8560" t="s">
        <v>25</v>
      </c>
      <c r="C8560" t="s">
        <v>26</v>
      </c>
    </row>
    <row r="8561" spans="1:6" x14ac:dyDescent="0.25">
      <c r="A8561" t="s">
        <v>7758</v>
      </c>
      <c r="B8561" t="s">
        <v>33</v>
      </c>
      <c r="C8561" t="s">
        <v>34</v>
      </c>
      <c r="D8561" t="str">
        <f>HYPERLINK("http://service.sap.com/sap/support/notes/1843487","1843487")</f>
        <v>1843487</v>
      </c>
      <c r="E8561">
        <v>1</v>
      </c>
      <c r="F8561" t="s">
        <v>7856</v>
      </c>
    </row>
    <row r="8562" spans="1:6" x14ac:dyDescent="0.25">
      <c r="A8562" t="s">
        <v>7758</v>
      </c>
      <c r="B8562" t="s">
        <v>522</v>
      </c>
      <c r="C8562" t="s">
        <v>523</v>
      </c>
      <c r="D8562" t="str">
        <f>HYPERLINK("http://service.sap.com/sap/support/notes/1867028","1867028")</f>
        <v>1867028</v>
      </c>
      <c r="E8562">
        <v>2</v>
      </c>
      <c r="F8562" t="s">
        <v>7857</v>
      </c>
    </row>
    <row r="8563" spans="1:6" x14ac:dyDescent="0.25">
      <c r="A8563" t="s">
        <v>7758</v>
      </c>
      <c r="B8563" t="s">
        <v>522</v>
      </c>
      <c r="C8563" t="s">
        <v>523</v>
      </c>
      <c r="D8563" t="str">
        <f>HYPERLINK("http://service.sap.com/sap/support/notes/1871352","1871352")</f>
        <v>1871352</v>
      </c>
      <c r="E8563">
        <v>4</v>
      </c>
      <c r="F8563" t="s">
        <v>7694</v>
      </c>
    </row>
    <row r="8564" spans="1:6" x14ac:dyDescent="0.25">
      <c r="A8564" t="s">
        <v>7758</v>
      </c>
      <c r="B8564" t="s">
        <v>681</v>
      </c>
      <c r="C8564" t="s">
        <v>320</v>
      </c>
      <c r="D8564" t="str">
        <f>HYPERLINK("http://service.sap.com/sap/support/notes/1826749","1826749")</f>
        <v>1826749</v>
      </c>
      <c r="E8564">
        <v>7</v>
      </c>
      <c r="F8564" t="s">
        <v>7858</v>
      </c>
    </row>
    <row r="8565" spans="1:6" x14ac:dyDescent="0.25">
      <c r="A8565" t="s">
        <v>7758</v>
      </c>
      <c r="B8565" t="s">
        <v>47</v>
      </c>
      <c r="C8565" t="s">
        <v>48</v>
      </c>
    </row>
    <row r="8566" spans="1:6" x14ac:dyDescent="0.25">
      <c r="A8566" t="s">
        <v>7758</v>
      </c>
      <c r="B8566" t="s">
        <v>6779</v>
      </c>
      <c r="C8566" t="s">
        <v>6780</v>
      </c>
      <c r="D8566" t="str">
        <f>HYPERLINK("http://service.sap.com/sap/support/notes/1878006","1878006")</f>
        <v>1878006</v>
      </c>
      <c r="E8566">
        <v>3</v>
      </c>
      <c r="F8566" t="s">
        <v>7859</v>
      </c>
    </row>
    <row r="8567" spans="1:6" x14ac:dyDescent="0.25">
      <c r="A8567" t="s">
        <v>7758</v>
      </c>
      <c r="B8567" t="s">
        <v>524</v>
      </c>
      <c r="C8567" t="s">
        <v>345</v>
      </c>
      <c r="D8567" t="str">
        <f>HYPERLINK("http://service.sap.com/sap/support/notes/1861259","1861259")</f>
        <v>1861259</v>
      </c>
      <c r="E8567">
        <v>2</v>
      </c>
      <c r="F8567" t="s">
        <v>7860</v>
      </c>
    </row>
    <row r="8568" spans="1:6" x14ac:dyDescent="0.25">
      <c r="A8568" t="s">
        <v>7758</v>
      </c>
      <c r="B8568" t="s">
        <v>63</v>
      </c>
      <c r="C8568" t="s">
        <v>64</v>
      </c>
      <c r="D8568" t="str">
        <f>HYPERLINK("http://service.sap.com/sap/support/notes/1879695","1879695")</f>
        <v>1879695</v>
      </c>
      <c r="E8568">
        <v>2</v>
      </c>
      <c r="F8568" t="s">
        <v>7861</v>
      </c>
    </row>
    <row r="8569" spans="1:6" x14ac:dyDescent="0.25">
      <c r="A8569" t="s">
        <v>7758</v>
      </c>
      <c r="B8569" t="s">
        <v>63</v>
      </c>
      <c r="C8569" t="s">
        <v>64</v>
      </c>
      <c r="D8569" t="str">
        <f>HYPERLINK("http://service.sap.com/sap/support/notes/1882993","1882993")</f>
        <v>1882993</v>
      </c>
      <c r="E8569">
        <v>1</v>
      </c>
      <c r="F8569" t="s">
        <v>4716</v>
      </c>
    </row>
    <row r="8570" spans="1:6" x14ac:dyDescent="0.25">
      <c r="A8570" t="s">
        <v>7758</v>
      </c>
      <c r="B8570" t="s">
        <v>531</v>
      </c>
      <c r="C8570" t="s">
        <v>532</v>
      </c>
      <c r="D8570" t="str">
        <f>HYPERLINK("http://service.sap.com/sap/support/notes/1869180","1869180")</f>
        <v>1869180</v>
      </c>
      <c r="E8570">
        <v>2</v>
      </c>
      <c r="F8570" t="s">
        <v>7862</v>
      </c>
    </row>
    <row r="8571" spans="1:6" x14ac:dyDescent="0.25">
      <c r="A8571" t="s">
        <v>7758</v>
      </c>
      <c r="B8571" t="s">
        <v>6018</v>
      </c>
      <c r="C8571" t="s">
        <v>6019</v>
      </c>
      <c r="D8571" t="str">
        <f>HYPERLINK("http://service.sap.com/sap/support/notes/1749159","1749159")</f>
        <v>1749159</v>
      </c>
      <c r="E8571">
        <v>1</v>
      </c>
      <c r="F8571" t="s">
        <v>6024</v>
      </c>
    </row>
    <row r="8572" spans="1:6" x14ac:dyDescent="0.25">
      <c r="A8572" t="s">
        <v>7758</v>
      </c>
      <c r="B8572" t="s">
        <v>6018</v>
      </c>
      <c r="C8572" t="s">
        <v>6019</v>
      </c>
      <c r="D8572" t="str">
        <f>HYPERLINK("http://service.sap.com/sap/support/notes/1877239","1877239")</f>
        <v>1877239</v>
      </c>
      <c r="E8572">
        <v>1</v>
      </c>
      <c r="F8572" t="s">
        <v>7863</v>
      </c>
    </row>
    <row r="8573" spans="1:6" x14ac:dyDescent="0.25">
      <c r="A8573" t="s">
        <v>7758</v>
      </c>
      <c r="B8573" t="s">
        <v>6018</v>
      </c>
      <c r="C8573" t="s">
        <v>6019</v>
      </c>
      <c r="D8573" t="str">
        <f>HYPERLINK("http://service.sap.com/sap/support/notes/1878322","1878322")</f>
        <v>1878322</v>
      </c>
      <c r="E8573">
        <v>2</v>
      </c>
      <c r="F8573" t="s">
        <v>7864</v>
      </c>
    </row>
    <row r="8574" spans="1:6" x14ac:dyDescent="0.25">
      <c r="A8574" t="s">
        <v>7758</v>
      </c>
      <c r="B8574" t="s">
        <v>6018</v>
      </c>
      <c r="C8574" t="s">
        <v>6019</v>
      </c>
      <c r="D8574" t="str">
        <f>HYPERLINK("http://service.sap.com/sap/support/notes/1878408","1878408")</f>
        <v>1878408</v>
      </c>
      <c r="E8574">
        <v>1</v>
      </c>
      <c r="F8574" t="s">
        <v>7865</v>
      </c>
    </row>
    <row r="8575" spans="1:6" x14ac:dyDescent="0.25">
      <c r="A8575" t="s">
        <v>7758</v>
      </c>
      <c r="B8575" t="s">
        <v>6018</v>
      </c>
      <c r="C8575" t="s">
        <v>6019</v>
      </c>
      <c r="D8575" t="str">
        <f>HYPERLINK("http://service.sap.com/sap/support/notes/1882784","1882784")</f>
        <v>1882784</v>
      </c>
      <c r="E8575">
        <v>2</v>
      </c>
      <c r="F8575" t="s">
        <v>7866</v>
      </c>
    </row>
    <row r="8576" spans="1:6" x14ac:dyDescent="0.25">
      <c r="A8576" t="s">
        <v>7758</v>
      </c>
      <c r="B8576" t="s">
        <v>6018</v>
      </c>
      <c r="C8576" t="s">
        <v>6019</v>
      </c>
      <c r="D8576" t="str">
        <f>HYPERLINK("http://service.sap.com/sap/support/notes/1883729","1883729")</f>
        <v>1883729</v>
      </c>
      <c r="E8576">
        <v>2</v>
      </c>
      <c r="F8576" t="s">
        <v>7867</v>
      </c>
    </row>
    <row r="8577" spans="1:6" x14ac:dyDescent="0.25">
      <c r="A8577" t="s">
        <v>7758</v>
      </c>
      <c r="B8577" t="s">
        <v>6018</v>
      </c>
      <c r="C8577" t="s">
        <v>6019</v>
      </c>
      <c r="D8577" t="str">
        <f>HYPERLINK("http://service.sap.com/sap/support/notes/1884457","1884457")</f>
        <v>1884457</v>
      </c>
      <c r="E8577">
        <v>1</v>
      </c>
      <c r="F8577" t="s">
        <v>7868</v>
      </c>
    </row>
    <row r="8578" spans="1:6" x14ac:dyDescent="0.25">
      <c r="A8578" t="s">
        <v>7758</v>
      </c>
      <c r="B8578" t="s">
        <v>6018</v>
      </c>
      <c r="C8578" t="s">
        <v>6019</v>
      </c>
      <c r="D8578" t="str">
        <f>HYPERLINK("http://service.sap.com/sap/support/notes/1885080","1885080")</f>
        <v>1885080</v>
      </c>
      <c r="E8578">
        <v>1</v>
      </c>
      <c r="F8578" t="s">
        <v>7869</v>
      </c>
    </row>
    <row r="8579" spans="1:6" x14ac:dyDescent="0.25">
      <c r="A8579" t="s">
        <v>7758</v>
      </c>
      <c r="B8579" t="s">
        <v>6018</v>
      </c>
      <c r="C8579" t="s">
        <v>6019</v>
      </c>
      <c r="D8579" t="str">
        <f>HYPERLINK("http://service.sap.com/sap/support/notes/1885151","1885151")</f>
        <v>1885151</v>
      </c>
      <c r="E8579">
        <v>3</v>
      </c>
      <c r="F8579" t="s">
        <v>7870</v>
      </c>
    </row>
    <row r="8580" spans="1:6" x14ac:dyDescent="0.25">
      <c r="A8580" t="s">
        <v>7758</v>
      </c>
      <c r="B8580" t="s">
        <v>6018</v>
      </c>
      <c r="C8580" t="s">
        <v>6019</v>
      </c>
      <c r="D8580" t="str">
        <f>HYPERLINK("http://service.sap.com/sap/support/notes/1885886","1885886")</f>
        <v>1885886</v>
      </c>
      <c r="E8580">
        <v>1</v>
      </c>
      <c r="F8580" t="s">
        <v>7871</v>
      </c>
    </row>
    <row r="8581" spans="1:6" x14ac:dyDescent="0.25">
      <c r="A8581" t="s">
        <v>7758</v>
      </c>
      <c r="B8581" t="s">
        <v>6018</v>
      </c>
      <c r="C8581" t="s">
        <v>6019</v>
      </c>
      <c r="D8581" t="str">
        <f>HYPERLINK("http://service.sap.com/sap/support/notes/1886472","1886472")</f>
        <v>1886472</v>
      </c>
      <c r="E8581">
        <v>1</v>
      </c>
      <c r="F8581" t="s">
        <v>7872</v>
      </c>
    </row>
    <row r="8582" spans="1:6" x14ac:dyDescent="0.25">
      <c r="A8582" t="s">
        <v>7758</v>
      </c>
      <c r="B8582" t="s">
        <v>6018</v>
      </c>
      <c r="C8582" t="s">
        <v>6019</v>
      </c>
      <c r="D8582" t="str">
        <f>HYPERLINK("http://service.sap.com/sap/support/notes/1886879","1886879")</f>
        <v>1886879</v>
      </c>
      <c r="E8582">
        <v>1</v>
      </c>
      <c r="F8582" t="s">
        <v>7873</v>
      </c>
    </row>
    <row r="8583" spans="1:6" x14ac:dyDescent="0.25">
      <c r="A8583" t="s">
        <v>7758</v>
      </c>
      <c r="B8583" t="s">
        <v>6018</v>
      </c>
      <c r="C8583" t="s">
        <v>6019</v>
      </c>
      <c r="D8583" t="str">
        <f>HYPERLINK("http://service.sap.com/sap/support/notes/1886959","1886959")</f>
        <v>1886959</v>
      </c>
      <c r="E8583">
        <v>1</v>
      </c>
      <c r="F8583" t="s">
        <v>7874</v>
      </c>
    </row>
    <row r="8584" spans="1:6" x14ac:dyDescent="0.25">
      <c r="A8584" t="s">
        <v>7758</v>
      </c>
      <c r="B8584" t="s">
        <v>6018</v>
      </c>
      <c r="C8584" t="s">
        <v>6019</v>
      </c>
      <c r="D8584" t="str">
        <f>HYPERLINK("http://service.sap.com/sap/support/notes/1887585","1887585")</f>
        <v>1887585</v>
      </c>
      <c r="E8584">
        <v>2</v>
      </c>
      <c r="F8584" t="s">
        <v>7875</v>
      </c>
    </row>
    <row r="8585" spans="1:6" x14ac:dyDescent="0.25">
      <c r="A8585" t="s">
        <v>7758</v>
      </c>
      <c r="B8585" t="s">
        <v>6018</v>
      </c>
      <c r="C8585" t="s">
        <v>6019</v>
      </c>
      <c r="D8585" t="str">
        <f>HYPERLINK("http://service.sap.com/sap/support/notes/1889428","1889428")</f>
        <v>1889428</v>
      </c>
      <c r="E8585">
        <v>1</v>
      </c>
      <c r="F8585" t="s">
        <v>7876</v>
      </c>
    </row>
    <row r="8586" spans="1:6" x14ac:dyDescent="0.25">
      <c r="A8586" t="s">
        <v>7758</v>
      </c>
      <c r="B8586" t="s">
        <v>536</v>
      </c>
      <c r="C8586" t="s">
        <v>537</v>
      </c>
    </row>
    <row r="8587" spans="1:6" x14ac:dyDescent="0.25">
      <c r="A8587" t="s">
        <v>7758</v>
      </c>
      <c r="B8587" t="s">
        <v>7877</v>
      </c>
      <c r="C8587" t="s">
        <v>7878</v>
      </c>
      <c r="D8587" t="str">
        <f>HYPERLINK("http://service.sap.com/sap/support/notes/1822068","1822068")</f>
        <v>1822068</v>
      </c>
      <c r="E8587">
        <v>6</v>
      </c>
      <c r="F8587" t="s">
        <v>7879</v>
      </c>
    </row>
    <row r="8588" spans="1:6" x14ac:dyDescent="0.25">
      <c r="A8588" t="s">
        <v>7758</v>
      </c>
      <c r="B8588" t="s">
        <v>5594</v>
      </c>
      <c r="C8588" t="s">
        <v>5595</v>
      </c>
      <c r="D8588" t="str">
        <f>HYPERLINK("http://service.sap.com/sap/support/notes/1836249","1836249")</f>
        <v>1836249</v>
      </c>
      <c r="E8588">
        <v>1</v>
      </c>
      <c r="F8588" t="s">
        <v>7880</v>
      </c>
    </row>
    <row r="8589" spans="1:6" x14ac:dyDescent="0.25">
      <c r="A8589" t="s">
        <v>7758</v>
      </c>
      <c r="B8589" t="s">
        <v>5594</v>
      </c>
      <c r="C8589" t="s">
        <v>5595</v>
      </c>
      <c r="D8589" t="str">
        <f>HYPERLINK("http://service.sap.com/sap/support/notes/1862553","1862553")</f>
        <v>1862553</v>
      </c>
      <c r="E8589">
        <v>2</v>
      </c>
      <c r="F8589" t="s">
        <v>7881</v>
      </c>
    </row>
    <row r="8590" spans="1:6" x14ac:dyDescent="0.25">
      <c r="A8590" t="s">
        <v>7758</v>
      </c>
      <c r="B8590" t="s">
        <v>5594</v>
      </c>
      <c r="C8590" t="s">
        <v>5595</v>
      </c>
      <c r="D8590" t="str">
        <f>HYPERLINK("http://service.sap.com/sap/support/notes/1864617","1864617")</f>
        <v>1864617</v>
      </c>
      <c r="E8590">
        <v>1</v>
      </c>
      <c r="F8590" t="s">
        <v>7882</v>
      </c>
    </row>
    <row r="8591" spans="1:6" x14ac:dyDescent="0.25">
      <c r="A8591" t="s">
        <v>7758</v>
      </c>
      <c r="B8591" t="s">
        <v>540</v>
      </c>
      <c r="C8591" t="s">
        <v>541</v>
      </c>
    </row>
    <row r="8592" spans="1:6" x14ac:dyDescent="0.25">
      <c r="A8592" t="s">
        <v>7758</v>
      </c>
      <c r="B8592" t="s">
        <v>542</v>
      </c>
      <c r="C8592" t="s">
        <v>5604</v>
      </c>
      <c r="D8592" t="str">
        <f>HYPERLINK("http://service.sap.com/sap/support/notes/1754134","1754134")</f>
        <v>1754134</v>
      </c>
      <c r="E8592">
        <v>6</v>
      </c>
      <c r="F8592" t="s">
        <v>7081</v>
      </c>
    </row>
    <row r="8593" spans="1:6" x14ac:dyDescent="0.25">
      <c r="A8593" t="s">
        <v>7758</v>
      </c>
      <c r="B8593" t="s">
        <v>542</v>
      </c>
      <c r="C8593" t="s">
        <v>5604</v>
      </c>
      <c r="D8593" t="str">
        <f>HYPERLINK("http://service.sap.com/sap/support/notes/1879542","1879542")</f>
        <v>1879542</v>
      </c>
      <c r="E8593">
        <v>3</v>
      </c>
      <c r="F8593" t="s">
        <v>7883</v>
      </c>
    </row>
    <row r="8594" spans="1:6" x14ac:dyDescent="0.25">
      <c r="A8594" t="s">
        <v>7758</v>
      </c>
      <c r="B8594" t="s">
        <v>544</v>
      </c>
      <c r="C8594" t="s">
        <v>5610</v>
      </c>
      <c r="D8594" t="str">
        <f>HYPERLINK("http://service.sap.com/sap/support/notes/1786907","1786907")</f>
        <v>1786907</v>
      </c>
      <c r="E8594">
        <v>6</v>
      </c>
      <c r="F8594" t="s">
        <v>7244</v>
      </c>
    </row>
    <row r="8595" spans="1:6" x14ac:dyDescent="0.25">
      <c r="A8595" t="s">
        <v>7758</v>
      </c>
      <c r="B8595" t="s">
        <v>544</v>
      </c>
      <c r="C8595" t="s">
        <v>5610</v>
      </c>
      <c r="D8595" t="str">
        <f>HYPERLINK("http://service.sap.com/sap/support/notes/1843941","1843941")</f>
        <v>1843941</v>
      </c>
      <c r="E8595">
        <v>2</v>
      </c>
      <c r="F8595" t="s">
        <v>7884</v>
      </c>
    </row>
    <row r="8596" spans="1:6" x14ac:dyDescent="0.25">
      <c r="A8596" t="s">
        <v>7758</v>
      </c>
      <c r="B8596" t="s">
        <v>5615</v>
      </c>
      <c r="C8596" t="s">
        <v>5616</v>
      </c>
      <c r="D8596" t="str">
        <f>HYPERLINK("http://service.sap.com/sap/support/notes/1294164","1294164")</f>
        <v>1294164</v>
      </c>
      <c r="E8596">
        <v>1</v>
      </c>
      <c r="F8596" t="s">
        <v>7885</v>
      </c>
    </row>
    <row r="8597" spans="1:6" x14ac:dyDescent="0.25">
      <c r="A8597" t="s">
        <v>7758</v>
      </c>
      <c r="B8597" t="s">
        <v>5615</v>
      </c>
      <c r="C8597" t="s">
        <v>5616</v>
      </c>
      <c r="D8597" t="str">
        <f>HYPERLINK("http://service.sap.com/sap/support/notes/1853727","1853727")</f>
        <v>1853727</v>
      </c>
      <c r="E8597">
        <v>1</v>
      </c>
      <c r="F8597" t="s">
        <v>7886</v>
      </c>
    </row>
    <row r="8598" spans="1:6" x14ac:dyDescent="0.25">
      <c r="A8598" t="s">
        <v>7758</v>
      </c>
      <c r="B8598" t="s">
        <v>5615</v>
      </c>
      <c r="C8598" t="s">
        <v>5616</v>
      </c>
      <c r="D8598" t="str">
        <f>HYPERLINK("http://service.sap.com/sap/support/notes/1874001","1874001")</f>
        <v>1874001</v>
      </c>
      <c r="E8598">
        <v>1</v>
      </c>
      <c r="F8598" t="s">
        <v>7887</v>
      </c>
    </row>
    <row r="8599" spans="1:6" x14ac:dyDescent="0.25">
      <c r="A8599" t="s">
        <v>7758</v>
      </c>
      <c r="B8599" t="s">
        <v>5615</v>
      </c>
      <c r="C8599" t="s">
        <v>5616</v>
      </c>
      <c r="D8599" t="str">
        <f>HYPERLINK("http://service.sap.com/sap/support/notes/1879625","1879625")</f>
        <v>1879625</v>
      </c>
      <c r="E8599">
        <v>1</v>
      </c>
      <c r="F8599" t="s">
        <v>7888</v>
      </c>
    </row>
    <row r="8600" spans="1:6" x14ac:dyDescent="0.25">
      <c r="A8600" t="s">
        <v>7758</v>
      </c>
      <c r="B8600" t="s">
        <v>5615</v>
      </c>
      <c r="C8600" t="s">
        <v>5616</v>
      </c>
      <c r="D8600" t="str">
        <f>HYPERLINK("http://service.sap.com/sap/support/notes/1887828","1887828")</f>
        <v>1887828</v>
      </c>
      <c r="E8600">
        <v>1</v>
      </c>
      <c r="F8600" t="s">
        <v>7889</v>
      </c>
    </row>
    <row r="8601" spans="1:6" x14ac:dyDescent="0.25">
      <c r="A8601" t="s">
        <v>7758</v>
      </c>
      <c r="B8601" t="s">
        <v>85</v>
      </c>
      <c r="C8601" t="s">
        <v>86</v>
      </c>
    </row>
    <row r="8602" spans="1:6" x14ac:dyDescent="0.25">
      <c r="A8602" t="s">
        <v>7758</v>
      </c>
      <c r="B8602" t="s">
        <v>696</v>
      </c>
      <c r="C8602" t="s">
        <v>697</v>
      </c>
    </row>
    <row r="8603" spans="1:6" x14ac:dyDescent="0.25">
      <c r="A8603" t="s">
        <v>7758</v>
      </c>
      <c r="B8603" t="s">
        <v>6056</v>
      </c>
      <c r="C8603" t="s">
        <v>6057</v>
      </c>
      <c r="D8603" t="str">
        <f>HYPERLINK("http://service.sap.com/sap/support/notes/1851479","1851479")</f>
        <v>1851479</v>
      </c>
      <c r="E8603">
        <v>1</v>
      </c>
      <c r="F8603" t="s">
        <v>7890</v>
      </c>
    </row>
    <row r="8604" spans="1:6" x14ac:dyDescent="0.25">
      <c r="A8604" t="s">
        <v>7758</v>
      </c>
      <c r="B8604" t="s">
        <v>3380</v>
      </c>
      <c r="C8604" t="s">
        <v>3381</v>
      </c>
      <c r="D8604" t="str">
        <f>HYPERLINK("http://service.sap.com/sap/support/notes/1698762","1698762")</f>
        <v>1698762</v>
      </c>
      <c r="E8604">
        <v>3</v>
      </c>
      <c r="F8604" t="s">
        <v>7891</v>
      </c>
    </row>
    <row r="8605" spans="1:6" x14ac:dyDescent="0.25">
      <c r="A8605" t="s">
        <v>7758</v>
      </c>
      <c r="B8605" t="s">
        <v>3380</v>
      </c>
      <c r="C8605" t="s">
        <v>3381</v>
      </c>
      <c r="D8605" t="str">
        <f>HYPERLINK("http://service.sap.com/sap/support/notes/1851597","1851597")</f>
        <v>1851597</v>
      </c>
      <c r="E8605">
        <v>2</v>
      </c>
      <c r="F8605" t="s">
        <v>7892</v>
      </c>
    </row>
    <row r="8606" spans="1:6" x14ac:dyDescent="0.25">
      <c r="A8606" t="s">
        <v>7758</v>
      </c>
      <c r="B8606" t="s">
        <v>698</v>
      </c>
      <c r="C8606" t="s">
        <v>699</v>
      </c>
      <c r="D8606" t="str">
        <f>HYPERLINK("http://service.sap.com/sap/support/notes/1797507","1797507")</f>
        <v>1797507</v>
      </c>
      <c r="E8606">
        <v>2</v>
      </c>
      <c r="F8606" t="s">
        <v>7893</v>
      </c>
    </row>
    <row r="8607" spans="1:6" x14ac:dyDescent="0.25">
      <c r="A8607" t="s">
        <v>7758</v>
      </c>
      <c r="B8607" t="s">
        <v>698</v>
      </c>
      <c r="C8607" t="s">
        <v>699</v>
      </c>
      <c r="D8607" t="str">
        <f>HYPERLINK("http://service.sap.com/sap/support/notes/1843587","1843587")</f>
        <v>1843587</v>
      </c>
      <c r="E8607">
        <v>2</v>
      </c>
      <c r="F8607" t="s">
        <v>7894</v>
      </c>
    </row>
    <row r="8608" spans="1:6" x14ac:dyDescent="0.25">
      <c r="A8608" t="s">
        <v>7758</v>
      </c>
      <c r="B8608" t="s">
        <v>698</v>
      </c>
      <c r="C8608" t="s">
        <v>699</v>
      </c>
      <c r="D8608" t="str">
        <f>HYPERLINK("http://service.sap.com/sap/support/notes/1847266","1847266")</f>
        <v>1847266</v>
      </c>
      <c r="E8608">
        <v>1</v>
      </c>
      <c r="F8608" t="s">
        <v>7895</v>
      </c>
    </row>
    <row r="8609" spans="1:6" x14ac:dyDescent="0.25">
      <c r="A8609" t="s">
        <v>7758</v>
      </c>
      <c r="B8609" t="s">
        <v>698</v>
      </c>
      <c r="C8609" t="s">
        <v>699</v>
      </c>
      <c r="D8609" t="str">
        <f>HYPERLINK("http://service.sap.com/sap/support/notes/1867814","1867814")</f>
        <v>1867814</v>
      </c>
      <c r="E8609">
        <v>1</v>
      </c>
      <c r="F8609" t="s">
        <v>7896</v>
      </c>
    </row>
    <row r="8610" spans="1:6" x14ac:dyDescent="0.25">
      <c r="A8610" t="s">
        <v>7758</v>
      </c>
      <c r="B8610" t="s">
        <v>698</v>
      </c>
      <c r="C8610" t="s">
        <v>699</v>
      </c>
      <c r="D8610" t="str">
        <f>HYPERLINK("http://service.sap.com/sap/support/notes/1870231","1870231")</f>
        <v>1870231</v>
      </c>
      <c r="E8610">
        <v>1</v>
      </c>
      <c r="F8610" t="s">
        <v>7897</v>
      </c>
    </row>
    <row r="8611" spans="1:6" x14ac:dyDescent="0.25">
      <c r="A8611" t="s">
        <v>7758</v>
      </c>
      <c r="B8611" t="s">
        <v>698</v>
      </c>
      <c r="C8611" t="s">
        <v>699</v>
      </c>
      <c r="D8611" t="str">
        <f>HYPERLINK("http://service.sap.com/sap/support/notes/1873369","1873369")</f>
        <v>1873369</v>
      </c>
      <c r="E8611">
        <v>1</v>
      </c>
      <c r="F8611" t="s">
        <v>7898</v>
      </c>
    </row>
    <row r="8612" spans="1:6" x14ac:dyDescent="0.25">
      <c r="A8612" t="s">
        <v>7758</v>
      </c>
      <c r="B8612" t="s">
        <v>698</v>
      </c>
      <c r="C8612" t="s">
        <v>699</v>
      </c>
      <c r="D8612" t="str">
        <f>HYPERLINK("http://service.sap.com/sap/support/notes/1881038","1881038")</f>
        <v>1881038</v>
      </c>
      <c r="E8612">
        <v>1</v>
      </c>
      <c r="F8612" t="s">
        <v>7899</v>
      </c>
    </row>
    <row r="8613" spans="1:6" x14ac:dyDescent="0.25">
      <c r="A8613" t="s">
        <v>7758</v>
      </c>
      <c r="B8613" t="s">
        <v>6079</v>
      </c>
      <c r="C8613" t="s">
        <v>6080</v>
      </c>
      <c r="D8613" t="str">
        <f>HYPERLINK("http://service.sap.com/sap/support/notes/1846441","1846441")</f>
        <v>1846441</v>
      </c>
      <c r="E8613">
        <v>2</v>
      </c>
      <c r="F8613" t="s">
        <v>7900</v>
      </c>
    </row>
    <row r="8614" spans="1:6" x14ac:dyDescent="0.25">
      <c r="A8614" t="s">
        <v>7758</v>
      </c>
      <c r="B8614" t="s">
        <v>6079</v>
      </c>
      <c r="C8614" t="s">
        <v>6080</v>
      </c>
      <c r="D8614" t="str">
        <f>HYPERLINK("http://service.sap.com/sap/support/notes/1856037","1856037")</f>
        <v>1856037</v>
      </c>
      <c r="E8614">
        <v>1</v>
      </c>
      <c r="F8614" t="s">
        <v>7901</v>
      </c>
    </row>
    <row r="8615" spans="1:6" x14ac:dyDescent="0.25">
      <c r="A8615" t="s">
        <v>7758</v>
      </c>
      <c r="B8615" t="s">
        <v>700</v>
      </c>
      <c r="C8615" t="s">
        <v>662</v>
      </c>
      <c r="D8615" t="str">
        <f>HYPERLINK("http://service.sap.com/sap/support/notes/1848245","1848245")</f>
        <v>1848245</v>
      </c>
      <c r="E8615">
        <v>1</v>
      </c>
      <c r="F8615" t="s">
        <v>7902</v>
      </c>
    </row>
    <row r="8616" spans="1:6" x14ac:dyDescent="0.25">
      <c r="A8616" t="s">
        <v>7758</v>
      </c>
      <c r="B8616" t="s">
        <v>700</v>
      </c>
      <c r="C8616" t="s">
        <v>662</v>
      </c>
      <c r="D8616" t="str">
        <f>HYPERLINK("http://service.sap.com/sap/support/notes/1864433","1864433")</f>
        <v>1864433</v>
      </c>
      <c r="E8616">
        <v>1</v>
      </c>
      <c r="F8616" t="s">
        <v>7903</v>
      </c>
    </row>
    <row r="8617" spans="1:6" x14ac:dyDescent="0.25">
      <c r="A8617" t="s">
        <v>7758</v>
      </c>
      <c r="B8617" t="s">
        <v>6305</v>
      </c>
      <c r="C8617" t="s">
        <v>6306</v>
      </c>
      <c r="D8617" t="str">
        <f>HYPERLINK("http://service.sap.com/sap/support/notes/1878806","1878806")</f>
        <v>1878806</v>
      </c>
      <c r="E8617">
        <v>1</v>
      </c>
      <c r="F8617" t="s">
        <v>7904</v>
      </c>
    </row>
    <row r="8618" spans="1:6" x14ac:dyDescent="0.25">
      <c r="A8618" t="s">
        <v>7758</v>
      </c>
      <c r="B8618" t="s">
        <v>90</v>
      </c>
      <c r="C8618" t="s">
        <v>13</v>
      </c>
    </row>
    <row r="8619" spans="1:6" x14ac:dyDescent="0.25">
      <c r="A8619" t="s">
        <v>7758</v>
      </c>
      <c r="B8619" t="s">
        <v>557</v>
      </c>
      <c r="C8619" t="s">
        <v>646</v>
      </c>
    </row>
    <row r="8620" spans="1:6" x14ac:dyDescent="0.25">
      <c r="A8620" t="s">
        <v>7758</v>
      </c>
      <c r="B8620" t="s">
        <v>563</v>
      </c>
      <c r="C8620" t="s">
        <v>564</v>
      </c>
    </row>
    <row r="8621" spans="1:6" x14ac:dyDescent="0.25">
      <c r="A8621" t="s">
        <v>7758</v>
      </c>
      <c r="B8621" t="s">
        <v>647</v>
      </c>
      <c r="C8621" t="s">
        <v>648</v>
      </c>
      <c r="D8621" t="str">
        <f>HYPERLINK("http://service.sap.com/sap/support/notes/1823935","1823935")</f>
        <v>1823935</v>
      </c>
      <c r="E8621">
        <v>3</v>
      </c>
      <c r="F8621" t="s">
        <v>7905</v>
      </c>
    </row>
    <row r="8622" spans="1:6" x14ac:dyDescent="0.25">
      <c r="A8622" t="s">
        <v>7758</v>
      </c>
      <c r="B8622" t="s">
        <v>647</v>
      </c>
      <c r="C8622" t="s">
        <v>648</v>
      </c>
      <c r="D8622" t="str">
        <f>HYPERLINK("http://service.sap.com/sap/support/notes/1827686","1827686")</f>
        <v>1827686</v>
      </c>
      <c r="E8622">
        <v>2</v>
      </c>
      <c r="F8622" t="s">
        <v>7906</v>
      </c>
    </row>
    <row r="8623" spans="1:6" x14ac:dyDescent="0.25">
      <c r="A8623" t="s">
        <v>7758</v>
      </c>
      <c r="B8623" t="s">
        <v>647</v>
      </c>
      <c r="C8623" t="s">
        <v>648</v>
      </c>
      <c r="D8623" t="str">
        <f>HYPERLINK("http://service.sap.com/sap/support/notes/1855701","1855701")</f>
        <v>1855701</v>
      </c>
      <c r="E8623">
        <v>2</v>
      </c>
      <c r="F8623" t="s">
        <v>7907</v>
      </c>
    </row>
    <row r="8624" spans="1:6" x14ac:dyDescent="0.25">
      <c r="A8624" t="s">
        <v>7758</v>
      </c>
      <c r="B8624" t="s">
        <v>647</v>
      </c>
      <c r="C8624" t="s">
        <v>648</v>
      </c>
      <c r="D8624" t="str">
        <f>HYPERLINK("http://service.sap.com/sap/support/notes/1863114","1863114")</f>
        <v>1863114</v>
      </c>
      <c r="E8624">
        <v>1</v>
      </c>
      <c r="F8624" t="s">
        <v>7587</v>
      </c>
    </row>
    <row r="8625" spans="1:6" x14ac:dyDescent="0.25">
      <c r="A8625" t="s">
        <v>7758</v>
      </c>
      <c r="B8625" t="s">
        <v>647</v>
      </c>
      <c r="C8625" t="s">
        <v>648</v>
      </c>
      <c r="D8625" t="str">
        <f>HYPERLINK("http://service.sap.com/sap/support/notes/1869731","1869731")</f>
        <v>1869731</v>
      </c>
      <c r="E8625">
        <v>2</v>
      </c>
      <c r="F8625" t="s">
        <v>7908</v>
      </c>
    </row>
    <row r="8626" spans="1:6" x14ac:dyDescent="0.25">
      <c r="A8626" t="s">
        <v>7758</v>
      </c>
      <c r="B8626" t="s">
        <v>647</v>
      </c>
      <c r="C8626" t="s">
        <v>648</v>
      </c>
      <c r="D8626" t="str">
        <f>HYPERLINK("http://service.sap.com/sap/support/notes/1872410","1872410")</f>
        <v>1872410</v>
      </c>
      <c r="E8626">
        <v>1</v>
      </c>
      <c r="F8626" t="s">
        <v>7909</v>
      </c>
    </row>
    <row r="8627" spans="1:6" x14ac:dyDescent="0.25">
      <c r="A8627" t="s">
        <v>7758</v>
      </c>
      <c r="B8627" t="s">
        <v>647</v>
      </c>
      <c r="C8627" t="s">
        <v>648</v>
      </c>
      <c r="D8627" t="str">
        <f>HYPERLINK("http://service.sap.com/sap/support/notes/1881248","1881248")</f>
        <v>1881248</v>
      </c>
      <c r="E8627">
        <v>3</v>
      </c>
      <c r="F8627" t="s">
        <v>7910</v>
      </c>
    </row>
    <row r="8628" spans="1:6" x14ac:dyDescent="0.25">
      <c r="A8628" t="s">
        <v>7758</v>
      </c>
      <c r="B8628" t="s">
        <v>647</v>
      </c>
      <c r="C8628" t="s">
        <v>648</v>
      </c>
      <c r="D8628" t="str">
        <f>HYPERLINK("http://service.sap.com/sap/support/notes/1885224","1885224")</f>
        <v>1885224</v>
      </c>
      <c r="E8628">
        <v>2</v>
      </c>
      <c r="F8628" t="s">
        <v>7911</v>
      </c>
    </row>
    <row r="8629" spans="1:6" x14ac:dyDescent="0.25">
      <c r="A8629" t="s">
        <v>7758</v>
      </c>
      <c r="B8629" t="s">
        <v>95</v>
      </c>
      <c r="C8629" t="s">
        <v>96</v>
      </c>
    </row>
    <row r="8630" spans="1:6" x14ac:dyDescent="0.25">
      <c r="A8630" t="s">
        <v>7758</v>
      </c>
      <c r="B8630" t="s">
        <v>114</v>
      </c>
      <c r="C8630" t="s">
        <v>115</v>
      </c>
      <c r="D8630" t="str">
        <f>HYPERLINK("http://service.sap.com/sap/support/notes/1876033","1876033")</f>
        <v>1876033</v>
      </c>
      <c r="E8630">
        <v>2</v>
      </c>
      <c r="F8630" t="s">
        <v>4415</v>
      </c>
    </row>
    <row r="8631" spans="1:6" x14ac:dyDescent="0.25">
      <c r="A8631" t="s">
        <v>7758</v>
      </c>
      <c r="B8631" t="s">
        <v>114</v>
      </c>
      <c r="C8631" t="s">
        <v>115</v>
      </c>
      <c r="D8631" t="str">
        <f>HYPERLINK("http://service.sap.com/sap/support/notes/1878368","1878368")</f>
        <v>1878368</v>
      </c>
      <c r="E8631">
        <v>2</v>
      </c>
      <c r="F8631" t="s">
        <v>4751</v>
      </c>
    </row>
    <row r="8632" spans="1:6" x14ac:dyDescent="0.25">
      <c r="A8632" t="s">
        <v>7758</v>
      </c>
      <c r="B8632" t="s">
        <v>114</v>
      </c>
      <c r="C8632" t="s">
        <v>115</v>
      </c>
      <c r="D8632" t="str">
        <f>HYPERLINK("http://service.sap.com/sap/support/notes/1880787","1880787")</f>
        <v>1880787</v>
      </c>
      <c r="E8632">
        <v>2</v>
      </c>
      <c r="F8632" t="s">
        <v>7912</v>
      </c>
    </row>
    <row r="8633" spans="1:6" x14ac:dyDescent="0.25">
      <c r="A8633" t="s">
        <v>7758</v>
      </c>
      <c r="B8633" t="s">
        <v>114</v>
      </c>
      <c r="C8633" t="s">
        <v>115</v>
      </c>
      <c r="D8633" t="str">
        <f>HYPERLINK("http://service.sap.com/sap/support/notes/1883396","1883396")</f>
        <v>1883396</v>
      </c>
      <c r="E8633">
        <v>1</v>
      </c>
      <c r="F8633" t="s">
        <v>4766</v>
      </c>
    </row>
    <row r="8634" spans="1:6" x14ac:dyDescent="0.25">
      <c r="A8634" t="s">
        <v>7758</v>
      </c>
      <c r="B8634" t="s">
        <v>114</v>
      </c>
      <c r="C8634" t="s">
        <v>115</v>
      </c>
      <c r="D8634" t="str">
        <f>HYPERLINK("http://service.sap.com/sap/support/notes/1884994","1884994")</f>
        <v>1884994</v>
      </c>
      <c r="E8634">
        <v>3</v>
      </c>
      <c r="F8634" t="s">
        <v>4769</v>
      </c>
    </row>
    <row r="8635" spans="1:6" x14ac:dyDescent="0.25">
      <c r="A8635" t="s">
        <v>7758</v>
      </c>
      <c r="B8635" t="s">
        <v>114</v>
      </c>
      <c r="C8635" t="s">
        <v>115</v>
      </c>
      <c r="D8635" t="str">
        <f>HYPERLINK("http://service.sap.com/sap/support/notes/1889238","1889238")</f>
        <v>1889238</v>
      </c>
      <c r="E8635">
        <v>1</v>
      </c>
      <c r="F8635" t="s">
        <v>4772</v>
      </c>
    </row>
    <row r="8636" spans="1:6" x14ac:dyDescent="0.25">
      <c r="A8636" t="s">
        <v>7758</v>
      </c>
      <c r="B8636" t="s">
        <v>685</v>
      </c>
      <c r="C8636" t="s">
        <v>686</v>
      </c>
      <c r="D8636" t="str">
        <f>HYPERLINK("http://service.sap.com/sap/support/notes/1886308","1886308")</f>
        <v>1886308</v>
      </c>
      <c r="E8636">
        <v>2</v>
      </c>
      <c r="F8636" t="s">
        <v>7913</v>
      </c>
    </row>
    <row r="8637" spans="1:6" x14ac:dyDescent="0.25">
      <c r="A8637" t="s">
        <v>7758</v>
      </c>
      <c r="B8637" t="s">
        <v>685</v>
      </c>
      <c r="C8637" t="s">
        <v>686</v>
      </c>
      <c r="D8637" t="str">
        <f>HYPERLINK("http://service.sap.com/sap/support/notes/1888159","1888159")</f>
        <v>1888159</v>
      </c>
      <c r="E8637">
        <v>1</v>
      </c>
      <c r="F8637" t="s">
        <v>7914</v>
      </c>
    </row>
    <row r="8638" spans="1:6" x14ac:dyDescent="0.25">
      <c r="A8638" t="s">
        <v>7758</v>
      </c>
      <c r="B8638" t="s">
        <v>150</v>
      </c>
      <c r="C8638" t="s">
        <v>151</v>
      </c>
    </row>
    <row r="8639" spans="1:6" x14ac:dyDescent="0.25">
      <c r="A8639" t="s">
        <v>7758</v>
      </c>
      <c r="B8639" t="s">
        <v>155</v>
      </c>
      <c r="C8639" t="s">
        <v>156</v>
      </c>
      <c r="D8639" t="str">
        <f>HYPERLINK("http://service.sap.com/sap/support/notes/1854051","1854051")</f>
        <v>1854051</v>
      </c>
      <c r="E8639">
        <v>4</v>
      </c>
      <c r="F8639" t="s">
        <v>4801</v>
      </c>
    </row>
    <row r="8640" spans="1:6" x14ac:dyDescent="0.25">
      <c r="A8640" t="s">
        <v>7758</v>
      </c>
      <c r="B8640" t="s">
        <v>159</v>
      </c>
      <c r="C8640" t="s">
        <v>160</v>
      </c>
      <c r="D8640" t="str">
        <f>HYPERLINK("http://service.sap.com/sap/support/notes/1876491","1876491")</f>
        <v>1876491</v>
      </c>
      <c r="E8640">
        <v>1</v>
      </c>
      <c r="F8640" t="s">
        <v>4804</v>
      </c>
    </row>
    <row r="8641" spans="1:6" x14ac:dyDescent="0.25">
      <c r="A8641" t="s">
        <v>7758</v>
      </c>
      <c r="B8641" t="s">
        <v>159</v>
      </c>
      <c r="C8641" t="s">
        <v>160</v>
      </c>
      <c r="D8641" t="str">
        <f>HYPERLINK("http://service.sap.com/sap/support/notes/1888961","1888961")</f>
        <v>1888961</v>
      </c>
      <c r="E8641">
        <v>2</v>
      </c>
      <c r="F8641" t="s">
        <v>7915</v>
      </c>
    </row>
    <row r="8642" spans="1:6" x14ac:dyDescent="0.25">
      <c r="A8642" t="s">
        <v>7758</v>
      </c>
      <c r="B8642" t="s">
        <v>175</v>
      </c>
      <c r="C8642" t="s">
        <v>176</v>
      </c>
    </row>
    <row r="8643" spans="1:6" x14ac:dyDescent="0.25">
      <c r="A8643" t="s">
        <v>7758</v>
      </c>
      <c r="B8643" t="s">
        <v>183</v>
      </c>
      <c r="C8643" t="s">
        <v>184</v>
      </c>
    </row>
    <row r="8644" spans="1:6" x14ac:dyDescent="0.25">
      <c r="A8644" t="s">
        <v>7758</v>
      </c>
      <c r="B8644" t="s">
        <v>578</v>
      </c>
      <c r="C8644" t="s">
        <v>4485</v>
      </c>
      <c r="D8644" t="str">
        <f>HYPERLINK("http://service.sap.com/sap/support/notes/1879816","1879816")</f>
        <v>1879816</v>
      </c>
      <c r="E8644">
        <v>15</v>
      </c>
      <c r="F8644" t="s">
        <v>4822</v>
      </c>
    </row>
    <row r="8645" spans="1:6" x14ac:dyDescent="0.25">
      <c r="A8645" t="s">
        <v>7758</v>
      </c>
      <c r="B8645" t="s">
        <v>211</v>
      </c>
      <c r="C8645" t="s">
        <v>128</v>
      </c>
    </row>
    <row r="8646" spans="1:6" x14ac:dyDescent="0.25">
      <c r="A8646" t="s">
        <v>7758</v>
      </c>
      <c r="B8646" t="s">
        <v>221</v>
      </c>
      <c r="C8646" t="s">
        <v>222</v>
      </c>
      <c r="D8646" t="str">
        <f>HYPERLINK("http://service.sap.com/sap/support/notes/1878853","1878853")</f>
        <v>1878853</v>
      </c>
      <c r="E8646">
        <v>1</v>
      </c>
      <c r="F8646" t="s">
        <v>3533</v>
      </c>
    </row>
    <row r="8647" spans="1:6" x14ac:dyDescent="0.25">
      <c r="A8647" t="s">
        <v>7758</v>
      </c>
      <c r="B8647" t="s">
        <v>286</v>
      </c>
      <c r="C8647" t="s">
        <v>287</v>
      </c>
      <c r="D8647" t="str">
        <f>HYPERLINK("http://service.sap.com/sap/support/notes/1777980","1777980")</f>
        <v>1777980</v>
      </c>
      <c r="E8647">
        <v>4</v>
      </c>
      <c r="F8647" t="s">
        <v>7916</v>
      </c>
    </row>
    <row r="8648" spans="1:6" x14ac:dyDescent="0.25">
      <c r="A8648" t="s">
        <v>7758</v>
      </c>
      <c r="B8648" t="s">
        <v>286</v>
      </c>
      <c r="C8648" t="s">
        <v>287</v>
      </c>
      <c r="D8648" t="str">
        <f>HYPERLINK("http://service.sap.com/sap/support/notes/1835378","1835378")</f>
        <v>1835378</v>
      </c>
      <c r="E8648">
        <v>4</v>
      </c>
      <c r="F8648" t="s">
        <v>7917</v>
      </c>
    </row>
    <row r="8649" spans="1:6" x14ac:dyDescent="0.25">
      <c r="A8649" t="s">
        <v>7758</v>
      </c>
      <c r="B8649" t="s">
        <v>286</v>
      </c>
      <c r="C8649" t="s">
        <v>287</v>
      </c>
      <c r="D8649" t="str">
        <f>HYPERLINK("http://service.sap.com/sap/support/notes/1889708","1889708")</f>
        <v>1889708</v>
      </c>
      <c r="E8649">
        <v>2</v>
      </c>
      <c r="F8649" t="s">
        <v>4901</v>
      </c>
    </row>
    <row r="8650" spans="1:6" x14ac:dyDescent="0.25">
      <c r="A8650" t="s">
        <v>7758</v>
      </c>
      <c r="B8650" t="s">
        <v>319</v>
      </c>
      <c r="C8650" t="s">
        <v>320</v>
      </c>
    </row>
    <row r="8651" spans="1:6" x14ac:dyDescent="0.25">
      <c r="A8651" t="s">
        <v>7758</v>
      </c>
      <c r="B8651" t="s">
        <v>2263</v>
      </c>
      <c r="C8651" t="s">
        <v>2264</v>
      </c>
      <c r="D8651" t="str">
        <f>HYPERLINK("http://service.sap.com/sap/support/notes/1865081","1865081")</f>
        <v>1865081</v>
      </c>
      <c r="E8651">
        <v>2</v>
      </c>
      <c r="F8651" t="s">
        <v>7918</v>
      </c>
    </row>
    <row r="8652" spans="1:6" x14ac:dyDescent="0.25">
      <c r="A8652" t="s">
        <v>7758</v>
      </c>
      <c r="B8652" t="s">
        <v>2263</v>
      </c>
      <c r="C8652" t="s">
        <v>2264</v>
      </c>
      <c r="D8652" t="str">
        <f>HYPERLINK("http://service.sap.com/sap/support/notes/1875220","1875220")</f>
        <v>1875220</v>
      </c>
      <c r="E8652">
        <v>2</v>
      </c>
      <c r="F8652" t="s">
        <v>7919</v>
      </c>
    </row>
    <row r="8653" spans="1:6" x14ac:dyDescent="0.25">
      <c r="A8653" t="s">
        <v>7758</v>
      </c>
      <c r="B8653" t="s">
        <v>384</v>
      </c>
      <c r="C8653" t="s">
        <v>385</v>
      </c>
      <c r="D8653" t="str">
        <f>HYPERLINK("http://service.sap.com/sap/support/notes/1880809","1880809")</f>
        <v>1880809</v>
      </c>
      <c r="E8653">
        <v>1</v>
      </c>
      <c r="F8653" t="s">
        <v>7920</v>
      </c>
    </row>
    <row r="8654" spans="1:6" x14ac:dyDescent="0.25">
      <c r="A8654" t="s">
        <v>7758</v>
      </c>
      <c r="B8654" t="s">
        <v>384</v>
      </c>
      <c r="C8654" t="s">
        <v>385</v>
      </c>
      <c r="D8654" t="str">
        <f>HYPERLINK("http://service.sap.com/sap/support/notes/1885790","1885790")</f>
        <v>1885790</v>
      </c>
      <c r="E8654">
        <v>1</v>
      </c>
      <c r="F8654" t="s">
        <v>7921</v>
      </c>
    </row>
    <row r="8655" spans="1:6" x14ac:dyDescent="0.25">
      <c r="A8655" t="s">
        <v>7758</v>
      </c>
      <c r="B8655" t="s">
        <v>384</v>
      </c>
      <c r="C8655" t="s">
        <v>385</v>
      </c>
      <c r="D8655" t="str">
        <f>HYPERLINK("http://service.sap.com/sap/support/notes/1886274","1886274")</f>
        <v>1886274</v>
      </c>
      <c r="E8655">
        <v>1</v>
      </c>
      <c r="F8655" t="s">
        <v>7922</v>
      </c>
    </row>
    <row r="8656" spans="1:6" x14ac:dyDescent="0.25">
      <c r="A8656" t="s">
        <v>7758</v>
      </c>
      <c r="B8656" t="s">
        <v>395</v>
      </c>
      <c r="C8656" t="s">
        <v>396</v>
      </c>
      <c r="D8656" t="str">
        <f>HYPERLINK("http://service.sap.com/sap/support/notes/1869652","1869652")</f>
        <v>1869652</v>
      </c>
      <c r="E8656">
        <v>2</v>
      </c>
      <c r="F8656" t="s">
        <v>4985</v>
      </c>
    </row>
    <row r="8657" spans="1:6" x14ac:dyDescent="0.25">
      <c r="A8657" t="s">
        <v>7758</v>
      </c>
      <c r="B8657" t="s">
        <v>423</v>
      </c>
      <c r="C8657" t="s">
        <v>424</v>
      </c>
      <c r="D8657" t="str">
        <f>HYPERLINK("http://service.sap.com/sap/support/notes/1869581","1869581")</f>
        <v>1869581</v>
      </c>
      <c r="E8657">
        <v>1</v>
      </c>
      <c r="F8657" t="s">
        <v>4652</v>
      </c>
    </row>
    <row r="8658" spans="1:6" x14ac:dyDescent="0.25">
      <c r="A8658" t="s">
        <v>7758</v>
      </c>
      <c r="B8658" t="s">
        <v>423</v>
      </c>
      <c r="C8658" t="s">
        <v>424</v>
      </c>
      <c r="D8658" t="str">
        <f>HYPERLINK("http://service.sap.com/sap/support/notes/1876168","1876168")</f>
        <v>1876168</v>
      </c>
      <c r="E8658">
        <v>1</v>
      </c>
      <c r="F8658" t="s">
        <v>4653</v>
      </c>
    </row>
    <row r="8659" spans="1:6" x14ac:dyDescent="0.25">
      <c r="A8659" t="s">
        <v>7758</v>
      </c>
      <c r="B8659" t="s">
        <v>423</v>
      </c>
      <c r="C8659" t="s">
        <v>424</v>
      </c>
      <c r="D8659" t="str">
        <f>HYPERLINK("http://service.sap.com/sap/support/notes/1879479","1879479")</f>
        <v>1879479</v>
      </c>
      <c r="E8659">
        <v>1</v>
      </c>
      <c r="F8659" t="s">
        <v>5003</v>
      </c>
    </row>
    <row r="8660" spans="1:6" x14ac:dyDescent="0.25">
      <c r="A8660" t="s">
        <v>7758</v>
      </c>
      <c r="B8660" t="s">
        <v>423</v>
      </c>
      <c r="C8660" t="s">
        <v>424</v>
      </c>
      <c r="D8660" t="str">
        <f>HYPERLINK("http://service.sap.com/sap/support/notes/1881819","1881819")</f>
        <v>1881819</v>
      </c>
      <c r="E8660">
        <v>3</v>
      </c>
      <c r="F8660" t="s">
        <v>5004</v>
      </c>
    </row>
    <row r="8661" spans="1:6" x14ac:dyDescent="0.25">
      <c r="A8661" t="s">
        <v>7758</v>
      </c>
      <c r="B8661" t="s">
        <v>423</v>
      </c>
      <c r="C8661" t="s">
        <v>424</v>
      </c>
      <c r="D8661" t="str">
        <f>HYPERLINK("http://service.sap.com/sap/support/notes/1886688","1886688")</f>
        <v>1886688</v>
      </c>
      <c r="E8661">
        <v>1</v>
      </c>
      <c r="F8661" t="s">
        <v>5009</v>
      </c>
    </row>
    <row r="8662" spans="1:6" x14ac:dyDescent="0.25">
      <c r="A8662" t="s">
        <v>7758</v>
      </c>
      <c r="B8662" t="s">
        <v>430</v>
      </c>
      <c r="C8662" t="s">
        <v>431</v>
      </c>
      <c r="D8662" t="str">
        <f>HYPERLINK("http://service.sap.com/sap/support/notes/1853779","1853779")</f>
        <v>1853779</v>
      </c>
      <c r="E8662">
        <v>3</v>
      </c>
      <c r="F8662" t="s">
        <v>5020</v>
      </c>
    </row>
    <row r="8663" spans="1:6" x14ac:dyDescent="0.25">
      <c r="A8663" t="s">
        <v>7758</v>
      </c>
      <c r="B8663" t="s">
        <v>6678</v>
      </c>
      <c r="C8663" t="s">
        <v>6436</v>
      </c>
      <c r="D8663" t="str">
        <f>HYPERLINK("http://service.sap.com/sap/support/notes/1849906","1849906")</f>
        <v>1849906</v>
      </c>
      <c r="E8663">
        <v>3</v>
      </c>
      <c r="F8663" t="s">
        <v>7923</v>
      </c>
    </row>
    <row r="8664" spans="1:6" x14ac:dyDescent="0.25">
      <c r="A8664" t="s">
        <v>7758</v>
      </c>
      <c r="B8664" t="s">
        <v>453</v>
      </c>
      <c r="C8664" t="s">
        <v>74</v>
      </c>
      <c r="D8664" t="str">
        <f>HYPERLINK("http://service.sap.com/sap/support/notes/1883553","1883553")</f>
        <v>1883553</v>
      </c>
      <c r="E8664">
        <v>1</v>
      </c>
      <c r="F8664" t="s">
        <v>7924</v>
      </c>
    </row>
    <row r="8665" spans="1:6" x14ac:dyDescent="0.25">
      <c r="A8665" t="s">
        <v>7758</v>
      </c>
      <c r="B8665" t="s">
        <v>599</v>
      </c>
      <c r="C8665" t="s">
        <v>600</v>
      </c>
      <c r="D8665" t="str">
        <f>HYPERLINK("http://service.sap.com/sap/support/notes/1870191","1870191")</f>
        <v>1870191</v>
      </c>
      <c r="E8665">
        <v>3</v>
      </c>
      <c r="F8665" t="s">
        <v>7925</v>
      </c>
    </row>
    <row r="8666" spans="1:6" x14ac:dyDescent="0.25">
      <c r="A8666" t="s">
        <v>7758</v>
      </c>
      <c r="B8666" t="s">
        <v>653</v>
      </c>
      <c r="C8666" t="s">
        <v>128</v>
      </c>
      <c r="D8666" t="str">
        <f>HYPERLINK("http://service.sap.com/sap/support/notes/1628676","1628676")</f>
        <v>1628676</v>
      </c>
      <c r="E8666">
        <v>2</v>
      </c>
      <c r="F8666" t="s">
        <v>7926</v>
      </c>
    </row>
    <row r="8667" spans="1:6" x14ac:dyDescent="0.25">
      <c r="A8667" t="s">
        <v>7758</v>
      </c>
      <c r="B8667" t="s">
        <v>607</v>
      </c>
      <c r="C8667" t="s">
        <v>156</v>
      </c>
      <c r="D8667" t="str">
        <f>HYPERLINK("http://service.sap.com/sap/support/notes/1870665","1870665")</f>
        <v>1870665</v>
      </c>
      <c r="E8667">
        <v>2</v>
      </c>
      <c r="F8667" t="s">
        <v>7927</v>
      </c>
    </row>
    <row r="8668" spans="1:6" x14ac:dyDescent="0.25">
      <c r="A8668" t="s">
        <v>7758</v>
      </c>
      <c r="B8668" t="s">
        <v>607</v>
      </c>
      <c r="C8668" t="s">
        <v>156</v>
      </c>
      <c r="D8668" t="str">
        <f>HYPERLINK("http://service.sap.com/sap/support/notes/1887983","1887983")</f>
        <v>1887983</v>
      </c>
      <c r="E8668">
        <v>1</v>
      </c>
      <c r="F8668" t="s">
        <v>5044</v>
      </c>
    </row>
    <row r="8669" spans="1:6" x14ac:dyDescent="0.25">
      <c r="A8669" t="s">
        <v>7758</v>
      </c>
      <c r="B8669" t="s">
        <v>610</v>
      </c>
      <c r="C8669" t="s">
        <v>635</v>
      </c>
    </row>
    <row r="8670" spans="1:6" x14ac:dyDescent="0.25">
      <c r="A8670" t="s">
        <v>7758</v>
      </c>
      <c r="B8670" t="s">
        <v>612</v>
      </c>
      <c r="C8670" t="s">
        <v>5696</v>
      </c>
      <c r="D8670" t="str">
        <f>HYPERLINK("http://service.sap.com/sap/support/notes/1869730","1869730")</f>
        <v>1869730</v>
      </c>
      <c r="E8670">
        <v>2</v>
      </c>
      <c r="F8670" t="s">
        <v>7928</v>
      </c>
    </row>
    <row r="8671" spans="1:6" x14ac:dyDescent="0.25">
      <c r="A8671" t="s">
        <v>7758</v>
      </c>
      <c r="B8671" t="s">
        <v>612</v>
      </c>
      <c r="C8671" t="s">
        <v>5696</v>
      </c>
      <c r="D8671" t="str">
        <f>HYPERLINK("http://service.sap.com/sap/support/notes/1881774","1881774")</f>
        <v>1881774</v>
      </c>
      <c r="E8671">
        <v>2</v>
      </c>
      <c r="F8671" t="s">
        <v>7929</v>
      </c>
    </row>
    <row r="8672" spans="1:6" x14ac:dyDescent="0.25">
      <c r="A8672" t="s">
        <v>7758</v>
      </c>
      <c r="B8672" t="s">
        <v>614</v>
      </c>
      <c r="C8672" t="s">
        <v>615</v>
      </c>
      <c r="D8672" t="str">
        <f>HYPERLINK("http://service.sap.com/sap/support/notes/1870790","1870790")</f>
        <v>1870790</v>
      </c>
      <c r="E8672">
        <v>1</v>
      </c>
      <c r="F8672" t="s">
        <v>7930</v>
      </c>
    </row>
    <row r="8673" spans="1:6" x14ac:dyDescent="0.25">
      <c r="A8673" t="s">
        <v>7758</v>
      </c>
      <c r="B8673" t="s">
        <v>618</v>
      </c>
      <c r="C8673" t="s">
        <v>619</v>
      </c>
      <c r="D8673" t="str">
        <f>HYPERLINK("http://service.sap.com/sap/support/notes/1812634","1812634")</f>
        <v>1812634</v>
      </c>
      <c r="E8673">
        <v>4</v>
      </c>
      <c r="F8673" t="s">
        <v>7931</v>
      </c>
    </row>
    <row r="8674" spans="1:6" x14ac:dyDescent="0.25">
      <c r="A8674" t="s">
        <v>7758</v>
      </c>
      <c r="B8674" t="s">
        <v>3809</v>
      </c>
      <c r="C8674" t="s">
        <v>3810</v>
      </c>
      <c r="D8674" t="str">
        <f>HYPERLINK("http://service.sap.com/sap/support/notes/1884865","1884865")</f>
        <v>1884865</v>
      </c>
      <c r="E8674">
        <v>1</v>
      </c>
      <c r="F8674" t="s">
        <v>7932</v>
      </c>
    </row>
    <row r="8675" spans="1:6" x14ac:dyDescent="0.25">
      <c r="A8675" t="s">
        <v>7758</v>
      </c>
      <c r="B8675" t="s">
        <v>3809</v>
      </c>
      <c r="C8675" t="s">
        <v>3810</v>
      </c>
      <c r="D8675" t="str">
        <f>HYPERLINK("http://service.sap.com/sap/support/notes/1886686","1886686")</f>
        <v>1886686</v>
      </c>
      <c r="E8675">
        <v>2</v>
      </c>
      <c r="F8675" t="s">
        <v>7933</v>
      </c>
    </row>
    <row r="8676" spans="1:6" x14ac:dyDescent="0.25">
      <c r="A8676" t="s">
        <v>7758</v>
      </c>
      <c r="B8676" t="s">
        <v>670</v>
      </c>
      <c r="C8676" t="s">
        <v>671</v>
      </c>
    </row>
    <row r="8677" spans="1:6" x14ac:dyDescent="0.25">
      <c r="A8677" t="s">
        <v>7758</v>
      </c>
      <c r="B8677" t="s">
        <v>672</v>
      </c>
      <c r="C8677" t="s">
        <v>673</v>
      </c>
    </row>
    <row r="8678" spans="1:6" x14ac:dyDescent="0.25">
      <c r="A8678" t="s">
        <v>7758</v>
      </c>
      <c r="B8678" t="s">
        <v>5718</v>
      </c>
      <c r="C8678" t="s">
        <v>5719</v>
      </c>
    </row>
    <row r="8679" spans="1:6" x14ac:dyDescent="0.25">
      <c r="A8679" t="s">
        <v>7758</v>
      </c>
      <c r="B8679" t="s">
        <v>5720</v>
      </c>
      <c r="C8679" t="s">
        <v>5710</v>
      </c>
      <c r="D8679" t="str">
        <f>HYPERLINK("http://service.sap.com/sap/support/notes/1887544","1887544")</f>
        <v>1887544</v>
      </c>
      <c r="E8679">
        <v>1</v>
      </c>
      <c r="F8679" t="s">
        <v>7934</v>
      </c>
    </row>
    <row r="8680" spans="1:6" x14ac:dyDescent="0.25">
      <c r="A8680" t="s">
        <v>7935</v>
      </c>
      <c r="B8680" t="s">
        <v>5</v>
      </c>
      <c r="C8680" t="s">
        <v>6</v>
      </c>
    </row>
    <row r="8681" spans="1:6" x14ac:dyDescent="0.25">
      <c r="A8681" t="s">
        <v>7935</v>
      </c>
      <c r="B8681" t="s">
        <v>7</v>
      </c>
      <c r="C8681" t="s">
        <v>8</v>
      </c>
    </row>
    <row r="8682" spans="1:6" x14ac:dyDescent="0.25">
      <c r="A8682" t="s">
        <v>7935</v>
      </c>
      <c r="B8682" t="s">
        <v>9</v>
      </c>
      <c r="C8682" t="s">
        <v>10</v>
      </c>
    </row>
    <row r="8683" spans="1:6" x14ac:dyDescent="0.25">
      <c r="A8683" t="s">
        <v>7935</v>
      </c>
      <c r="B8683" t="s">
        <v>7936</v>
      </c>
      <c r="C8683" t="s">
        <v>7937</v>
      </c>
      <c r="D8683" t="str">
        <f>HYPERLINK("http://service.sap.com/sap/support/notes/1858112","1858112")</f>
        <v>1858112</v>
      </c>
      <c r="E8683">
        <v>2</v>
      </c>
      <c r="F8683" t="s">
        <v>7938</v>
      </c>
    </row>
    <row r="8684" spans="1:6" x14ac:dyDescent="0.25">
      <c r="A8684" t="s">
        <v>7935</v>
      </c>
      <c r="B8684" t="s">
        <v>481</v>
      </c>
      <c r="C8684" t="s">
        <v>482</v>
      </c>
    </row>
    <row r="8685" spans="1:6" x14ac:dyDescent="0.25">
      <c r="A8685" t="s">
        <v>7935</v>
      </c>
      <c r="B8685" t="s">
        <v>487</v>
      </c>
      <c r="C8685" t="s">
        <v>488</v>
      </c>
    </row>
    <row r="8686" spans="1:6" x14ac:dyDescent="0.25">
      <c r="A8686" t="s">
        <v>7935</v>
      </c>
      <c r="B8686" t="s">
        <v>489</v>
      </c>
      <c r="C8686" t="s">
        <v>641</v>
      </c>
      <c r="D8686" t="str">
        <f>HYPERLINK("http://service.sap.com/sap/support/notes/1891370","1891370")</f>
        <v>1891370</v>
      </c>
      <c r="E8686">
        <v>1</v>
      </c>
      <c r="F8686" t="s">
        <v>7939</v>
      </c>
    </row>
    <row r="8687" spans="1:6" x14ac:dyDescent="0.25">
      <c r="A8687" t="s">
        <v>7935</v>
      </c>
      <c r="B8687" t="s">
        <v>489</v>
      </c>
      <c r="C8687" t="s">
        <v>641</v>
      </c>
      <c r="D8687" t="str">
        <f>HYPERLINK("http://service.sap.com/sap/support/notes/1894308","1894308")</f>
        <v>1894308</v>
      </c>
      <c r="E8687">
        <v>1</v>
      </c>
      <c r="F8687" t="s">
        <v>7940</v>
      </c>
    </row>
    <row r="8688" spans="1:6" x14ac:dyDescent="0.25">
      <c r="A8688" t="s">
        <v>7935</v>
      </c>
      <c r="B8688" t="s">
        <v>490</v>
      </c>
      <c r="C8688" t="s">
        <v>491</v>
      </c>
    </row>
    <row r="8689" spans="1:6" x14ac:dyDescent="0.25">
      <c r="A8689" t="s">
        <v>7935</v>
      </c>
      <c r="B8689" t="s">
        <v>722</v>
      </c>
      <c r="C8689" t="s">
        <v>723</v>
      </c>
    </row>
    <row r="8690" spans="1:6" x14ac:dyDescent="0.25">
      <c r="A8690" t="s">
        <v>7935</v>
      </c>
      <c r="B8690" t="s">
        <v>724</v>
      </c>
      <c r="C8690" t="s">
        <v>648</v>
      </c>
      <c r="D8690" t="str">
        <f>HYPERLINK("http://service.sap.com/sap/support/notes/1884990","1884990")</f>
        <v>1884990</v>
      </c>
      <c r="E8690">
        <v>2</v>
      </c>
      <c r="F8690" t="s">
        <v>7941</v>
      </c>
    </row>
    <row r="8691" spans="1:6" x14ac:dyDescent="0.25">
      <c r="A8691" t="s">
        <v>7935</v>
      </c>
      <c r="B8691" t="s">
        <v>493</v>
      </c>
      <c r="C8691" t="s">
        <v>494</v>
      </c>
    </row>
    <row r="8692" spans="1:6" x14ac:dyDescent="0.25">
      <c r="A8692" t="s">
        <v>7935</v>
      </c>
      <c r="B8692" t="s">
        <v>495</v>
      </c>
      <c r="C8692" t="s">
        <v>655</v>
      </c>
    </row>
    <row r="8693" spans="1:6" x14ac:dyDescent="0.25">
      <c r="A8693" t="s">
        <v>7935</v>
      </c>
      <c r="B8693" t="s">
        <v>497</v>
      </c>
      <c r="C8693" t="s">
        <v>498</v>
      </c>
      <c r="D8693" t="str">
        <f>HYPERLINK("http://service.sap.com/sap/support/notes/1882503","1882503")</f>
        <v>1882503</v>
      </c>
      <c r="E8693">
        <v>1</v>
      </c>
      <c r="F8693" t="s">
        <v>7942</v>
      </c>
    </row>
    <row r="8694" spans="1:6" x14ac:dyDescent="0.25">
      <c r="A8694" t="s">
        <v>7935</v>
      </c>
      <c r="B8694" t="s">
        <v>497</v>
      </c>
      <c r="C8694" t="s">
        <v>498</v>
      </c>
      <c r="D8694" t="str">
        <f>HYPERLINK("http://service.sap.com/sap/support/notes/1884236","1884236")</f>
        <v>1884236</v>
      </c>
      <c r="E8694">
        <v>2</v>
      </c>
      <c r="F8694" t="s">
        <v>7943</v>
      </c>
    </row>
    <row r="8695" spans="1:6" x14ac:dyDescent="0.25">
      <c r="A8695" t="s">
        <v>7935</v>
      </c>
      <c r="B8695" t="s">
        <v>497</v>
      </c>
      <c r="C8695" t="s">
        <v>498</v>
      </c>
      <c r="D8695" t="str">
        <f>HYPERLINK("http://service.sap.com/sap/support/notes/1890333","1890333")</f>
        <v>1890333</v>
      </c>
      <c r="E8695">
        <v>1</v>
      </c>
      <c r="F8695" t="s">
        <v>7944</v>
      </c>
    </row>
    <row r="8696" spans="1:6" x14ac:dyDescent="0.25">
      <c r="A8696" t="s">
        <v>7935</v>
      </c>
      <c r="B8696" t="s">
        <v>497</v>
      </c>
      <c r="C8696" t="s">
        <v>498</v>
      </c>
      <c r="D8696" t="str">
        <f>HYPERLINK("http://service.sap.com/sap/support/notes/1891313","1891313")</f>
        <v>1891313</v>
      </c>
      <c r="E8696">
        <v>6</v>
      </c>
      <c r="F8696" t="s">
        <v>7945</v>
      </c>
    </row>
    <row r="8697" spans="1:6" x14ac:dyDescent="0.25">
      <c r="A8697" t="s">
        <v>7935</v>
      </c>
      <c r="B8697" t="s">
        <v>497</v>
      </c>
      <c r="C8697" t="s">
        <v>498</v>
      </c>
      <c r="D8697" t="str">
        <f>HYPERLINK("http://service.sap.com/sap/support/notes/1892074","1892074")</f>
        <v>1892074</v>
      </c>
      <c r="E8697">
        <v>1</v>
      </c>
      <c r="F8697" t="s">
        <v>7946</v>
      </c>
    </row>
    <row r="8698" spans="1:6" x14ac:dyDescent="0.25">
      <c r="A8698" t="s">
        <v>7935</v>
      </c>
      <c r="B8698" t="s">
        <v>497</v>
      </c>
      <c r="C8698" t="s">
        <v>498</v>
      </c>
      <c r="D8698" t="str">
        <f>HYPERLINK("http://service.sap.com/sap/support/notes/1893195","1893195")</f>
        <v>1893195</v>
      </c>
      <c r="E8698">
        <v>1</v>
      </c>
      <c r="F8698" t="s">
        <v>7947</v>
      </c>
    </row>
    <row r="8699" spans="1:6" x14ac:dyDescent="0.25">
      <c r="A8699" t="s">
        <v>7935</v>
      </c>
      <c r="B8699" t="s">
        <v>497</v>
      </c>
      <c r="C8699" t="s">
        <v>498</v>
      </c>
      <c r="D8699" t="str">
        <f>HYPERLINK("http://service.sap.com/sap/support/notes/1893341","1893341")</f>
        <v>1893341</v>
      </c>
      <c r="E8699">
        <v>1</v>
      </c>
      <c r="F8699" t="s">
        <v>7948</v>
      </c>
    </row>
    <row r="8700" spans="1:6" x14ac:dyDescent="0.25">
      <c r="A8700" t="s">
        <v>7935</v>
      </c>
      <c r="B8700" t="s">
        <v>497</v>
      </c>
      <c r="C8700" t="s">
        <v>498</v>
      </c>
      <c r="D8700" t="str">
        <f>HYPERLINK("http://service.sap.com/sap/support/notes/1893620","1893620")</f>
        <v>1893620</v>
      </c>
      <c r="E8700">
        <v>2</v>
      </c>
      <c r="F8700" t="s">
        <v>7949</v>
      </c>
    </row>
    <row r="8701" spans="1:6" x14ac:dyDescent="0.25">
      <c r="A8701" t="s">
        <v>7935</v>
      </c>
      <c r="B8701" t="s">
        <v>497</v>
      </c>
      <c r="C8701" t="s">
        <v>498</v>
      </c>
      <c r="D8701" t="str">
        <f>HYPERLINK("http://service.sap.com/sap/support/notes/1894585","1894585")</f>
        <v>1894585</v>
      </c>
      <c r="E8701">
        <v>2</v>
      </c>
      <c r="F8701" t="s">
        <v>7950</v>
      </c>
    </row>
    <row r="8702" spans="1:6" x14ac:dyDescent="0.25">
      <c r="A8702" t="s">
        <v>7935</v>
      </c>
      <c r="B8702" t="s">
        <v>497</v>
      </c>
      <c r="C8702" t="s">
        <v>498</v>
      </c>
      <c r="D8702" t="str">
        <f>HYPERLINK("http://service.sap.com/sap/support/notes/1895173","1895173")</f>
        <v>1895173</v>
      </c>
      <c r="E8702">
        <v>1</v>
      </c>
      <c r="F8702" t="s">
        <v>7951</v>
      </c>
    </row>
    <row r="8703" spans="1:6" x14ac:dyDescent="0.25">
      <c r="A8703" t="s">
        <v>7935</v>
      </c>
      <c r="B8703" t="s">
        <v>497</v>
      </c>
      <c r="C8703" t="s">
        <v>498</v>
      </c>
      <c r="D8703" t="str">
        <f>HYPERLINK("http://service.sap.com/sap/support/notes/1896402","1896402")</f>
        <v>1896402</v>
      </c>
      <c r="E8703">
        <v>2</v>
      </c>
      <c r="F8703" t="s">
        <v>7952</v>
      </c>
    </row>
    <row r="8704" spans="1:6" x14ac:dyDescent="0.25">
      <c r="A8704" t="s">
        <v>7935</v>
      </c>
      <c r="B8704" t="s">
        <v>497</v>
      </c>
      <c r="C8704" t="s">
        <v>498</v>
      </c>
      <c r="D8704" t="str">
        <f>HYPERLINK("http://service.sap.com/sap/support/notes/1896760","1896760")</f>
        <v>1896760</v>
      </c>
      <c r="E8704">
        <v>1</v>
      </c>
      <c r="F8704" t="s">
        <v>7953</v>
      </c>
    </row>
    <row r="8705" spans="1:6" x14ac:dyDescent="0.25">
      <c r="A8705" t="s">
        <v>7935</v>
      </c>
      <c r="B8705" t="s">
        <v>497</v>
      </c>
      <c r="C8705" t="s">
        <v>498</v>
      </c>
      <c r="D8705" t="str">
        <f>HYPERLINK("http://service.sap.com/sap/support/notes/1897004","1897004")</f>
        <v>1897004</v>
      </c>
      <c r="E8705">
        <v>1</v>
      </c>
      <c r="F8705" t="s">
        <v>7954</v>
      </c>
    </row>
    <row r="8706" spans="1:6" x14ac:dyDescent="0.25">
      <c r="A8706" t="s">
        <v>7935</v>
      </c>
      <c r="B8706" t="s">
        <v>497</v>
      </c>
      <c r="C8706" t="s">
        <v>498</v>
      </c>
      <c r="D8706" t="str">
        <f>HYPERLINK("http://service.sap.com/sap/support/notes/1897961","1897961")</f>
        <v>1897961</v>
      </c>
      <c r="E8706">
        <v>1</v>
      </c>
      <c r="F8706" t="s">
        <v>7955</v>
      </c>
    </row>
    <row r="8707" spans="1:6" x14ac:dyDescent="0.25">
      <c r="A8707" t="s">
        <v>7935</v>
      </c>
      <c r="B8707" t="s">
        <v>497</v>
      </c>
      <c r="C8707" t="s">
        <v>498</v>
      </c>
      <c r="D8707" t="str">
        <f>HYPERLINK("http://service.sap.com/sap/support/notes/1898400","1898400")</f>
        <v>1898400</v>
      </c>
      <c r="E8707">
        <v>1</v>
      </c>
      <c r="F8707" t="s">
        <v>7956</v>
      </c>
    </row>
    <row r="8708" spans="1:6" x14ac:dyDescent="0.25">
      <c r="A8708" t="s">
        <v>7935</v>
      </c>
      <c r="B8708" t="s">
        <v>497</v>
      </c>
      <c r="C8708" t="s">
        <v>498</v>
      </c>
      <c r="D8708" t="str">
        <f>HYPERLINK("http://service.sap.com/sap/support/notes/1899075","1899075")</f>
        <v>1899075</v>
      </c>
      <c r="E8708">
        <v>1</v>
      </c>
      <c r="F8708" t="s">
        <v>7957</v>
      </c>
    </row>
    <row r="8709" spans="1:6" x14ac:dyDescent="0.25">
      <c r="A8709" t="s">
        <v>7935</v>
      </c>
      <c r="B8709" t="s">
        <v>497</v>
      </c>
      <c r="C8709" t="s">
        <v>498</v>
      </c>
      <c r="D8709" t="str">
        <f>HYPERLINK("http://service.sap.com/sap/support/notes/1902062","1902062")</f>
        <v>1902062</v>
      </c>
      <c r="E8709">
        <v>1</v>
      </c>
      <c r="F8709" t="s">
        <v>7958</v>
      </c>
    </row>
    <row r="8710" spans="1:6" x14ac:dyDescent="0.25">
      <c r="A8710" t="s">
        <v>7935</v>
      </c>
      <c r="B8710" t="s">
        <v>656</v>
      </c>
      <c r="C8710" t="s">
        <v>657</v>
      </c>
      <c r="D8710" t="str">
        <f>HYPERLINK("http://service.sap.com/sap/support/notes/1836267","1836267")</f>
        <v>1836267</v>
      </c>
      <c r="E8710">
        <v>2</v>
      </c>
      <c r="F8710" t="s">
        <v>7959</v>
      </c>
    </row>
    <row r="8711" spans="1:6" x14ac:dyDescent="0.25">
      <c r="A8711" t="s">
        <v>7935</v>
      </c>
      <c r="B8711" t="s">
        <v>656</v>
      </c>
      <c r="C8711" t="s">
        <v>657</v>
      </c>
      <c r="D8711" t="str">
        <f>HYPERLINK("http://service.sap.com/sap/support/notes/1848342","1848342")</f>
        <v>1848342</v>
      </c>
      <c r="E8711">
        <v>4</v>
      </c>
      <c r="F8711" t="s">
        <v>7960</v>
      </c>
    </row>
    <row r="8712" spans="1:6" x14ac:dyDescent="0.25">
      <c r="A8712" t="s">
        <v>7935</v>
      </c>
      <c r="B8712" t="s">
        <v>656</v>
      </c>
      <c r="C8712" t="s">
        <v>657</v>
      </c>
      <c r="D8712" t="str">
        <f>HYPERLINK("http://service.sap.com/sap/support/notes/1881511","1881511")</f>
        <v>1881511</v>
      </c>
      <c r="E8712">
        <v>2</v>
      </c>
      <c r="F8712" t="s">
        <v>7961</v>
      </c>
    </row>
    <row r="8713" spans="1:6" x14ac:dyDescent="0.25">
      <c r="A8713" t="s">
        <v>7935</v>
      </c>
      <c r="B8713" t="s">
        <v>656</v>
      </c>
      <c r="C8713" t="s">
        <v>657</v>
      </c>
      <c r="D8713" t="str">
        <f>HYPERLINK("http://service.sap.com/sap/support/notes/1886366","1886366")</f>
        <v>1886366</v>
      </c>
      <c r="E8713">
        <v>2</v>
      </c>
      <c r="F8713" t="s">
        <v>7962</v>
      </c>
    </row>
    <row r="8714" spans="1:6" x14ac:dyDescent="0.25">
      <c r="A8714" t="s">
        <v>7935</v>
      </c>
      <c r="B8714" t="s">
        <v>656</v>
      </c>
      <c r="C8714" t="s">
        <v>657</v>
      </c>
      <c r="D8714" t="str">
        <f>HYPERLINK("http://service.sap.com/sap/support/notes/1888227","1888227")</f>
        <v>1888227</v>
      </c>
      <c r="E8714">
        <v>1</v>
      </c>
      <c r="F8714" t="s">
        <v>7963</v>
      </c>
    </row>
    <row r="8715" spans="1:6" x14ac:dyDescent="0.25">
      <c r="A8715" t="s">
        <v>7935</v>
      </c>
      <c r="B8715" t="s">
        <v>656</v>
      </c>
      <c r="C8715" t="s">
        <v>657</v>
      </c>
      <c r="D8715" t="str">
        <f>HYPERLINK("http://service.sap.com/sap/support/notes/1890192","1890192")</f>
        <v>1890192</v>
      </c>
      <c r="E8715">
        <v>1</v>
      </c>
      <c r="F8715" t="s">
        <v>7964</v>
      </c>
    </row>
    <row r="8716" spans="1:6" x14ac:dyDescent="0.25">
      <c r="A8716" t="s">
        <v>7935</v>
      </c>
      <c r="B8716" t="s">
        <v>656</v>
      </c>
      <c r="C8716" t="s">
        <v>657</v>
      </c>
      <c r="D8716" t="str">
        <f>HYPERLINK("http://service.sap.com/sap/support/notes/1893330","1893330")</f>
        <v>1893330</v>
      </c>
      <c r="E8716">
        <v>1</v>
      </c>
      <c r="F8716" t="s">
        <v>7965</v>
      </c>
    </row>
    <row r="8717" spans="1:6" x14ac:dyDescent="0.25">
      <c r="A8717" t="s">
        <v>7935</v>
      </c>
      <c r="B8717" t="s">
        <v>656</v>
      </c>
      <c r="C8717" t="s">
        <v>657</v>
      </c>
      <c r="D8717" t="str">
        <f>HYPERLINK("http://service.sap.com/sap/support/notes/1893371","1893371")</f>
        <v>1893371</v>
      </c>
      <c r="E8717">
        <v>1</v>
      </c>
      <c r="F8717" t="s">
        <v>7966</v>
      </c>
    </row>
    <row r="8718" spans="1:6" x14ac:dyDescent="0.25">
      <c r="A8718" t="s">
        <v>7935</v>
      </c>
      <c r="B8718" t="s">
        <v>656</v>
      </c>
      <c r="C8718" t="s">
        <v>657</v>
      </c>
      <c r="D8718" t="str">
        <f>HYPERLINK("http://service.sap.com/sap/support/notes/1894807","1894807")</f>
        <v>1894807</v>
      </c>
      <c r="E8718">
        <v>1</v>
      </c>
      <c r="F8718" t="s">
        <v>7967</v>
      </c>
    </row>
    <row r="8719" spans="1:6" x14ac:dyDescent="0.25">
      <c r="A8719" t="s">
        <v>7935</v>
      </c>
      <c r="B8719" t="s">
        <v>656</v>
      </c>
      <c r="C8719" t="s">
        <v>657</v>
      </c>
      <c r="D8719" t="str">
        <f>HYPERLINK("http://service.sap.com/sap/support/notes/1895109","1895109")</f>
        <v>1895109</v>
      </c>
      <c r="E8719">
        <v>3</v>
      </c>
      <c r="F8719" t="s">
        <v>7968</v>
      </c>
    </row>
    <row r="8720" spans="1:6" x14ac:dyDescent="0.25">
      <c r="A8720" t="s">
        <v>7935</v>
      </c>
      <c r="B8720" t="s">
        <v>656</v>
      </c>
      <c r="C8720" t="s">
        <v>657</v>
      </c>
      <c r="D8720" t="str">
        <f>HYPERLINK("http://service.sap.com/sap/support/notes/1895610","1895610")</f>
        <v>1895610</v>
      </c>
      <c r="E8720">
        <v>2</v>
      </c>
      <c r="F8720" t="s">
        <v>7969</v>
      </c>
    </row>
    <row r="8721" spans="1:6" x14ac:dyDescent="0.25">
      <c r="A8721" t="s">
        <v>7935</v>
      </c>
      <c r="B8721" t="s">
        <v>656</v>
      </c>
      <c r="C8721" t="s">
        <v>657</v>
      </c>
      <c r="D8721" t="str">
        <f>HYPERLINK("http://service.sap.com/sap/support/notes/1896415","1896415")</f>
        <v>1896415</v>
      </c>
      <c r="E8721">
        <v>1</v>
      </c>
      <c r="F8721" t="s">
        <v>7970</v>
      </c>
    </row>
    <row r="8722" spans="1:6" x14ac:dyDescent="0.25">
      <c r="A8722" t="s">
        <v>7935</v>
      </c>
      <c r="B8722" t="s">
        <v>656</v>
      </c>
      <c r="C8722" t="s">
        <v>657</v>
      </c>
      <c r="D8722" t="str">
        <f>HYPERLINK("http://service.sap.com/sap/support/notes/1896941","1896941")</f>
        <v>1896941</v>
      </c>
      <c r="E8722">
        <v>1</v>
      </c>
      <c r="F8722" t="s">
        <v>7971</v>
      </c>
    </row>
    <row r="8723" spans="1:6" x14ac:dyDescent="0.25">
      <c r="A8723" t="s">
        <v>7935</v>
      </c>
      <c r="B8723" t="s">
        <v>656</v>
      </c>
      <c r="C8723" t="s">
        <v>657</v>
      </c>
      <c r="D8723" t="str">
        <f>HYPERLINK("http://service.sap.com/sap/support/notes/1897299","1897299")</f>
        <v>1897299</v>
      </c>
      <c r="E8723">
        <v>1</v>
      </c>
      <c r="F8723" t="s">
        <v>7972</v>
      </c>
    </row>
    <row r="8724" spans="1:6" x14ac:dyDescent="0.25">
      <c r="A8724" t="s">
        <v>7935</v>
      </c>
      <c r="B8724" t="s">
        <v>656</v>
      </c>
      <c r="C8724" t="s">
        <v>657</v>
      </c>
      <c r="D8724" t="str">
        <f>HYPERLINK("http://service.sap.com/sap/support/notes/1897463","1897463")</f>
        <v>1897463</v>
      </c>
      <c r="E8724">
        <v>1</v>
      </c>
      <c r="F8724" t="s">
        <v>7962</v>
      </c>
    </row>
    <row r="8725" spans="1:6" x14ac:dyDescent="0.25">
      <c r="A8725" t="s">
        <v>7935</v>
      </c>
      <c r="B8725" t="s">
        <v>656</v>
      </c>
      <c r="C8725" t="s">
        <v>657</v>
      </c>
      <c r="D8725" t="str">
        <f>HYPERLINK("http://service.sap.com/sap/support/notes/1897509","1897509")</f>
        <v>1897509</v>
      </c>
      <c r="E8725">
        <v>1</v>
      </c>
      <c r="F8725" t="s">
        <v>7973</v>
      </c>
    </row>
    <row r="8726" spans="1:6" x14ac:dyDescent="0.25">
      <c r="A8726" t="s">
        <v>7935</v>
      </c>
      <c r="B8726" t="s">
        <v>656</v>
      </c>
      <c r="C8726" t="s">
        <v>657</v>
      </c>
      <c r="D8726" t="str">
        <f>HYPERLINK("http://service.sap.com/sap/support/notes/1898489","1898489")</f>
        <v>1898489</v>
      </c>
      <c r="E8726">
        <v>1</v>
      </c>
      <c r="F8726" t="s">
        <v>7974</v>
      </c>
    </row>
    <row r="8727" spans="1:6" x14ac:dyDescent="0.25">
      <c r="A8727" t="s">
        <v>7935</v>
      </c>
      <c r="B8727" t="s">
        <v>656</v>
      </c>
      <c r="C8727" t="s">
        <v>657</v>
      </c>
      <c r="D8727" t="str">
        <f>HYPERLINK("http://service.sap.com/sap/support/notes/1898528","1898528")</f>
        <v>1898528</v>
      </c>
      <c r="E8727">
        <v>1</v>
      </c>
      <c r="F8727" t="s">
        <v>7975</v>
      </c>
    </row>
    <row r="8728" spans="1:6" x14ac:dyDescent="0.25">
      <c r="A8728" t="s">
        <v>7935</v>
      </c>
      <c r="B8728" t="s">
        <v>694</v>
      </c>
      <c r="C8728" t="s">
        <v>695</v>
      </c>
      <c r="D8728" t="str">
        <f>HYPERLINK("http://service.sap.com/sap/support/notes/1889608","1889608")</f>
        <v>1889608</v>
      </c>
      <c r="E8728">
        <v>3</v>
      </c>
      <c r="F8728" t="s">
        <v>7976</v>
      </c>
    </row>
    <row r="8729" spans="1:6" x14ac:dyDescent="0.25">
      <c r="A8729" t="s">
        <v>7935</v>
      </c>
      <c r="B8729" t="s">
        <v>694</v>
      </c>
      <c r="C8729" t="s">
        <v>695</v>
      </c>
      <c r="D8729" t="str">
        <f>HYPERLINK("http://service.sap.com/sap/support/notes/1893178","1893178")</f>
        <v>1893178</v>
      </c>
      <c r="E8729">
        <v>1</v>
      </c>
      <c r="F8729" t="s">
        <v>7977</v>
      </c>
    </row>
    <row r="8730" spans="1:6" x14ac:dyDescent="0.25">
      <c r="A8730" t="s">
        <v>7935</v>
      </c>
      <c r="B8730" t="s">
        <v>694</v>
      </c>
      <c r="C8730" t="s">
        <v>695</v>
      </c>
      <c r="D8730" t="str">
        <f>HYPERLINK("http://service.sap.com/sap/support/notes/1894610","1894610")</f>
        <v>1894610</v>
      </c>
      <c r="E8730">
        <v>2</v>
      </c>
      <c r="F8730" t="s">
        <v>7978</v>
      </c>
    </row>
    <row r="8731" spans="1:6" x14ac:dyDescent="0.25">
      <c r="A8731" t="s">
        <v>7935</v>
      </c>
      <c r="B8731" t="s">
        <v>694</v>
      </c>
      <c r="C8731" t="s">
        <v>695</v>
      </c>
      <c r="D8731" t="str">
        <f>HYPERLINK("http://service.sap.com/sap/support/notes/1894783","1894783")</f>
        <v>1894783</v>
      </c>
      <c r="E8731">
        <v>2</v>
      </c>
      <c r="F8731" t="s">
        <v>7979</v>
      </c>
    </row>
    <row r="8732" spans="1:6" x14ac:dyDescent="0.25">
      <c r="A8732" t="s">
        <v>7935</v>
      </c>
      <c r="B8732" t="s">
        <v>694</v>
      </c>
      <c r="C8732" t="s">
        <v>695</v>
      </c>
      <c r="D8732" t="str">
        <f>HYPERLINK("http://service.sap.com/sap/support/notes/1895136","1895136")</f>
        <v>1895136</v>
      </c>
      <c r="E8732">
        <v>1</v>
      </c>
      <c r="F8732" t="s">
        <v>7980</v>
      </c>
    </row>
    <row r="8733" spans="1:6" x14ac:dyDescent="0.25">
      <c r="A8733" t="s">
        <v>7935</v>
      </c>
      <c r="B8733" t="s">
        <v>694</v>
      </c>
      <c r="C8733" t="s">
        <v>695</v>
      </c>
      <c r="D8733" t="str">
        <f>HYPERLINK("http://service.sap.com/sap/support/notes/1898260","1898260")</f>
        <v>1898260</v>
      </c>
      <c r="E8733">
        <v>1</v>
      </c>
      <c r="F8733" t="s">
        <v>7981</v>
      </c>
    </row>
    <row r="8734" spans="1:6" x14ac:dyDescent="0.25">
      <c r="A8734" t="s">
        <v>7935</v>
      </c>
      <c r="B8734" t="s">
        <v>5798</v>
      </c>
      <c r="C8734" t="s">
        <v>5799</v>
      </c>
      <c r="D8734" t="str">
        <f>HYPERLINK("http://service.sap.com/sap/support/notes/1890270","1890270")</f>
        <v>1890270</v>
      </c>
      <c r="E8734">
        <v>1</v>
      </c>
      <c r="F8734" t="s">
        <v>7982</v>
      </c>
    </row>
    <row r="8735" spans="1:6" x14ac:dyDescent="0.25">
      <c r="A8735" t="s">
        <v>7935</v>
      </c>
      <c r="B8735" t="s">
        <v>5798</v>
      </c>
      <c r="C8735" t="s">
        <v>5799</v>
      </c>
      <c r="D8735" t="str">
        <f>HYPERLINK("http://service.sap.com/sap/support/notes/1898693","1898693")</f>
        <v>1898693</v>
      </c>
      <c r="E8735">
        <v>2</v>
      </c>
      <c r="F8735" t="s">
        <v>7983</v>
      </c>
    </row>
    <row r="8736" spans="1:6" x14ac:dyDescent="0.25">
      <c r="A8736" t="s">
        <v>7935</v>
      </c>
      <c r="B8736" t="s">
        <v>5798</v>
      </c>
      <c r="C8736" t="s">
        <v>5799</v>
      </c>
      <c r="D8736" t="str">
        <f>HYPERLINK("http://service.sap.com/sap/support/notes/1901126","1901126")</f>
        <v>1901126</v>
      </c>
      <c r="E8736">
        <v>5</v>
      </c>
      <c r="F8736" t="s">
        <v>7984</v>
      </c>
    </row>
    <row r="8737" spans="1:6" x14ac:dyDescent="0.25">
      <c r="A8737" t="s">
        <v>7935</v>
      </c>
      <c r="B8737" t="s">
        <v>5798</v>
      </c>
      <c r="C8737" t="s">
        <v>5799</v>
      </c>
      <c r="D8737" t="str">
        <f>HYPERLINK("http://service.sap.com/sap/support/notes/1903849","1903849")</f>
        <v>1903849</v>
      </c>
      <c r="E8737">
        <v>1</v>
      </c>
      <c r="F8737" t="s">
        <v>7985</v>
      </c>
    </row>
    <row r="8738" spans="1:6" x14ac:dyDescent="0.25">
      <c r="A8738" t="s">
        <v>7935</v>
      </c>
      <c r="B8738" t="s">
        <v>24</v>
      </c>
      <c r="C8738" t="s">
        <v>10</v>
      </c>
    </row>
    <row r="8739" spans="1:6" x14ac:dyDescent="0.25">
      <c r="A8739" t="s">
        <v>7935</v>
      </c>
      <c r="B8739" t="s">
        <v>5505</v>
      </c>
      <c r="C8739" t="s">
        <v>5506</v>
      </c>
      <c r="D8739" t="str">
        <f>HYPERLINK("http://service.sap.com/sap/support/notes/1887596","1887596")</f>
        <v>1887596</v>
      </c>
      <c r="E8739">
        <v>2</v>
      </c>
      <c r="F8739" t="s">
        <v>7986</v>
      </c>
    </row>
    <row r="8740" spans="1:6" x14ac:dyDescent="0.25">
      <c r="A8740" t="s">
        <v>7935</v>
      </c>
      <c r="B8740" t="s">
        <v>5505</v>
      </c>
      <c r="C8740" t="s">
        <v>5506</v>
      </c>
      <c r="D8740" t="str">
        <f>HYPERLINK("http://service.sap.com/sap/support/notes/1890472","1890472")</f>
        <v>1890472</v>
      </c>
      <c r="E8740">
        <v>2</v>
      </c>
      <c r="F8740" t="s">
        <v>7987</v>
      </c>
    </row>
    <row r="8741" spans="1:6" x14ac:dyDescent="0.25">
      <c r="A8741" t="s">
        <v>7935</v>
      </c>
      <c r="B8741" t="s">
        <v>5505</v>
      </c>
      <c r="C8741" t="s">
        <v>5506</v>
      </c>
      <c r="D8741" t="str">
        <f>HYPERLINK("http://service.sap.com/sap/support/notes/1890497","1890497")</f>
        <v>1890497</v>
      </c>
      <c r="E8741">
        <v>3</v>
      </c>
      <c r="F8741" t="s">
        <v>6241</v>
      </c>
    </row>
    <row r="8742" spans="1:6" x14ac:dyDescent="0.25">
      <c r="A8742" t="s">
        <v>7935</v>
      </c>
      <c r="B8742" t="s">
        <v>5505</v>
      </c>
      <c r="C8742" t="s">
        <v>5506</v>
      </c>
      <c r="D8742" t="str">
        <f>HYPERLINK("http://service.sap.com/sap/support/notes/1890547","1890547")</f>
        <v>1890547</v>
      </c>
      <c r="E8742">
        <v>1</v>
      </c>
      <c r="F8742" t="s">
        <v>7988</v>
      </c>
    </row>
    <row r="8743" spans="1:6" x14ac:dyDescent="0.25">
      <c r="A8743" t="s">
        <v>7935</v>
      </c>
      <c r="B8743" t="s">
        <v>5505</v>
      </c>
      <c r="C8743" t="s">
        <v>5506</v>
      </c>
      <c r="D8743" t="str">
        <f>HYPERLINK("http://service.sap.com/sap/support/notes/1892388","1892388")</f>
        <v>1892388</v>
      </c>
      <c r="E8743">
        <v>1</v>
      </c>
      <c r="F8743" t="s">
        <v>7989</v>
      </c>
    </row>
    <row r="8744" spans="1:6" x14ac:dyDescent="0.25">
      <c r="A8744" t="s">
        <v>7935</v>
      </c>
      <c r="B8744" t="s">
        <v>5505</v>
      </c>
      <c r="C8744" t="s">
        <v>5506</v>
      </c>
      <c r="D8744" t="str">
        <f>HYPERLINK("http://service.sap.com/sap/support/notes/1892583","1892583")</f>
        <v>1892583</v>
      </c>
      <c r="E8744">
        <v>1</v>
      </c>
      <c r="F8744" t="s">
        <v>7990</v>
      </c>
    </row>
    <row r="8745" spans="1:6" x14ac:dyDescent="0.25">
      <c r="A8745" t="s">
        <v>7935</v>
      </c>
      <c r="B8745" t="s">
        <v>5505</v>
      </c>
      <c r="C8745" t="s">
        <v>5506</v>
      </c>
      <c r="D8745" t="str">
        <f>HYPERLINK("http://service.sap.com/sap/support/notes/1901520","1901520")</f>
        <v>1901520</v>
      </c>
      <c r="E8745">
        <v>1</v>
      </c>
      <c r="F8745" t="s">
        <v>7991</v>
      </c>
    </row>
    <row r="8746" spans="1:6" x14ac:dyDescent="0.25">
      <c r="A8746" t="s">
        <v>7935</v>
      </c>
      <c r="B8746" t="s">
        <v>5524</v>
      </c>
      <c r="C8746" t="s">
        <v>5525</v>
      </c>
      <c r="D8746" t="str">
        <f>HYPERLINK("http://service.sap.com/sap/support/notes/1652620","1652620")</f>
        <v>1652620</v>
      </c>
      <c r="E8746">
        <v>5</v>
      </c>
      <c r="F8746" t="s">
        <v>7992</v>
      </c>
    </row>
    <row r="8747" spans="1:6" x14ac:dyDescent="0.25">
      <c r="A8747" t="s">
        <v>7935</v>
      </c>
      <c r="B8747" t="s">
        <v>5524</v>
      </c>
      <c r="C8747" t="s">
        <v>5525</v>
      </c>
      <c r="D8747" t="str">
        <f>HYPERLINK("http://service.sap.com/sap/support/notes/1819237","1819237")</f>
        <v>1819237</v>
      </c>
      <c r="E8747">
        <v>2</v>
      </c>
      <c r="F8747" t="s">
        <v>7993</v>
      </c>
    </row>
    <row r="8748" spans="1:6" x14ac:dyDescent="0.25">
      <c r="A8748" t="s">
        <v>7935</v>
      </c>
      <c r="B8748" t="s">
        <v>5536</v>
      </c>
      <c r="C8748" t="s">
        <v>5537</v>
      </c>
      <c r="D8748" t="str">
        <f>HYPERLINK("http://service.sap.com/sap/support/notes/1821073","1821073")</f>
        <v>1821073</v>
      </c>
      <c r="E8748">
        <v>3</v>
      </c>
      <c r="F8748" t="s">
        <v>7994</v>
      </c>
    </row>
    <row r="8749" spans="1:6" x14ac:dyDescent="0.25">
      <c r="A8749" t="s">
        <v>7935</v>
      </c>
      <c r="B8749" t="s">
        <v>5536</v>
      </c>
      <c r="C8749" t="s">
        <v>5537</v>
      </c>
      <c r="D8749" t="str">
        <f>HYPERLINK("http://service.sap.com/sap/support/notes/1891043","1891043")</f>
        <v>1891043</v>
      </c>
      <c r="E8749">
        <v>1</v>
      </c>
      <c r="F8749" t="s">
        <v>7995</v>
      </c>
    </row>
    <row r="8750" spans="1:6" x14ac:dyDescent="0.25">
      <c r="A8750" t="s">
        <v>7935</v>
      </c>
      <c r="B8750" t="s">
        <v>5536</v>
      </c>
      <c r="C8750" t="s">
        <v>5537</v>
      </c>
      <c r="D8750" t="str">
        <f>HYPERLINK("http://service.sap.com/sap/support/notes/1897085","1897085")</f>
        <v>1897085</v>
      </c>
      <c r="E8750">
        <v>1</v>
      </c>
      <c r="F8750" t="s">
        <v>7996</v>
      </c>
    </row>
    <row r="8751" spans="1:6" x14ac:dyDescent="0.25">
      <c r="A8751" t="s">
        <v>7935</v>
      </c>
      <c r="B8751" t="s">
        <v>5539</v>
      </c>
      <c r="C8751" t="s">
        <v>5540</v>
      </c>
    </row>
    <row r="8752" spans="1:6" x14ac:dyDescent="0.25">
      <c r="A8752" t="s">
        <v>7935</v>
      </c>
      <c r="B8752" t="s">
        <v>5541</v>
      </c>
      <c r="C8752" t="s">
        <v>5542</v>
      </c>
      <c r="D8752" t="str">
        <f>HYPERLINK("http://service.sap.com/sap/support/notes/1848184","1848184")</f>
        <v>1848184</v>
      </c>
      <c r="E8752">
        <v>1</v>
      </c>
      <c r="F8752" t="s">
        <v>7997</v>
      </c>
    </row>
    <row r="8753" spans="1:6" x14ac:dyDescent="0.25">
      <c r="A8753" t="s">
        <v>7935</v>
      </c>
      <c r="B8753" t="s">
        <v>5541</v>
      </c>
      <c r="C8753" t="s">
        <v>5542</v>
      </c>
      <c r="D8753" t="str">
        <f>HYPERLINK("http://service.sap.com/sap/support/notes/1890745","1890745")</f>
        <v>1890745</v>
      </c>
      <c r="E8753">
        <v>1</v>
      </c>
      <c r="F8753" t="s">
        <v>7998</v>
      </c>
    </row>
    <row r="8754" spans="1:6" x14ac:dyDescent="0.25">
      <c r="A8754" t="s">
        <v>7935</v>
      </c>
      <c r="B8754" t="s">
        <v>5541</v>
      </c>
      <c r="C8754" t="s">
        <v>5542</v>
      </c>
      <c r="D8754" t="str">
        <f>HYPERLINK("http://service.sap.com/sap/support/notes/1891243","1891243")</f>
        <v>1891243</v>
      </c>
      <c r="E8754">
        <v>1</v>
      </c>
      <c r="F8754" t="s">
        <v>7999</v>
      </c>
    </row>
    <row r="8755" spans="1:6" x14ac:dyDescent="0.25">
      <c r="A8755" t="s">
        <v>7935</v>
      </c>
      <c r="B8755" t="s">
        <v>5541</v>
      </c>
      <c r="C8755" t="s">
        <v>5542</v>
      </c>
      <c r="D8755" t="str">
        <f>HYPERLINK("http://service.sap.com/sap/support/notes/1894307","1894307")</f>
        <v>1894307</v>
      </c>
      <c r="E8755">
        <v>1</v>
      </c>
      <c r="F8755" t="s">
        <v>8000</v>
      </c>
    </row>
    <row r="8756" spans="1:6" x14ac:dyDescent="0.25">
      <c r="A8756" t="s">
        <v>7935</v>
      </c>
      <c r="B8756" t="s">
        <v>5546</v>
      </c>
      <c r="C8756" t="s">
        <v>5547</v>
      </c>
      <c r="D8756" t="str">
        <f>HYPERLINK("http://service.sap.com/sap/support/notes/1881320","1881320")</f>
        <v>1881320</v>
      </c>
      <c r="E8756">
        <v>2</v>
      </c>
      <c r="F8756" t="s">
        <v>7846</v>
      </c>
    </row>
    <row r="8757" spans="1:6" x14ac:dyDescent="0.25">
      <c r="A8757" t="s">
        <v>7935</v>
      </c>
      <c r="B8757" t="s">
        <v>5546</v>
      </c>
      <c r="C8757" t="s">
        <v>5547</v>
      </c>
      <c r="D8757" t="str">
        <f>HYPERLINK("http://service.sap.com/sap/support/notes/1891242","1891242")</f>
        <v>1891242</v>
      </c>
      <c r="E8757">
        <v>2</v>
      </c>
      <c r="F8757" t="s">
        <v>8001</v>
      </c>
    </row>
    <row r="8758" spans="1:6" x14ac:dyDescent="0.25">
      <c r="A8758" t="s">
        <v>7935</v>
      </c>
      <c r="B8758" t="s">
        <v>5546</v>
      </c>
      <c r="C8758" t="s">
        <v>5547</v>
      </c>
      <c r="D8758" t="str">
        <f>HYPERLINK("http://service.sap.com/sap/support/notes/1899627","1899627")</f>
        <v>1899627</v>
      </c>
      <c r="E8758">
        <v>1</v>
      </c>
      <c r="F8758" t="s">
        <v>8002</v>
      </c>
    </row>
    <row r="8759" spans="1:6" x14ac:dyDescent="0.25">
      <c r="A8759" t="s">
        <v>7935</v>
      </c>
      <c r="B8759" t="s">
        <v>512</v>
      </c>
      <c r="C8759" t="s">
        <v>513</v>
      </c>
      <c r="D8759" t="str">
        <f>HYPERLINK("http://service.sap.com/sap/support/notes/1890029","1890029")</f>
        <v>1890029</v>
      </c>
      <c r="E8759">
        <v>1</v>
      </c>
      <c r="F8759" t="s">
        <v>8003</v>
      </c>
    </row>
    <row r="8760" spans="1:6" x14ac:dyDescent="0.25">
      <c r="A8760" t="s">
        <v>7935</v>
      </c>
      <c r="B8760" t="s">
        <v>25</v>
      </c>
      <c r="C8760" t="s">
        <v>26</v>
      </c>
    </row>
    <row r="8761" spans="1:6" x14ac:dyDescent="0.25">
      <c r="A8761" t="s">
        <v>7935</v>
      </c>
      <c r="B8761" t="s">
        <v>680</v>
      </c>
      <c r="C8761" t="s">
        <v>115</v>
      </c>
      <c r="D8761" t="str">
        <f>HYPERLINK("http://service.sap.com/sap/support/notes/1889887","1889887")</f>
        <v>1889887</v>
      </c>
      <c r="E8761">
        <v>4</v>
      </c>
      <c r="F8761" t="s">
        <v>8004</v>
      </c>
    </row>
    <row r="8762" spans="1:6" x14ac:dyDescent="0.25">
      <c r="A8762" t="s">
        <v>7935</v>
      </c>
      <c r="B8762" t="s">
        <v>33</v>
      </c>
      <c r="C8762" t="s">
        <v>34</v>
      </c>
      <c r="D8762" t="str">
        <f>HYPERLINK("http://service.sap.com/sap/support/notes/1891133","1891133")</f>
        <v>1891133</v>
      </c>
      <c r="E8762">
        <v>2</v>
      </c>
      <c r="F8762" t="s">
        <v>8005</v>
      </c>
    </row>
    <row r="8763" spans="1:6" x14ac:dyDescent="0.25">
      <c r="A8763" t="s">
        <v>7935</v>
      </c>
      <c r="B8763" t="s">
        <v>520</v>
      </c>
      <c r="C8763" t="s">
        <v>176</v>
      </c>
      <c r="D8763" t="str">
        <f>HYPERLINK("http://service.sap.com/sap/support/notes/1895384","1895384")</f>
        <v>1895384</v>
      </c>
      <c r="E8763">
        <v>1</v>
      </c>
      <c r="F8763" t="s">
        <v>8006</v>
      </c>
    </row>
    <row r="8764" spans="1:6" x14ac:dyDescent="0.25">
      <c r="A8764" t="s">
        <v>7935</v>
      </c>
      <c r="B8764" t="s">
        <v>40</v>
      </c>
      <c r="C8764" t="s">
        <v>41</v>
      </c>
      <c r="D8764" t="str">
        <f>HYPERLINK("http://service.sap.com/sap/support/notes/1903449","1903449")</f>
        <v>1903449</v>
      </c>
      <c r="E8764">
        <v>1</v>
      </c>
      <c r="F8764" t="s">
        <v>8007</v>
      </c>
    </row>
    <row r="8765" spans="1:6" x14ac:dyDescent="0.25">
      <c r="A8765" t="s">
        <v>7935</v>
      </c>
      <c r="B8765" t="s">
        <v>43</v>
      </c>
      <c r="C8765" t="s">
        <v>44</v>
      </c>
      <c r="D8765" t="str">
        <f>HYPERLINK("http://service.sap.com/sap/support/notes/1889646","1889646")</f>
        <v>1889646</v>
      </c>
      <c r="E8765">
        <v>2</v>
      </c>
      <c r="F8765" t="s">
        <v>8008</v>
      </c>
    </row>
    <row r="8766" spans="1:6" x14ac:dyDescent="0.25">
      <c r="A8766" t="s">
        <v>7935</v>
      </c>
      <c r="B8766" t="s">
        <v>522</v>
      </c>
      <c r="C8766" t="s">
        <v>523</v>
      </c>
      <c r="D8766" t="str">
        <f>HYPERLINK("http://service.sap.com/sap/support/notes/1891421","1891421")</f>
        <v>1891421</v>
      </c>
      <c r="E8766">
        <v>2</v>
      </c>
      <c r="F8766" t="s">
        <v>8009</v>
      </c>
    </row>
    <row r="8767" spans="1:6" x14ac:dyDescent="0.25">
      <c r="A8767" t="s">
        <v>7935</v>
      </c>
      <c r="B8767" t="s">
        <v>522</v>
      </c>
      <c r="C8767" t="s">
        <v>523</v>
      </c>
      <c r="D8767" t="str">
        <f>HYPERLINK("http://service.sap.com/sap/support/notes/1892123","1892123")</f>
        <v>1892123</v>
      </c>
      <c r="E8767">
        <v>2</v>
      </c>
      <c r="F8767" t="s">
        <v>5068</v>
      </c>
    </row>
    <row r="8768" spans="1:6" x14ac:dyDescent="0.25">
      <c r="A8768" t="s">
        <v>7935</v>
      </c>
      <c r="B8768" t="s">
        <v>522</v>
      </c>
      <c r="C8768" t="s">
        <v>523</v>
      </c>
      <c r="D8768" t="str">
        <f>HYPERLINK("http://service.sap.com/sap/support/notes/1901022","1901022")</f>
        <v>1901022</v>
      </c>
      <c r="E8768">
        <v>1</v>
      </c>
      <c r="F8768" t="s">
        <v>5247</v>
      </c>
    </row>
    <row r="8769" spans="1:6" x14ac:dyDescent="0.25">
      <c r="A8769" t="s">
        <v>7935</v>
      </c>
      <c r="B8769" t="s">
        <v>47</v>
      </c>
      <c r="C8769" t="s">
        <v>48</v>
      </c>
      <c r="D8769" t="str">
        <f>HYPERLINK("http://service.sap.com/sap/support/notes/1893609","1893609")</f>
        <v>1893609</v>
      </c>
      <c r="E8769">
        <v>1</v>
      </c>
      <c r="F8769" t="s">
        <v>8010</v>
      </c>
    </row>
    <row r="8770" spans="1:6" x14ac:dyDescent="0.25">
      <c r="A8770" t="s">
        <v>7935</v>
      </c>
      <c r="B8770" t="s">
        <v>2835</v>
      </c>
      <c r="C8770" t="s">
        <v>2836</v>
      </c>
      <c r="D8770" t="str">
        <f>HYPERLINK("http://service.sap.com/sap/support/notes/1825042","1825042")</f>
        <v>1825042</v>
      </c>
      <c r="E8770">
        <v>3</v>
      </c>
      <c r="F8770" t="s">
        <v>2837</v>
      </c>
    </row>
    <row r="8771" spans="1:6" x14ac:dyDescent="0.25">
      <c r="A8771" t="s">
        <v>7935</v>
      </c>
      <c r="B8771" t="s">
        <v>524</v>
      </c>
      <c r="C8771" t="s">
        <v>345</v>
      </c>
    </row>
    <row r="8772" spans="1:6" x14ac:dyDescent="0.25">
      <c r="A8772" t="s">
        <v>7935</v>
      </c>
      <c r="B8772" t="s">
        <v>8011</v>
      </c>
      <c r="C8772" t="s">
        <v>8012</v>
      </c>
      <c r="D8772" t="str">
        <f>HYPERLINK("http://service.sap.com/sap/support/notes/1900938","1900938")</f>
        <v>1900938</v>
      </c>
      <c r="E8772">
        <v>3</v>
      </c>
      <c r="F8772" t="s">
        <v>8013</v>
      </c>
    </row>
    <row r="8773" spans="1:6" x14ac:dyDescent="0.25">
      <c r="A8773" t="s">
        <v>7935</v>
      </c>
      <c r="B8773" t="s">
        <v>5570</v>
      </c>
      <c r="C8773" t="s">
        <v>396</v>
      </c>
      <c r="D8773" t="str">
        <f>HYPERLINK("http://service.sap.com/sap/support/notes/1892389","1892389")</f>
        <v>1892389</v>
      </c>
      <c r="E8773">
        <v>2</v>
      </c>
      <c r="F8773" t="s">
        <v>8014</v>
      </c>
    </row>
    <row r="8774" spans="1:6" x14ac:dyDescent="0.25">
      <c r="A8774" t="s">
        <v>7935</v>
      </c>
      <c r="B8774" t="s">
        <v>63</v>
      </c>
      <c r="C8774" t="s">
        <v>64</v>
      </c>
      <c r="D8774" t="str">
        <f>HYPERLINK("http://service.sap.com/sap/support/notes/1891592","1891592")</f>
        <v>1891592</v>
      </c>
      <c r="E8774">
        <v>2</v>
      </c>
      <c r="F8774" t="s">
        <v>8015</v>
      </c>
    </row>
    <row r="8775" spans="1:6" x14ac:dyDescent="0.25">
      <c r="A8775" t="s">
        <v>7935</v>
      </c>
      <c r="B8775" t="s">
        <v>73</v>
      </c>
      <c r="C8775" t="s">
        <v>74</v>
      </c>
      <c r="D8775" t="str">
        <f>HYPERLINK("http://service.sap.com/sap/support/notes/1797257","1797257")</f>
        <v>1797257</v>
      </c>
      <c r="E8775">
        <v>15</v>
      </c>
      <c r="F8775" t="s">
        <v>8016</v>
      </c>
    </row>
    <row r="8776" spans="1:6" x14ac:dyDescent="0.25">
      <c r="A8776" t="s">
        <v>7935</v>
      </c>
      <c r="B8776" t="s">
        <v>531</v>
      </c>
      <c r="C8776" t="s">
        <v>532</v>
      </c>
      <c r="D8776" t="str">
        <f>HYPERLINK("http://service.sap.com/sap/support/notes/1879285","1879285")</f>
        <v>1879285</v>
      </c>
      <c r="E8776">
        <v>3</v>
      </c>
      <c r="F8776" t="s">
        <v>8017</v>
      </c>
    </row>
    <row r="8777" spans="1:6" x14ac:dyDescent="0.25">
      <c r="A8777" t="s">
        <v>7935</v>
      </c>
      <c r="B8777" t="s">
        <v>531</v>
      </c>
      <c r="C8777" t="s">
        <v>532</v>
      </c>
      <c r="D8777" t="str">
        <f>HYPERLINK("http://service.sap.com/sap/support/notes/1890674","1890674")</f>
        <v>1890674</v>
      </c>
      <c r="E8777">
        <v>1</v>
      </c>
      <c r="F8777" t="s">
        <v>8018</v>
      </c>
    </row>
    <row r="8778" spans="1:6" x14ac:dyDescent="0.25">
      <c r="A8778" t="s">
        <v>7935</v>
      </c>
      <c r="B8778" t="s">
        <v>531</v>
      </c>
      <c r="C8778" t="s">
        <v>532</v>
      </c>
      <c r="D8778" t="str">
        <f>HYPERLINK("http://service.sap.com/sap/support/notes/1900686","1900686")</f>
        <v>1900686</v>
      </c>
      <c r="E8778">
        <v>2</v>
      </c>
      <c r="F8778" t="s">
        <v>8019</v>
      </c>
    </row>
    <row r="8779" spans="1:6" x14ac:dyDescent="0.25">
      <c r="A8779" t="s">
        <v>7935</v>
      </c>
      <c r="B8779" t="s">
        <v>6018</v>
      </c>
      <c r="C8779" t="s">
        <v>6019</v>
      </c>
      <c r="D8779" t="str">
        <f>HYPERLINK("http://service.sap.com/sap/support/notes/1749159","1749159")</f>
        <v>1749159</v>
      </c>
      <c r="E8779">
        <v>1</v>
      </c>
      <c r="F8779" t="s">
        <v>6024</v>
      </c>
    </row>
    <row r="8780" spans="1:6" x14ac:dyDescent="0.25">
      <c r="A8780" t="s">
        <v>7935</v>
      </c>
      <c r="B8780" t="s">
        <v>6018</v>
      </c>
      <c r="C8780" t="s">
        <v>6019</v>
      </c>
      <c r="D8780" t="str">
        <f>HYPERLINK("http://service.sap.com/sap/support/notes/1886832","1886832")</f>
        <v>1886832</v>
      </c>
      <c r="E8780">
        <v>1</v>
      </c>
      <c r="F8780" t="s">
        <v>8020</v>
      </c>
    </row>
    <row r="8781" spans="1:6" x14ac:dyDescent="0.25">
      <c r="A8781" t="s">
        <v>7935</v>
      </c>
      <c r="B8781" t="s">
        <v>6018</v>
      </c>
      <c r="C8781" t="s">
        <v>6019</v>
      </c>
      <c r="D8781" t="str">
        <f>HYPERLINK("http://service.sap.com/sap/support/notes/1889428","1889428")</f>
        <v>1889428</v>
      </c>
      <c r="E8781">
        <v>1</v>
      </c>
      <c r="F8781" t="s">
        <v>7876</v>
      </c>
    </row>
    <row r="8782" spans="1:6" x14ac:dyDescent="0.25">
      <c r="A8782" t="s">
        <v>7935</v>
      </c>
      <c r="B8782" t="s">
        <v>6018</v>
      </c>
      <c r="C8782" t="s">
        <v>6019</v>
      </c>
      <c r="D8782" t="str">
        <f>HYPERLINK("http://service.sap.com/sap/support/notes/1890024","1890024")</f>
        <v>1890024</v>
      </c>
      <c r="E8782">
        <v>1</v>
      </c>
      <c r="F8782" t="s">
        <v>8021</v>
      </c>
    </row>
    <row r="8783" spans="1:6" x14ac:dyDescent="0.25">
      <c r="A8783" t="s">
        <v>7935</v>
      </c>
      <c r="B8783" t="s">
        <v>6018</v>
      </c>
      <c r="C8783" t="s">
        <v>6019</v>
      </c>
      <c r="D8783" t="str">
        <f>HYPERLINK("http://service.sap.com/sap/support/notes/1890695","1890695")</f>
        <v>1890695</v>
      </c>
      <c r="E8783">
        <v>1</v>
      </c>
      <c r="F8783" t="s">
        <v>8022</v>
      </c>
    </row>
    <row r="8784" spans="1:6" x14ac:dyDescent="0.25">
      <c r="A8784" t="s">
        <v>7935</v>
      </c>
      <c r="B8784" t="s">
        <v>536</v>
      </c>
      <c r="C8784" t="s">
        <v>537</v>
      </c>
    </row>
    <row r="8785" spans="1:6" x14ac:dyDescent="0.25">
      <c r="A8785" t="s">
        <v>7935</v>
      </c>
      <c r="B8785" t="s">
        <v>5594</v>
      </c>
      <c r="C8785" t="s">
        <v>5595</v>
      </c>
      <c r="D8785" t="str">
        <f>HYPERLINK("http://service.sap.com/sap/support/notes/1804066","1804066")</f>
        <v>1804066</v>
      </c>
      <c r="E8785">
        <v>2</v>
      </c>
      <c r="F8785" t="s">
        <v>8023</v>
      </c>
    </row>
    <row r="8786" spans="1:6" x14ac:dyDescent="0.25">
      <c r="A8786" t="s">
        <v>7935</v>
      </c>
      <c r="B8786" t="s">
        <v>5594</v>
      </c>
      <c r="C8786" t="s">
        <v>5595</v>
      </c>
      <c r="D8786" t="str">
        <f>HYPERLINK("http://service.sap.com/sap/support/notes/1821403","1821403")</f>
        <v>1821403</v>
      </c>
      <c r="E8786">
        <v>4</v>
      </c>
      <c r="F8786" t="s">
        <v>7074</v>
      </c>
    </row>
    <row r="8787" spans="1:6" x14ac:dyDescent="0.25">
      <c r="A8787" t="s">
        <v>7935</v>
      </c>
      <c r="B8787" t="s">
        <v>5594</v>
      </c>
      <c r="C8787" t="s">
        <v>5595</v>
      </c>
      <c r="D8787" t="str">
        <f>HYPERLINK("http://service.sap.com/sap/support/notes/1889426","1889426")</f>
        <v>1889426</v>
      </c>
      <c r="E8787">
        <v>3</v>
      </c>
      <c r="F8787" t="s">
        <v>8024</v>
      </c>
    </row>
    <row r="8788" spans="1:6" x14ac:dyDescent="0.25">
      <c r="A8788" t="s">
        <v>7935</v>
      </c>
      <c r="B8788" t="s">
        <v>5594</v>
      </c>
      <c r="C8788" t="s">
        <v>5595</v>
      </c>
      <c r="D8788" t="str">
        <f>HYPERLINK("http://service.sap.com/sap/support/notes/1897382","1897382")</f>
        <v>1897382</v>
      </c>
      <c r="E8788">
        <v>1</v>
      </c>
      <c r="F8788" t="s">
        <v>8025</v>
      </c>
    </row>
    <row r="8789" spans="1:6" x14ac:dyDescent="0.25">
      <c r="A8789" t="s">
        <v>7935</v>
      </c>
      <c r="B8789" t="s">
        <v>5594</v>
      </c>
      <c r="C8789" t="s">
        <v>5595</v>
      </c>
      <c r="D8789" t="str">
        <f>HYPERLINK("http://service.sap.com/sap/support/notes/1897653","1897653")</f>
        <v>1897653</v>
      </c>
      <c r="E8789">
        <v>2</v>
      </c>
      <c r="F8789" t="s">
        <v>8026</v>
      </c>
    </row>
    <row r="8790" spans="1:6" x14ac:dyDescent="0.25">
      <c r="A8790" t="s">
        <v>7935</v>
      </c>
      <c r="B8790" t="s">
        <v>5594</v>
      </c>
      <c r="C8790" t="s">
        <v>5595</v>
      </c>
      <c r="D8790" t="str">
        <f>HYPERLINK("http://service.sap.com/sap/support/notes/1897792","1897792")</f>
        <v>1897792</v>
      </c>
      <c r="E8790">
        <v>1</v>
      </c>
      <c r="F8790" t="s">
        <v>8027</v>
      </c>
    </row>
    <row r="8791" spans="1:6" x14ac:dyDescent="0.25">
      <c r="A8791" t="s">
        <v>7935</v>
      </c>
      <c r="B8791" t="s">
        <v>5594</v>
      </c>
      <c r="C8791" t="s">
        <v>5595</v>
      </c>
      <c r="D8791" t="str">
        <f>HYPERLINK("http://service.sap.com/sap/support/notes/1899923","1899923")</f>
        <v>1899923</v>
      </c>
      <c r="E8791">
        <v>1</v>
      </c>
      <c r="F8791" t="s">
        <v>8028</v>
      </c>
    </row>
    <row r="8792" spans="1:6" x14ac:dyDescent="0.25">
      <c r="A8792" t="s">
        <v>7935</v>
      </c>
      <c r="B8792" t="s">
        <v>5594</v>
      </c>
      <c r="C8792" t="s">
        <v>5595</v>
      </c>
      <c r="D8792" t="str">
        <f>HYPERLINK("http://service.sap.com/sap/support/notes/1900288","1900288")</f>
        <v>1900288</v>
      </c>
      <c r="E8792">
        <v>1</v>
      </c>
      <c r="F8792" t="s">
        <v>8029</v>
      </c>
    </row>
    <row r="8793" spans="1:6" x14ac:dyDescent="0.25">
      <c r="A8793" t="s">
        <v>7935</v>
      </c>
      <c r="B8793" t="s">
        <v>540</v>
      </c>
      <c r="C8793" t="s">
        <v>541</v>
      </c>
    </row>
    <row r="8794" spans="1:6" x14ac:dyDescent="0.25">
      <c r="A8794" t="s">
        <v>7935</v>
      </c>
      <c r="B8794" t="s">
        <v>542</v>
      </c>
      <c r="C8794" t="s">
        <v>5604</v>
      </c>
      <c r="D8794" t="str">
        <f>HYPERLINK("http://service.sap.com/sap/support/notes/1826288","1826288")</f>
        <v>1826288</v>
      </c>
      <c r="E8794">
        <v>40</v>
      </c>
      <c r="F8794" t="s">
        <v>7380</v>
      </c>
    </row>
    <row r="8795" spans="1:6" x14ac:dyDescent="0.25">
      <c r="A8795" t="s">
        <v>7935</v>
      </c>
      <c r="B8795" t="s">
        <v>542</v>
      </c>
      <c r="C8795" t="s">
        <v>5604</v>
      </c>
      <c r="D8795" t="str">
        <f>HYPERLINK("http://service.sap.com/sap/support/notes/1884101","1884101")</f>
        <v>1884101</v>
      </c>
      <c r="E8795">
        <v>2</v>
      </c>
      <c r="F8795" t="s">
        <v>8030</v>
      </c>
    </row>
    <row r="8796" spans="1:6" x14ac:dyDescent="0.25">
      <c r="A8796" t="s">
        <v>7935</v>
      </c>
      <c r="B8796" t="s">
        <v>542</v>
      </c>
      <c r="C8796" t="s">
        <v>5604</v>
      </c>
      <c r="D8796" t="str">
        <f>HYPERLINK("http://service.sap.com/sap/support/notes/1885702","1885702")</f>
        <v>1885702</v>
      </c>
      <c r="E8796">
        <v>5</v>
      </c>
      <c r="F8796" t="s">
        <v>8031</v>
      </c>
    </row>
    <row r="8797" spans="1:6" x14ac:dyDescent="0.25">
      <c r="A8797" t="s">
        <v>7935</v>
      </c>
      <c r="B8797" t="s">
        <v>544</v>
      </c>
      <c r="C8797" t="s">
        <v>5610</v>
      </c>
      <c r="D8797" t="str">
        <f>HYPERLINK("http://service.sap.com/sap/support/notes/1447465","1447465")</f>
        <v>1447465</v>
      </c>
      <c r="E8797">
        <v>21</v>
      </c>
      <c r="F8797" t="s">
        <v>7084</v>
      </c>
    </row>
    <row r="8798" spans="1:6" x14ac:dyDescent="0.25">
      <c r="A8798" t="s">
        <v>7935</v>
      </c>
      <c r="B8798" t="s">
        <v>544</v>
      </c>
      <c r="C8798" t="s">
        <v>5610</v>
      </c>
      <c r="D8798" t="str">
        <f>HYPERLINK("http://service.sap.com/sap/support/notes/1886279","1886279")</f>
        <v>1886279</v>
      </c>
      <c r="E8798">
        <v>3</v>
      </c>
      <c r="F8798" t="s">
        <v>8032</v>
      </c>
    </row>
    <row r="8799" spans="1:6" x14ac:dyDescent="0.25">
      <c r="A8799" t="s">
        <v>7935</v>
      </c>
      <c r="B8799" t="s">
        <v>5615</v>
      </c>
      <c r="C8799" t="s">
        <v>5616</v>
      </c>
      <c r="D8799" t="str">
        <f>HYPERLINK("http://service.sap.com/sap/support/notes/1869150","1869150")</f>
        <v>1869150</v>
      </c>
      <c r="E8799">
        <v>2</v>
      </c>
      <c r="F8799" t="s">
        <v>8033</v>
      </c>
    </row>
    <row r="8800" spans="1:6" x14ac:dyDescent="0.25">
      <c r="A8800" t="s">
        <v>7935</v>
      </c>
      <c r="B8800" t="s">
        <v>5615</v>
      </c>
      <c r="C8800" t="s">
        <v>5616</v>
      </c>
      <c r="D8800" t="str">
        <f>HYPERLINK("http://service.sap.com/sap/support/notes/1869424","1869424")</f>
        <v>1869424</v>
      </c>
      <c r="E8800">
        <v>6</v>
      </c>
      <c r="F8800" t="s">
        <v>8034</v>
      </c>
    </row>
    <row r="8801" spans="1:6" x14ac:dyDescent="0.25">
      <c r="A8801" t="s">
        <v>7935</v>
      </c>
      <c r="B8801" t="s">
        <v>5615</v>
      </c>
      <c r="C8801" t="s">
        <v>5616</v>
      </c>
      <c r="D8801" t="str">
        <f>HYPERLINK("http://service.sap.com/sap/support/notes/1876705","1876705")</f>
        <v>1876705</v>
      </c>
      <c r="E8801">
        <v>6</v>
      </c>
      <c r="F8801" t="s">
        <v>8035</v>
      </c>
    </row>
    <row r="8802" spans="1:6" x14ac:dyDescent="0.25">
      <c r="A8802" t="s">
        <v>7935</v>
      </c>
      <c r="B8802" t="s">
        <v>5615</v>
      </c>
      <c r="C8802" t="s">
        <v>5616</v>
      </c>
      <c r="D8802" t="str">
        <f>HYPERLINK("http://service.sap.com/sap/support/notes/1893705","1893705")</f>
        <v>1893705</v>
      </c>
      <c r="E8802">
        <v>1</v>
      </c>
      <c r="F8802" t="s">
        <v>8036</v>
      </c>
    </row>
    <row r="8803" spans="1:6" x14ac:dyDescent="0.25">
      <c r="A8803" t="s">
        <v>7935</v>
      </c>
      <c r="B8803" t="s">
        <v>5615</v>
      </c>
      <c r="C8803" t="s">
        <v>5616</v>
      </c>
      <c r="D8803" t="str">
        <f>HYPERLINK("http://service.sap.com/sap/support/notes/1898683","1898683")</f>
        <v>1898683</v>
      </c>
      <c r="E8803">
        <v>1</v>
      </c>
      <c r="F8803" t="s">
        <v>8037</v>
      </c>
    </row>
    <row r="8804" spans="1:6" x14ac:dyDescent="0.25">
      <c r="A8804" t="s">
        <v>7935</v>
      </c>
      <c r="B8804" t="s">
        <v>5615</v>
      </c>
      <c r="C8804" t="s">
        <v>5616</v>
      </c>
      <c r="D8804" t="str">
        <f>HYPERLINK("http://service.sap.com/sap/support/notes/1899308","1899308")</f>
        <v>1899308</v>
      </c>
      <c r="E8804">
        <v>1</v>
      </c>
      <c r="F8804" t="s">
        <v>8038</v>
      </c>
    </row>
    <row r="8805" spans="1:6" x14ac:dyDescent="0.25">
      <c r="A8805" t="s">
        <v>7935</v>
      </c>
      <c r="B8805" t="s">
        <v>5615</v>
      </c>
      <c r="C8805" t="s">
        <v>5616</v>
      </c>
      <c r="D8805" t="str">
        <f>HYPERLINK("http://service.sap.com/sap/support/notes/1902589","1902589")</f>
        <v>1902589</v>
      </c>
      <c r="E8805">
        <v>1</v>
      </c>
      <c r="F8805" t="s">
        <v>8039</v>
      </c>
    </row>
    <row r="8806" spans="1:6" x14ac:dyDescent="0.25">
      <c r="A8806" t="s">
        <v>7935</v>
      </c>
      <c r="B8806" t="s">
        <v>85</v>
      </c>
      <c r="C8806" t="s">
        <v>86</v>
      </c>
    </row>
    <row r="8807" spans="1:6" x14ac:dyDescent="0.25">
      <c r="A8807" t="s">
        <v>7935</v>
      </c>
      <c r="B8807" t="s">
        <v>696</v>
      </c>
      <c r="C8807" t="s">
        <v>697</v>
      </c>
    </row>
    <row r="8808" spans="1:6" x14ac:dyDescent="0.25">
      <c r="A8808" t="s">
        <v>7935</v>
      </c>
      <c r="B8808" t="s">
        <v>3380</v>
      </c>
      <c r="C8808" t="s">
        <v>3381</v>
      </c>
      <c r="D8808" t="str">
        <f>HYPERLINK("http://service.sap.com/sap/support/notes/1881396","1881396")</f>
        <v>1881396</v>
      </c>
      <c r="E8808">
        <v>3</v>
      </c>
      <c r="F8808" t="s">
        <v>8040</v>
      </c>
    </row>
    <row r="8809" spans="1:6" x14ac:dyDescent="0.25">
      <c r="A8809" t="s">
        <v>7935</v>
      </c>
      <c r="B8809" t="s">
        <v>3380</v>
      </c>
      <c r="C8809" t="s">
        <v>3381</v>
      </c>
      <c r="D8809" t="str">
        <f>HYPERLINK("http://service.sap.com/sap/support/notes/1888061","1888061")</f>
        <v>1888061</v>
      </c>
      <c r="E8809">
        <v>1</v>
      </c>
      <c r="F8809" t="s">
        <v>8041</v>
      </c>
    </row>
    <row r="8810" spans="1:6" x14ac:dyDescent="0.25">
      <c r="A8810" t="s">
        <v>7935</v>
      </c>
      <c r="B8810" t="s">
        <v>3380</v>
      </c>
      <c r="C8810" t="s">
        <v>3381</v>
      </c>
      <c r="D8810" t="str">
        <f>HYPERLINK("http://service.sap.com/sap/support/notes/1891776","1891776")</f>
        <v>1891776</v>
      </c>
      <c r="E8810">
        <v>1</v>
      </c>
      <c r="F8810" t="s">
        <v>8042</v>
      </c>
    </row>
    <row r="8811" spans="1:6" x14ac:dyDescent="0.25">
      <c r="A8811" t="s">
        <v>7935</v>
      </c>
      <c r="B8811" t="s">
        <v>3380</v>
      </c>
      <c r="C8811" t="s">
        <v>3381</v>
      </c>
      <c r="D8811" t="str">
        <f>HYPERLINK("http://service.sap.com/sap/support/notes/1892429","1892429")</f>
        <v>1892429</v>
      </c>
      <c r="E8811">
        <v>1</v>
      </c>
      <c r="F8811" t="s">
        <v>8043</v>
      </c>
    </row>
    <row r="8812" spans="1:6" x14ac:dyDescent="0.25">
      <c r="A8812" t="s">
        <v>7935</v>
      </c>
      <c r="B8812" t="s">
        <v>698</v>
      </c>
      <c r="C8812" t="s">
        <v>699</v>
      </c>
      <c r="D8812" t="str">
        <f>HYPERLINK("http://service.sap.com/sap/support/notes/1723003","1723003")</f>
        <v>1723003</v>
      </c>
      <c r="E8812">
        <v>2</v>
      </c>
      <c r="F8812" t="s">
        <v>8044</v>
      </c>
    </row>
    <row r="8813" spans="1:6" x14ac:dyDescent="0.25">
      <c r="A8813" t="s">
        <v>7935</v>
      </c>
      <c r="B8813" t="s">
        <v>90</v>
      </c>
      <c r="C8813" t="s">
        <v>13</v>
      </c>
    </row>
    <row r="8814" spans="1:6" x14ac:dyDescent="0.25">
      <c r="A8814" t="s">
        <v>7935</v>
      </c>
      <c r="B8814" t="s">
        <v>6308</v>
      </c>
      <c r="C8814" t="s">
        <v>6309</v>
      </c>
      <c r="D8814" t="str">
        <f>HYPERLINK("http://service.sap.com/sap/support/notes/1892103","1892103")</f>
        <v>1892103</v>
      </c>
      <c r="E8814">
        <v>2</v>
      </c>
      <c r="F8814" t="s">
        <v>8045</v>
      </c>
    </row>
    <row r="8815" spans="1:6" x14ac:dyDescent="0.25">
      <c r="A8815" t="s">
        <v>7935</v>
      </c>
      <c r="B8815" t="s">
        <v>551</v>
      </c>
      <c r="C8815" t="s">
        <v>552</v>
      </c>
    </row>
    <row r="8816" spans="1:6" x14ac:dyDescent="0.25">
      <c r="A8816" t="s">
        <v>7935</v>
      </c>
      <c r="B8816" t="s">
        <v>553</v>
      </c>
      <c r="C8816" t="s">
        <v>554</v>
      </c>
      <c r="D8816" t="str">
        <f>HYPERLINK("http://service.sap.com/sap/support/notes/1878603","1878603")</f>
        <v>1878603</v>
      </c>
      <c r="E8816">
        <v>2</v>
      </c>
      <c r="F8816" t="s">
        <v>8046</v>
      </c>
    </row>
    <row r="8817" spans="1:6" x14ac:dyDescent="0.25">
      <c r="A8817" t="s">
        <v>7935</v>
      </c>
      <c r="B8817" t="s">
        <v>553</v>
      </c>
      <c r="C8817" t="s">
        <v>554</v>
      </c>
      <c r="D8817" t="str">
        <f>HYPERLINK("http://service.sap.com/sap/support/notes/1900517","1900517")</f>
        <v>1900517</v>
      </c>
      <c r="E8817">
        <v>1</v>
      </c>
      <c r="F8817" t="s">
        <v>8047</v>
      </c>
    </row>
    <row r="8818" spans="1:6" x14ac:dyDescent="0.25">
      <c r="A8818" t="s">
        <v>7935</v>
      </c>
      <c r="B8818" t="s">
        <v>557</v>
      </c>
      <c r="C8818" t="s">
        <v>646</v>
      </c>
    </row>
    <row r="8819" spans="1:6" x14ac:dyDescent="0.25">
      <c r="A8819" t="s">
        <v>7935</v>
      </c>
      <c r="B8819" t="s">
        <v>563</v>
      </c>
      <c r="C8819" t="s">
        <v>564</v>
      </c>
    </row>
    <row r="8820" spans="1:6" x14ac:dyDescent="0.25">
      <c r="A8820" t="s">
        <v>7935</v>
      </c>
      <c r="B8820" t="s">
        <v>647</v>
      </c>
      <c r="C8820" t="s">
        <v>648</v>
      </c>
      <c r="D8820" t="str">
        <f>HYPERLINK("http://service.sap.com/sap/support/notes/1872661","1872661")</f>
        <v>1872661</v>
      </c>
      <c r="E8820">
        <v>1</v>
      </c>
      <c r="F8820" t="s">
        <v>8048</v>
      </c>
    </row>
    <row r="8821" spans="1:6" x14ac:dyDescent="0.25">
      <c r="A8821" t="s">
        <v>7935</v>
      </c>
      <c r="B8821" t="s">
        <v>647</v>
      </c>
      <c r="C8821" t="s">
        <v>648</v>
      </c>
      <c r="D8821" t="str">
        <f>HYPERLINK("http://service.sap.com/sap/support/notes/1881568","1881568")</f>
        <v>1881568</v>
      </c>
      <c r="E8821">
        <v>4</v>
      </c>
      <c r="F8821" t="s">
        <v>8049</v>
      </c>
    </row>
    <row r="8822" spans="1:6" x14ac:dyDescent="0.25">
      <c r="A8822" t="s">
        <v>7935</v>
      </c>
      <c r="B8822" t="s">
        <v>647</v>
      </c>
      <c r="C8822" t="s">
        <v>648</v>
      </c>
      <c r="D8822" t="str">
        <f>HYPERLINK("http://service.sap.com/sap/support/notes/1888113","1888113")</f>
        <v>1888113</v>
      </c>
      <c r="E8822">
        <v>1</v>
      </c>
      <c r="F8822" t="s">
        <v>8050</v>
      </c>
    </row>
    <row r="8823" spans="1:6" x14ac:dyDescent="0.25">
      <c r="A8823" t="s">
        <v>7935</v>
      </c>
      <c r="B8823" t="s">
        <v>647</v>
      </c>
      <c r="C8823" t="s">
        <v>648</v>
      </c>
      <c r="D8823" t="str">
        <f>HYPERLINK("http://service.sap.com/sap/support/notes/1894605","1894605")</f>
        <v>1894605</v>
      </c>
      <c r="E8823">
        <v>1</v>
      </c>
      <c r="F8823" t="s">
        <v>8051</v>
      </c>
    </row>
    <row r="8824" spans="1:6" x14ac:dyDescent="0.25">
      <c r="A8824" t="s">
        <v>7935</v>
      </c>
      <c r="B8824" t="s">
        <v>647</v>
      </c>
      <c r="C8824" t="s">
        <v>648</v>
      </c>
      <c r="D8824" t="str">
        <f>HYPERLINK("http://service.sap.com/sap/support/notes/1899725","1899725")</f>
        <v>1899725</v>
      </c>
      <c r="E8824">
        <v>1</v>
      </c>
      <c r="F8824" t="s">
        <v>8052</v>
      </c>
    </row>
    <row r="8825" spans="1:6" x14ac:dyDescent="0.25">
      <c r="A8825" t="s">
        <v>7935</v>
      </c>
      <c r="B8825" t="s">
        <v>95</v>
      </c>
      <c r="C8825" t="s">
        <v>96</v>
      </c>
    </row>
    <row r="8826" spans="1:6" x14ac:dyDescent="0.25">
      <c r="A8826" t="s">
        <v>7935</v>
      </c>
      <c r="B8826" t="s">
        <v>114</v>
      </c>
      <c r="C8826" t="s">
        <v>115</v>
      </c>
      <c r="D8826" t="str">
        <f>HYPERLINK("http://service.sap.com/sap/support/notes/1846974","1846974")</f>
        <v>1846974</v>
      </c>
      <c r="E8826">
        <v>1</v>
      </c>
      <c r="F8826" t="s">
        <v>5103</v>
      </c>
    </row>
    <row r="8827" spans="1:6" x14ac:dyDescent="0.25">
      <c r="A8827" t="s">
        <v>7935</v>
      </c>
      <c r="B8827" t="s">
        <v>114</v>
      </c>
      <c r="C8827" t="s">
        <v>115</v>
      </c>
      <c r="D8827" t="str">
        <f>HYPERLINK("http://service.sap.com/sap/support/notes/1866483","1866483")</f>
        <v>1866483</v>
      </c>
      <c r="E8827">
        <v>1</v>
      </c>
      <c r="F8827" t="s">
        <v>8053</v>
      </c>
    </row>
    <row r="8828" spans="1:6" x14ac:dyDescent="0.25">
      <c r="A8828" t="s">
        <v>7935</v>
      </c>
      <c r="B8828" t="s">
        <v>114</v>
      </c>
      <c r="C8828" t="s">
        <v>115</v>
      </c>
      <c r="D8828" t="str">
        <f>HYPERLINK("http://service.sap.com/sap/support/notes/1880820","1880820")</f>
        <v>1880820</v>
      </c>
      <c r="E8828">
        <v>1</v>
      </c>
      <c r="F8828" t="s">
        <v>5105</v>
      </c>
    </row>
    <row r="8829" spans="1:6" x14ac:dyDescent="0.25">
      <c r="A8829" t="s">
        <v>7935</v>
      </c>
      <c r="B8829" t="s">
        <v>114</v>
      </c>
      <c r="C8829" t="s">
        <v>115</v>
      </c>
      <c r="D8829" t="str">
        <f>HYPERLINK("http://service.sap.com/sap/support/notes/1891237","1891237")</f>
        <v>1891237</v>
      </c>
      <c r="E8829">
        <v>1</v>
      </c>
      <c r="F8829" t="s">
        <v>5112</v>
      </c>
    </row>
    <row r="8830" spans="1:6" x14ac:dyDescent="0.25">
      <c r="A8830" t="s">
        <v>7935</v>
      </c>
      <c r="B8830" t="s">
        <v>114</v>
      </c>
      <c r="C8830" t="s">
        <v>115</v>
      </c>
      <c r="D8830" t="str">
        <f>HYPERLINK("http://service.sap.com/sap/support/notes/1895719","1895719")</f>
        <v>1895719</v>
      </c>
      <c r="E8830">
        <v>1</v>
      </c>
      <c r="F8830" t="s">
        <v>5114</v>
      </c>
    </row>
    <row r="8831" spans="1:6" x14ac:dyDescent="0.25">
      <c r="A8831" t="s">
        <v>7935</v>
      </c>
      <c r="B8831" t="s">
        <v>114</v>
      </c>
      <c r="C8831" t="s">
        <v>115</v>
      </c>
      <c r="D8831" t="str">
        <f>HYPERLINK("http://service.sap.com/sap/support/notes/1900162","1900162")</f>
        <v>1900162</v>
      </c>
      <c r="E8831">
        <v>1</v>
      </c>
      <c r="F8831" t="s">
        <v>5120</v>
      </c>
    </row>
    <row r="8832" spans="1:6" x14ac:dyDescent="0.25">
      <c r="A8832" t="s">
        <v>7935</v>
      </c>
      <c r="B8832" t="s">
        <v>685</v>
      </c>
      <c r="C8832" t="s">
        <v>686</v>
      </c>
      <c r="D8832" t="str">
        <f>HYPERLINK("http://service.sap.com/sap/support/notes/1837426","1837426")</f>
        <v>1837426</v>
      </c>
      <c r="E8832">
        <v>3</v>
      </c>
      <c r="F8832" t="s">
        <v>8054</v>
      </c>
    </row>
    <row r="8833" spans="1:6" x14ac:dyDescent="0.25">
      <c r="A8833" t="s">
        <v>7935</v>
      </c>
      <c r="B8833" t="s">
        <v>685</v>
      </c>
      <c r="C8833" t="s">
        <v>686</v>
      </c>
      <c r="D8833" t="str">
        <f>HYPERLINK("http://service.sap.com/sap/support/notes/1896401","1896401")</f>
        <v>1896401</v>
      </c>
      <c r="E8833">
        <v>1</v>
      </c>
      <c r="F8833" t="s">
        <v>8055</v>
      </c>
    </row>
    <row r="8834" spans="1:6" x14ac:dyDescent="0.25">
      <c r="A8834" t="s">
        <v>7935</v>
      </c>
      <c r="B8834" t="s">
        <v>685</v>
      </c>
      <c r="C8834" t="s">
        <v>686</v>
      </c>
      <c r="D8834" t="str">
        <f>HYPERLINK("http://service.sap.com/sap/support/notes/1897205","1897205")</f>
        <v>1897205</v>
      </c>
      <c r="E8834">
        <v>1</v>
      </c>
      <c r="F8834" t="s">
        <v>8056</v>
      </c>
    </row>
    <row r="8835" spans="1:6" x14ac:dyDescent="0.25">
      <c r="A8835" t="s">
        <v>7935</v>
      </c>
      <c r="B8835" t="s">
        <v>685</v>
      </c>
      <c r="C8835" t="s">
        <v>686</v>
      </c>
      <c r="D8835" t="str">
        <f>HYPERLINK("http://service.sap.com/sap/support/notes/1897562","1897562")</f>
        <v>1897562</v>
      </c>
      <c r="E8835">
        <v>1</v>
      </c>
      <c r="F8835" t="s">
        <v>8057</v>
      </c>
    </row>
    <row r="8836" spans="1:6" x14ac:dyDescent="0.25">
      <c r="A8836" t="s">
        <v>7935</v>
      </c>
      <c r="B8836" t="s">
        <v>685</v>
      </c>
      <c r="C8836" t="s">
        <v>686</v>
      </c>
      <c r="D8836" t="str">
        <f>HYPERLINK("http://service.sap.com/sap/support/notes/1897896","1897896")</f>
        <v>1897896</v>
      </c>
      <c r="E8836">
        <v>1</v>
      </c>
      <c r="F8836" t="s">
        <v>8058</v>
      </c>
    </row>
    <row r="8837" spans="1:6" x14ac:dyDescent="0.25">
      <c r="A8837" t="s">
        <v>7935</v>
      </c>
      <c r="B8837" t="s">
        <v>685</v>
      </c>
      <c r="C8837" t="s">
        <v>686</v>
      </c>
      <c r="D8837" t="str">
        <f>HYPERLINK("http://service.sap.com/sap/support/notes/1898573","1898573")</f>
        <v>1898573</v>
      </c>
      <c r="E8837">
        <v>1</v>
      </c>
      <c r="F8837" t="s">
        <v>8059</v>
      </c>
    </row>
    <row r="8838" spans="1:6" x14ac:dyDescent="0.25">
      <c r="A8838" t="s">
        <v>7935</v>
      </c>
      <c r="B8838" t="s">
        <v>685</v>
      </c>
      <c r="C8838" t="s">
        <v>686</v>
      </c>
      <c r="D8838" t="str">
        <f>HYPERLINK("http://service.sap.com/sap/support/notes/1899026","1899026")</f>
        <v>1899026</v>
      </c>
      <c r="E8838">
        <v>1</v>
      </c>
      <c r="F8838" t="s">
        <v>8060</v>
      </c>
    </row>
    <row r="8839" spans="1:6" x14ac:dyDescent="0.25">
      <c r="A8839" t="s">
        <v>7935</v>
      </c>
      <c r="B8839" t="s">
        <v>685</v>
      </c>
      <c r="C8839" t="s">
        <v>686</v>
      </c>
      <c r="D8839" t="str">
        <f>HYPERLINK("http://service.sap.com/sap/support/notes/1900306","1900306")</f>
        <v>1900306</v>
      </c>
      <c r="E8839">
        <v>1</v>
      </c>
      <c r="F8839" t="s">
        <v>8061</v>
      </c>
    </row>
    <row r="8840" spans="1:6" x14ac:dyDescent="0.25">
      <c r="A8840" t="s">
        <v>7935</v>
      </c>
      <c r="B8840" t="s">
        <v>685</v>
      </c>
      <c r="C8840" t="s">
        <v>686</v>
      </c>
      <c r="D8840" t="str">
        <f>HYPERLINK("http://service.sap.com/sap/support/notes/1902650","1902650")</f>
        <v>1902650</v>
      </c>
      <c r="E8840">
        <v>1</v>
      </c>
      <c r="F8840" t="s">
        <v>8062</v>
      </c>
    </row>
    <row r="8841" spans="1:6" x14ac:dyDescent="0.25">
      <c r="A8841" t="s">
        <v>7935</v>
      </c>
      <c r="B8841" t="s">
        <v>127</v>
      </c>
      <c r="C8841" t="s">
        <v>128</v>
      </c>
      <c r="D8841" t="str">
        <f>HYPERLINK("http://service.sap.com/sap/support/notes/1886958","1886958")</f>
        <v>1886958</v>
      </c>
      <c r="E8841">
        <v>2</v>
      </c>
      <c r="F8841" t="s">
        <v>4773</v>
      </c>
    </row>
    <row r="8842" spans="1:6" x14ac:dyDescent="0.25">
      <c r="A8842" t="s">
        <v>7935</v>
      </c>
      <c r="B8842" t="s">
        <v>159</v>
      </c>
      <c r="C8842" t="s">
        <v>160</v>
      </c>
      <c r="D8842" t="str">
        <f>HYPERLINK("http://service.sap.com/sap/support/notes/1891621","1891621")</f>
        <v>1891621</v>
      </c>
      <c r="E8842">
        <v>1</v>
      </c>
      <c r="F8842" t="s">
        <v>8063</v>
      </c>
    </row>
    <row r="8843" spans="1:6" x14ac:dyDescent="0.25">
      <c r="A8843" t="s">
        <v>7935</v>
      </c>
      <c r="B8843" t="s">
        <v>175</v>
      </c>
      <c r="C8843" t="s">
        <v>176</v>
      </c>
    </row>
    <row r="8844" spans="1:6" x14ac:dyDescent="0.25">
      <c r="A8844" t="s">
        <v>7935</v>
      </c>
      <c r="B8844" t="s">
        <v>183</v>
      </c>
      <c r="C8844" t="s">
        <v>184</v>
      </c>
    </row>
    <row r="8845" spans="1:6" x14ac:dyDescent="0.25">
      <c r="A8845" t="s">
        <v>7935</v>
      </c>
      <c r="B8845" t="s">
        <v>578</v>
      </c>
      <c r="C8845" t="s">
        <v>4485</v>
      </c>
      <c r="D8845" t="str">
        <f>HYPERLINK("http://service.sap.com/sap/support/notes/1893950","1893950")</f>
        <v>1893950</v>
      </c>
      <c r="E8845">
        <v>16</v>
      </c>
      <c r="F8845" t="s">
        <v>5179</v>
      </c>
    </row>
    <row r="8846" spans="1:6" x14ac:dyDescent="0.25">
      <c r="A8846" t="s">
        <v>7935</v>
      </c>
      <c r="B8846" t="s">
        <v>286</v>
      </c>
      <c r="C8846" t="s">
        <v>287</v>
      </c>
      <c r="D8846" t="str">
        <f>HYPERLINK("http://service.sap.com/sap/support/notes/1662820","1662820")</f>
        <v>1662820</v>
      </c>
      <c r="E8846">
        <v>2</v>
      </c>
      <c r="F8846" t="s">
        <v>8064</v>
      </c>
    </row>
    <row r="8847" spans="1:6" x14ac:dyDescent="0.25">
      <c r="A8847" t="s">
        <v>7935</v>
      </c>
      <c r="B8847" t="s">
        <v>286</v>
      </c>
      <c r="C8847" t="s">
        <v>287</v>
      </c>
      <c r="D8847" t="str">
        <f>HYPERLINK("http://service.sap.com/sap/support/notes/1895875","1895875")</f>
        <v>1895875</v>
      </c>
      <c r="E8847">
        <v>3</v>
      </c>
      <c r="F8847" t="s">
        <v>8065</v>
      </c>
    </row>
    <row r="8848" spans="1:6" x14ac:dyDescent="0.25">
      <c r="A8848" t="s">
        <v>7935</v>
      </c>
      <c r="B8848" t="s">
        <v>319</v>
      </c>
      <c r="C8848" t="s">
        <v>320</v>
      </c>
      <c r="D8848" t="str">
        <f>HYPERLINK("http://service.sap.com/sap/support/notes/1901070","1901070")</f>
        <v>1901070</v>
      </c>
      <c r="E8848">
        <v>1</v>
      </c>
      <c r="F8848" t="s">
        <v>5274</v>
      </c>
    </row>
    <row r="8849" spans="1:6" x14ac:dyDescent="0.25">
      <c r="A8849" t="s">
        <v>7935</v>
      </c>
      <c r="B8849" t="s">
        <v>2263</v>
      </c>
      <c r="C8849" t="s">
        <v>2264</v>
      </c>
      <c r="D8849" t="str">
        <f>HYPERLINK("http://service.sap.com/sap/support/notes/1895518","1895518")</f>
        <v>1895518</v>
      </c>
      <c r="E8849">
        <v>2</v>
      </c>
      <c r="F8849" t="s">
        <v>8066</v>
      </c>
    </row>
    <row r="8850" spans="1:6" x14ac:dyDescent="0.25">
      <c r="A8850" t="s">
        <v>7935</v>
      </c>
      <c r="B8850" t="s">
        <v>384</v>
      </c>
      <c r="C8850" t="s">
        <v>385</v>
      </c>
      <c r="D8850" t="str">
        <f>HYPERLINK("http://service.sap.com/sap/support/notes/1902595","1902595")</f>
        <v>1902595</v>
      </c>
      <c r="E8850">
        <v>1</v>
      </c>
      <c r="F8850" t="s">
        <v>8067</v>
      </c>
    </row>
    <row r="8851" spans="1:6" x14ac:dyDescent="0.25">
      <c r="A8851" t="s">
        <v>7935</v>
      </c>
      <c r="B8851" t="s">
        <v>423</v>
      </c>
      <c r="C8851" t="s">
        <v>424</v>
      </c>
      <c r="D8851" t="str">
        <f>HYPERLINK("http://service.sap.com/sap/support/notes/1891080","1891080")</f>
        <v>1891080</v>
      </c>
      <c r="E8851">
        <v>1</v>
      </c>
      <c r="F8851" t="s">
        <v>5339</v>
      </c>
    </row>
    <row r="8852" spans="1:6" x14ac:dyDescent="0.25">
      <c r="A8852" t="s">
        <v>7935</v>
      </c>
      <c r="B8852" t="s">
        <v>423</v>
      </c>
      <c r="C8852" t="s">
        <v>424</v>
      </c>
      <c r="D8852" t="str">
        <f>HYPERLINK("http://service.sap.com/sap/support/notes/1896051","1896051")</f>
        <v>1896051</v>
      </c>
      <c r="E8852">
        <v>1</v>
      </c>
      <c r="F8852" t="s">
        <v>5342</v>
      </c>
    </row>
    <row r="8853" spans="1:6" x14ac:dyDescent="0.25">
      <c r="A8853" t="s">
        <v>7935</v>
      </c>
      <c r="B8853" t="s">
        <v>430</v>
      </c>
      <c r="C8853" t="s">
        <v>431</v>
      </c>
    </row>
    <row r="8854" spans="1:6" x14ac:dyDescent="0.25">
      <c r="A8854" t="s">
        <v>7935</v>
      </c>
      <c r="B8854" t="s">
        <v>5678</v>
      </c>
      <c r="C8854" t="s">
        <v>5679</v>
      </c>
      <c r="D8854" t="str">
        <f>HYPERLINK("http://service.sap.com/sap/support/notes/1752737","1752737")</f>
        <v>1752737</v>
      </c>
      <c r="E8854">
        <v>6</v>
      </c>
      <c r="F8854" t="s">
        <v>8068</v>
      </c>
    </row>
    <row r="8855" spans="1:6" x14ac:dyDescent="0.25">
      <c r="A8855" t="s">
        <v>7935</v>
      </c>
      <c r="B8855" t="s">
        <v>5678</v>
      </c>
      <c r="C8855" t="s">
        <v>5679</v>
      </c>
      <c r="D8855" t="str">
        <f>HYPERLINK("http://service.sap.com/sap/support/notes/1857997","1857997")</f>
        <v>1857997</v>
      </c>
      <c r="E8855">
        <v>3</v>
      </c>
      <c r="F8855" t="s">
        <v>8069</v>
      </c>
    </row>
    <row r="8856" spans="1:6" x14ac:dyDescent="0.25">
      <c r="A8856" t="s">
        <v>7935</v>
      </c>
      <c r="B8856" t="s">
        <v>437</v>
      </c>
      <c r="C8856" t="s">
        <v>438</v>
      </c>
      <c r="D8856" t="str">
        <f>HYPERLINK("http://service.sap.com/sap/support/notes/1893257","1893257")</f>
        <v>1893257</v>
      </c>
      <c r="E8856">
        <v>2</v>
      </c>
      <c r="F8856" t="s">
        <v>8070</v>
      </c>
    </row>
    <row r="8857" spans="1:6" x14ac:dyDescent="0.25">
      <c r="A8857" t="s">
        <v>7935</v>
      </c>
      <c r="B8857" t="s">
        <v>453</v>
      </c>
      <c r="C8857" t="s">
        <v>74</v>
      </c>
      <c r="D8857" t="str">
        <f>HYPERLINK("http://service.sap.com/sap/support/notes/1903607","1903607")</f>
        <v>1903607</v>
      </c>
      <c r="E8857">
        <v>1</v>
      </c>
      <c r="F8857" t="s">
        <v>5371</v>
      </c>
    </row>
    <row r="8858" spans="1:6" x14ac:dyDescent="0.25">
      <c r="A8858" t="s">
        <v>7935</v>
      </c>
      <c r="B8858" t="s">
        <v>633</v>
      </c>
      <c r="C8858" t="s">
        <v>634</v>
      </c>
      <c r="D8858" t="str">
        <f>HYPERLINK("http://service.sap.com/sap/support/notes/1675378","1675378")</f>
        <v>1675378</v>
      </c>
      <c r="E8858">
        <v>5</v>
      </c>
      <c r="F8858" t="s">
        <v>8071</v>
      </c>
    </row>
    <row r="8859" spans="1:6" x14ac:dyDescent="0.25">
      <c r="A8859" t="s">
        <v>7935</v>
      </c>
      <c r="B8859" t="s">
        <v>633</v>
      </c>
      <c r="C8859" t="s">
        <v>634</v>
      </c>
      <c r="D8859" t="str">
        <f>HYPERLINK("http://service.sap.com/sap/support/notes/1691507","1691507")</f>
        <v>1691507</v>
      </c>
      <c r="E8859">
        <v>2</v>
      </c>
      <c r="F8859" t="s">
        <v>8072</v>
      </c>
    </row>
    <row r="8860" spans="1:6" x14ac:dyDescent="0.25">
      <c r="A8860" t="s">
        <v>7935</v>
      </c>
      <c r="B8860" t="s">
        <v>607</v>
      </c>
      <c r="C8860" t="s">
        <v>156</v>
      </c>
      <c r="D8860" t="str">
        <f>HYPERLINK("http://service.sap.com/sap/support/notes/1893484","1893484")</f>
        <v>1893484</v>
      </c>
      <c r="E8860">
        <v>1</v>
      </c>
      <c r="F8860" t="s">
        <v>5375</v>
      </c>
    </row>
    <row r="8861" spans="1:6" x14ac:dyDescent="0.25">
      <c r="A8861" t="s">
        <v>7935</v>
      </c>
      <c r="B8861" t="s">
        <v>607</v>
      </c>
      <c r="C8861" t="s">
        <v>156</v>
      </c>
      <c r="D8861" t="str">
        <f>HYPERLINK("http://service.sap.com/sap/support/notes/1898307","1898307")</f>
        <v>1898307</v>
      </c>
      <c r="E8861">
        <v>1</v>
      </c>
      <c r="F8861" t="s">
        <v>5377</v>
      </c>
    </row>
    <row r="8862" spans="1:6" x14ac:dyDescent="0.25">
      <c r="A8862" t="s">
        <v>7935</v>
      </c>
      <c r="B8862" t="s">
        <v>457</v>
      </c>
      <c r="C8862" t="s">
        <v>458</v>
      </c>
      <c r="D8862" t="str">
        <f>HYPERLINK("http://service.sap.com/sap/support/notes/1696592","1696592")</f>
        <v>1696592</v>
      </c>
      <c r="E8862">
        <v>2</v>
      </c>
      <c r="F8862" t="s">
        <v>5924</v>
      </c>
    </row>
    <row r="8863" spans="1:6" x14ac:dyDescent="0.25">
      <c r="A8863" t="s">
        <v>7935</v>
      </c>
      <c r="B8863" t="s">
        <v>610</v>
      </c>
      <c r="C8863" t="s">
        <v>635</v>
      </c>
    </row>
    <row r="8864" spans="1:6" x14ac:dyDescent="0.25">
      <c r="A8864" t="s">
        <v>7935</v>
      </c>
      <c r="B8864" t="s">
        <v>626</v>
      </c>
      <c r="C8864" t="s">
        <v>654</v>
      </c>
      <c r="D8864" t="str">
        <f>HYPERLINK("http://service.sap.com/sap/support/notes/1891403","1891403")</f>
        <v>1891403</v>
      </c>
      <c r="E8864">
        <v>4</v>
      </c>
      <c r="F8864" t="s">
        <v>8073</v>
      </c>
    </row>
    <row r="8865" spans="1:6" x14ac:dyDescent="0.25">
      <c r="A8865" t="s">
        <v>7935</v>
      </c>
      <c r="B8865" t="s">
        <v>626</v>
      </c>
      <c r="C8865" t="s">
        <v>654</v>
      </c>
      <c r="D8865" t="str">
        <f>HYPERLINK("http://service.sap.com/sap/support/notes/1899093","1899093")</f>
        <v>1899093</v>
      </c>
      <c r="E8865">
        <v>1</v>
      </c>
      <c r="F8865" t="s">
        <v>8074</v>
      </c>
    </row>
    <row r="8866" spans="1:6" x14ac:dyDescent="0.25">
      <c r="A8866" t="s">
        <v>7935</v>
      </c>
      <c r="B8866" t="s">
        <v>670</v>
      </c>
      <c r="C8866" t="s">
        <v>671</v>
      </c>
    </row>
    <row r="8867" spans="1:6" x14ac:dyDescent="0.25">
      <c r="A8867" t="s">
        <v>7935</v>
      </c>
      <c r="B8867" t="s">
        <v>672</v>
      </c>
      <c r="C8867" t="s">
        <v>673</v>
      </c>
    </row>
    <row r="8868" spans="1:6" x14ac:dyDescent="0.25">
      <c r="A8868" t="s">
        <v>7935</v>
      </c>
      <c r="B8868" t="s">
        <v>5713</v>
      </c>
      <c r="C8868" t="s">
        <v>5714</v>
      </c>
    </row>
    <row r="8869" spans="1:6" x14ac:dyDescent="0.25">
      <c r="A8869" t="s">
        <v>7935</v>
      </c>
      <c r="B8869" t="s">
        <v>5715</v>
      </c>
      <c r="C8869" t="s">
        <v>5710</v>
      </c>
      <c r="D8869" t="str">
        <f>HYPERLINK("http://service.sap.com/sap/support/notes/1890928","1890928")</f>
        <v>1890928</v>
      </c>
      <c r="E8869">
        <v>1</v>
      </c>
      <c r="F8869" t="s">
        <v>8075</v>
      </c>
    </row>
    <row r="8870" spans="1:6" x14ac:dyDescent="0.25">
      <c r="A8870" t="s">
        <v>7935</v>
      </c>
      <c r="B8870" t="s">
        <v>5718</v>
      </c>
      <c r="C8870" t="s">
        <v>5719</v>
      </c>
    </row>
    <row r="8871" spans="1:6" x14ac:dyDescent="0.25">
      <c r="A8871" t="s">
        <v>7935</v>
      </c>
      <c r="B8871" t="s">
        <v>5720</v>
      </c>
      <c r="C8871" t="s">
        <v>5710</v>
      </c>
      <c r="D8871" t="str">
        <f>HYPERLINK("http://service.sap.com/sap/support/notes/1890614","1890614")</f>
        <v>1890614</v>
      </c>
      <c r="E8871">
        <v>1</v>
      </c>
      <c r="F8871" t="s">
        <v>8076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SAPKE60454_notes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gmcgrath</dc:creator>
  <cp:lastModifiedBy>gmcgrath</cp:lastModifiedBy>
  <dcterms:created xsi:type="dcterms:W3CDTF">2013-09-30T18:33:58Z</dcterms:created>
  <dcterms:modified xsi:type="dcterms:W3CDTF">2013-09-30T19:55:26Z</dcterms:modified>
</cp:coreProperties>
</file>